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style7.xml" ContentType="application/vnd.ms-office.chartstyle+xml"/>
  <Override PartName="/xl/charts/colors7.xml" ContentType="application/vnd.ms-office.chartcolorstyle+xml"/>
  <Override PartName="/xl/charts/chart14.xml" ContentType="application/vnd.openxmlformats-officedocument.drawingml.chart+xml"/>
  <Override PartName="/xl/charts/style8.xml" ContentType="application/vnd.ms-office.chartstyle+xml"/>
  <Override PartName="/xl/charts/colors8.xml" ContentType="application/vnd.ms-office.chartcolorstyl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uu8\Desktop\RSV manuscript\Model\"/>
    </mc:Choice>
  </mc:AlternateContent>
  <bookViews>
    <workbookView xWindow="0" yWindow="0" windowWidth="25200" windowHeight="11856" tabRatio="826"/>
  </bookViews>
  <sheets>
    <sheet name="HOMEPAGE" sheetId="10" r:id="rId1"/>
    <sheet name="Introduction" sheetId="11" r:id="rId2"/>
    <sheet name="Input 1_Population" sheetId="13" r:id="rId3"/>
    <sheet name="Input 2_RSV Rates" sheetId="14" r:id="rId4"/>
    <sheet name="Input 3_Clinical Severity" sheetId="38" r:id="rId5"/>
    <sheet name="Input 4_RSV Season" sheetId="20" r:id="rId6"/>
    <sheet name="Input 5_Product Uptake" sheetId="18" r:id="rId7"/>
    <sheet name="Input 6_Product Efficacy" sheetId="19" r:id="rId8"/>
    <sheet name="Input 6b_Antibody Transfer" sheetId="7" r:id="rId9"/>
    <sheet name="Results" sheetId="9" r:id="rId10"/>
    <sheet name="Sensitivity Analyses_Antibody" sheetId="25" r:id="rId11"/>
    <sheet name="Sensitivity Analyses_Maternal" sheetId="28" r:id="rId12"/>
    <sheet name="Palivizumab" sheetId="8" state="hidden" r:id="rId13"/>
    <sheet name="Antibody_Candidate" sheetId="3" state="hidden" r:id="rId14"/>
    <sheet name="Maternal_Vaccine" sheetId="6" state="hidden" r:id="rId15"/>
    <sheet name="WiS percent RSV_base" sheetId="4" state="hidden" r:id="rId16"/>
    <sheet name="OoS percent RSV_base" sheetId="32" state="hidden" r:id="rId17"/>
    <sheet name="WiS percent RSV_low" sheetId="21" state="hidden" r:id="rId18"/>
    <sheet name="OoS percent RSV_low" sheetId="33" state="hidden" r:id="rId19"/>
    <sheet name="WiS percent RSV_high" sheetId="23" state="hidden" r:id="rId20"/>
    <sheet name="OoS percent RSV_high" sheetId="34" state="hidden" r:id="rId21"/>
    <sheet name="Ratios" sheetId="35" r:id="rId22"/>
    <sheet name="Sensitivity wrksht_Antibody" sheetId="27" state="hidden" r:id="rId23"/>
    <sheet name="Sensitivity wrksht_Maternal" sheetId="29" state="hidden" r:id="rId24"/>
  </sheets>
  <externalReferences>
    <externalReference r:id="rId25"/>
  </externalReferences>
  <definedNames>
    <definedName name="BPD_birth_rate">#REF!</definedName>
    <definedName name="BPD_hospitalized_with_RSV">#REF!</definedName>
    <definedName name="CHD_birth_rate">#REF!</definedName>
    <definedName name="CHD_Hospitalized_with_RSV">#REF!</definedName>
    <definedName name="conBig">9.99999999999999E+307</definedName>
    <definedName name="conZzz">"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definedName>
    <definedName name="ED_Visit__low_risk_infant">#REF!</definedName>
    <definedName name="ED_Visit_high_risk_infant">#REF!</definedName>
    <definedName name="Hospitalization__low_risk_infant">#REF!</definedName>
    <definedName name="Hospitalization_high_risk_infant">#REF!</definedName>
    <definedName name="Initial_I" localSheetId="4">#REF!</definedName>
    <definedName name="Initial_I" localSheetId="5">#REF!</definedName>
    <definedName name="Initial_I" localSheetId="6">#REF!</definedName>
    <definedName name="Initial_I" localSheetId="7">#REF!</definedName>
    <definedName name="Initial_I" localSheetId="20">#REF!</definedName>
    <definedName name="Initial_I" localSheetId="18">#REF!</definedName>
    <definedName name="Initial_I" localSheetId="10">#REF!</definedName>
    <definedName name="Initial_I" localSheetId="11">#REF!</definedName>
    <definedName name="Initial_I" localSheetId="23">#REF!</definedName>
    <definedName name="Initial_I" localSheetId="19">#REF!</definedName>
    <definedName name="Initial_I" localSheetId="17">#REF!</definedName>
    <definedName name="Initial_I">#REF!</definedName>
    <definedName name="No" localSheetId="4">#REF!</definedName>
    <definedName name="No" localSheetId="5">#REF!</definedName>
    <definedName name="No" localSheetId="6">#REF!</definedName>
    <definedName name="No" localSheetId="7">#REF!</definedName>
    <definedName name="No" localSheetId="20">#REF!</definedName>
    <definedName name="No" localSheetId="18">#REF!</definedName>
    <definedName name="No" localSheetId="10">#REF!</definedName>
    <definedName name="No" localSheetId="11">#REF!</definedName>
    <definedName name="No" localSheetId="23">#REF!</definedName>
    <definedName name="No" localSheetId="19">#REF!</definedName>
    <definedName name="No" localSheetId="17">#REF!</definedName>
    <definedName name="No">#REF!</definedName>
    <definedName name="Outpatient_Visit__low_risk_infant">#REF!</definedName>
    <definedName name="OutPt_Visit_high_risk_infant">#REF!</definedName>
    <definedName name="OverallSympHospitalized" localSheetId="4">#REF!</definedName>
    <definedName name="OverallSympHospitalized" localSheetId="5">#REF!</definedName>
    <definedName name="OverallSympHospitalized" localSheetId="6">#REF!</definedName>
    <definedName name="OverallSympHospitalized" localSheetId="7">#REF!</definedName>
    <definedName name="OverallSympHospitalized" localSheetId="20">#REF!</definedName>
    <definedName name="OverallSympHospitalized" localSheetId="18">#REF!</definedName>
    <definedName name="OverallSympHospitalized" localSheetId="10">#REF!</definedName>
    <definedName name="OverallSympHospitalized" localSheetId="11">#REF!</definedName>
    <definedName name="OverallSympHospitalized" localSheetId="23">#REF!</definedName>
    <definedName name="OverallSympHospitalized" localSheetId="19">#REF!</definedName>
    <definedName name="OverallSympHospitalized" localSheetId="17">#REF!</definedName>
    <definedName name="OverallSympHospitalized">#REF!</definedName>
    <definedName name="Premature_birth_rate">#REF!</definedName>
    <definedName name="Premature_hospitalized_with_RSV">#REF!</definedName>
    <definedName name="_xlnm.Print_Area" localSheetId="22">'Sensitivity wrksht_Antibody'!#REF!</definedName>
    <definedName name="_xlnm.Print_Area" localSheetId="23">'Sensitivity wrksht_Maternal'!#REF!</definedName>
    <definedName name="s" localSheetId="4">#REF!</definedName>
    <definedName name="s" localSheetId="5">#REF!</definedName>
    <definedName name="s" localSheetId="6">#REF!</definedName>
    <definedName name="s" localSheetId="7">#REF!</definedName>
    <definedName name="s" localSheetId="20">#REF!</definedName>
    <definedName name="s" localSheetId="18">#REF!</definedName>
    <definedName name="s" localSheetId="10">#REF!</definedName>
    <definedName name="s" localSheetId="11">#REF!</definedName>
    <definedName name="s" localSheetId="23">#REF!</definedName>
    <definedName name="s" localSheetId="19">#REF!</definedName>
    <definedName name="s" localSheetId="17">#REF!</definedName>
    <definedName name="s">#REF!</definedName>
    <definedName name="TotalPop" localSheetId="4">#REF!</definedName>
    <definedName name="TotalPop" localSheetId="5">#REF!</definedName>
    <definedName name="TotalPop" localSheetId="6">#REF!</definedName>
    <definedName name="TotalPop" localSheetId="7">#REF!</definedName>
    <definedName name="TotalPop" localSheetId="20">#REF!</definedName>
    <definedName name="TotalPop" localSheetId="18">#REF!</definedName>
    <definedName name="TotalPop" localSheetId="10">#REF!</definedName>
    <definedName name="TotalPop" localSheetId="11">#REF!</definedName>
    <definedName name="TotalPop" localSheetId="23">#REF!</definedName>
    <definedName name="TotalPop" localSheetId="19">#REF!</definedName>
    <definedName name="TotalPop" localSheetId="17">#REF!</definedName>
    <definedName name="TotalPop">#REF!</definedName>
    <definedName name="u" localSheetId="4">#REF!</definedName>
    <definedName name="u" localSheetId="5">#REF!</definedName>
    <definedName name="u" localSheetId="6">#REF!</definedName>
    <definedName name="u" localSheetId="7">#REF!</definedName>
    <definedName name="u" localSheetId="20">#REF!</definedName>
    <definedName name="u" localSheetId="18">#REF!</definedName>
    <definedName name="u" localSheetId="10">#REF!</definedName>
    <definedName name="u" localSheetId="11">#REF!</definedName>
    <definedName name="u" localSheetId="23">#REF!</definedName>
    <definedName name="u" localSheetId="19">#REF!</definedName>
    <definedName name="u" localSheetId="17">#REF!</definedName>
    <definedName name="u">#REF!</definedName>
    <definedName name="vbLf">CHAR(10)</definedName>
    <definedName name="x" localSheetId="4">#REF!</definedName>
    <definedName name="x" localSheetId="5">#REF!</definedName>
    <definedName name="x" localSheetId="6">#REF!</definedName>
    <definedName name="x" localSheetId="7">#REF!</definedName>
    <definedName name="x" localSheetId="20">#REF!</definedName>
    <definedName name="x" localSheetId="18">#REF!</definedName>
    <definedName name="x" localSheetId="10">#REF!</definedName>
    <definedName name="x" localSheetId="11">#REF!</definedName>
    <definedName name="x" localSheetId="23">#REF!</definedName>
    <definedName name="x" localSheetId="19">#REF!</definedName>
    <definedName name="x" localSheetId="17">#REF!</definedName>
    <definedName name="x">#REF!</definedName>
    <definedName name="YES_NO" localSheetId="4">[1]CASE_COUNTS!#REF!</definedName>
    <definedName name="YES_NO" localSheetId="5">[1]CASE_COUNTS!#REF!</definedName>
    <definedName name="YES_NO" localSheetId="6">[1]CASE_COUNTS!#REF!</definedName>
    <definedName name="YES_NO" localSheetId="7">[1]CASE_COUNTS!#REF!</definedName>
    <definedName name="YES_NO" localSheetId="20">[1]CASE_COUNTS!#REF!</definedName>
    <definedName name="YES_NO" localSheetId="18">[1]CASE_COUNTS!#REF!</definedName>
    <definedName name="YES_NO" localSheetId="10">[1]CASE_COUNTS!#REF!</definedName>
    <definedName name="YES_NO" localSheetId="11">[1]CASE_COUNTS!#REF!</definedName>
    <definedName name="YES_NO" localSheetId="23">[1]CASE_COUNTS!#REF!</definedName>
    <definedName name="YES_NO" localSheetId="19">[1]CASE_COUNTS!#REF!</definedName>
    <definedName name="YES_NO" localSheetId="17">[1]CASE_COUNTS!#REF!</definedName>
    <definedName name="YES_NO">[1]CASE_COUNTS!#REF!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8" l="1"/>
  <c r="D67" i="34" l="1"/>
  <c r="E66" i="34"/>
  <c r="D66" i="34"/>
  <c r="F65" i="34"/>
  <c r="E65" i="34"/>
  <c r="D65" i="34"/>
  <c r="G64" i="34"/>
  <c r="F64" i="34"/>
  <c r="E64" i="34"/>
  <c r="D64" i="34"/>
  <c r="H63" i="34"/>
  <c r="G63" i="34"/>
  <c r="F63" i="34"/>
  <c r="E63" i="34"/>
  <c r="D63" i="34"/>
  <c r="I62" i="34"/>
  <c r="H62" i="34"/>
  <c r="G62" i="34"/>
  <c r="F62" i="34"/>
  <c r="E62" i="34"/>
  <c r="D62" i="34"/>
  <c r="J61" i="34"/>
  <c r="I61" i="34"/>
  <c r="H61" i="34"/>
  <c r="G61" i="34"/>
  <c r="F61" i="34"/>
  <c r="E61" i="34"/>
  <c r="D61" i="34"/>
  <c r="K60" i="34"/>
  <c r="J60" i="34"/>
  <c r="I60" i="34"/>
  <c r="H60" i="34"/>
  <c r="G60" i="34"/>
  <c r="F60" i="34"/>
  <c r="E60" i="34"/>
  <c r="D60" i="34"/>
  <c r="L59" i="34"/>
  <c r="K59" i="34"/>
  <c r="J59" i="34"/>
  <c r="I59" i="34"/>
  <c r="H59" i="34"/>
  <c r="G59" i="34"/>
  <c r="F59" i="34"/>
  <c r="E59" i="34"/>
  <c r="D59" i="34"/>
  <c r="M58" i="34"/>
  <c r="L58" i="34"/>
  <c r="K58" i="34"/>
  <c r="J58" i="34"/>
  <c r="I58" i="34"/>
  <c r="H58" i="34"/>
  <c r="G58" i="34"/>
  <c r="F58" i="34"/>
  <c r="E58" i="34"/>
  <c r="D58" i="34"/>
  <c r="N57" i="34"/>
  <c r="M57" i="34"/>
  <c r="L57" i="34"/>
  <c r="K57" i="34"/>
  <c r="J57" i="34"/>
  <c r="I57" i="34"/>
  <c r="H57" i="34"/>
  <c r="G57" i="34"/>
  <c r="F57" i="34"/>
  <c r="H54" i="34" s="1"/>
  <c r="M54" i="34" s="1"/>
  <c r="E57" i="34"/>
  <c r="D57" i="34"/>
  <c r="M35" i="34"/>
  <c r="L35" i="34"/>
  <c r="L36" i="34"/>
  <c r="K35" i="34"/>
  <c r="K36" i="34"/>
  <c r="K37" i="34"/>
  <c r="J35" i="34"/>
  <c r="J36" i="34"/>
  <c r="J37" i="34"/>
  <c r="J38" i="34"/>
  <c r="I35" i="34"/>
  <c r="I36" i="34"/>
  <c r="I37" i="34"/>
  <c r="I38" i="34"/>
  <c r="I39" i="34"/>
  <c r="H35" i="34"/>
  <c r="H36" i="34"/>
  <c r="H37" i="34"/>
  <c r="H38" i="34"/>
  <c r="H39" i="34"/>
  <c r="H40" i="34"/>
  <c r="G35" i="34"/>
  <c r="G36" i="34"/>
  <c r="G37" i="34"/>
  <c r="G38" i="34"/>
  <c r="G39" i="34"/>
  <c r="G40" i="34"/>
  <c r="G41" i="34"/>
  <c r="F35" i="34"/>
  <c r="F36" i="34"/>
  <c r="F37" i="34"/>
  <c r="F38" i="34"/>
  <c r="F39" i="34"/>
  <c r="F40" i="34"/>
  <c r="F41" i="34"/>
  <c r="F42" i="34"/>
  <c r="E35" i="34"/>
  <c r="E36" i="34"/>
  <c r="E37" i="34"/>
  <c r="E38" i="34"/>
  <c r="E39" i="34"/>
  <c r="E40" i="34"/>
  <c r="E41" i="34"/>
  <c r="E42" i="34"/>
  <c r="E43" i="34"/>
  <c r="D35" i="34"/>
  <c r="D36" i="34"/>
  <c r="D37" i="34"/>
  <c r="D38" i="34"/>
  <c r="D39" i="34"/>
  <c r="D40" i="34"/>
  <c r="D41" i="34"/>
  <c r="D42" i="34"/>
  <c r="D43" i="34"/>
  <c r="D44" i="34"/>
  <c r="N34" i="34"/>
  <c r="M34" i="34"/>
  <c r="L34" i="34"/>
  <c r="K34" i="34"/>
  <c r="J34" i="34"/>
  <c r="I34" i="34"/>
  <c r="H34" i="34"/>
  <c r="G34" i="34"/>
  <c r="F34" i="34"/>
  <c r="E34" i="34"/>
  <c r="D34" i="34"/>
  <c r="M14" i="34"/>
  <c r="L14" i="34"/>
  <c r="L15" i="34"/>
  <c r="K14" i="34"/>
  <c r="K15" i="34"/>
  <c r="K16" i="34"/>
  <c r="J14" i="34"/>
  <c r="J15" i="34"/>
  <c r="J16" i="34"/>
  <c r="J17" i="34"/>
  <c r="I14" i="34"/>
  <c r="I15" i="34"/>
  <c r="I16" i="34"/>
  <c r="I17" i="34"/>
  <c r="I18" i="34"/>
  <c r="H14" i="34"/>
  <c r="H15" i="34"/>
  <c r="H16" i="34"/>
  <c r="H17" i="34"/>
  <c r="H18" i="34"/>
  <c r="H19" i="34"/>
  <c r="G14" i="34"/>
  <c r="G15" i="34"/>
  <c r="G16" i="34"/>
  <c r="G17" i="34"/>
  <c r="G18" i="34"/>
  <c r="G19" i="34"/>
  <c r="G20" i="34"/>
  <c r="F14" i="34"/>
  <c r="F15" i="34"/>
  <c r="F16" i="34"/>
  <c r="F17" i="34"/>
  <c r="F18" i="34"/>
  <c r="F19" i="34"/>
  <c r="F20" i="34"/>
  <c r="F21" i="34"/>
  <c r="E14" i="34"/>
  <c r="E15" i="34"/>
  <c r="E16" i="34"/>
  <c r="E17" i="34"/>
  <c r="E18" i="34"/>
  <c r="E19" i="34"/>
  <c r="E20" i="34"/>
  <c r="E21" i="34"/>
  <c r="E22" i="34"/>
  <c r="D14" i="34"/>
  <c r="D15" i="34"/>
  <c r="D16" i="34"/>
  <c r="D17" i="34"/>
  <c r="D18" i="34"/>
  <c r="D19" i="34"/>
  <c r="D20" i="34"/>
  <c r="D21" i="34"/>
  <c r="D22" i="34"/>
  <c r="D23" i="34"/>
  <c r="N13" i="34"/>
  <c r="M13" i="34"/>
  <c r="L13" i="34"/>
  <c r="K13" i="34"/>
  <c r="J13" i="34"/>
  <c r="I13" i="34"/>
  <c r="H13" i="34"/>
  <c r="G13" i="34"/>
  <c r="F13" i="34"/>
  <c r="E13" i="34"/>
  <c r="D13" i="34"/>
  <c r="I4" i="34"/>
  <c r="F4" i="34"/>
  <c r="M58" i="33"/>
  <c r="L58" i="33"/>
  <c r="L59" i="33"/>
  <c r="K58" i="33"/>
  <c r="K59" i="33"/>
  <c r="K60" i="33"/>
  <c r="J58" i="33"/>
  <c r="J59" i="33"/>
  <c r="J60" i="33"/>
  <c r="J61" i="33"/>
  <c r="I58" i="33"/>
  <c r="I59" i="33"/>
  <c r="I60" i="33"/>
  <c r="I61" i="33"/>
  <c r="I62" i="33"/>
  <c r="H58" i="33"/>
  <c r="H59" i="33"/>
  <c r="H60" i="33"/>
  <c r="H61" i="33"/>
  <c r="H62" i="33"/>
  <c r="H63" i="33"/>
  <c r="G58" i="33"/>
  <c r="G59" i="33"/>
  <c r="G60" i="33"/>
  <c r="G61" i="33"/>
  <c r="G62" i="33"/>
  <c r="G63" i="33"/>
  <c r="G64" i="33"/>
  <c r="F58" i="33"/>
  <c r="F59" i="33"/>
  <c r="F60" i="33"/>
  <c r="F61" i="33"/>
  <c r="F62" i="33"/>
  <c r="F63" i="33"/>
  <c r="F64" i="33"/>
  <c r="F65" i="33"/>
  <c r="E58" i="33"/>
  <c r="E59" i="33"/>
  <c r="E60" i="33"/>
  <c r="E61" i="33"/>
  <c r="E62" i="33"/>
  <c r="E63" i="33"/>
  <c r="E64" i="33"/>
  <c r="E65" i="33"/>
  <c r="E66" i="33"/>
  <c r="D58" i="33"/>
  <c r="D59" i="33"/>
  <c r="D60" i="33"/>
  <c r="D61" i="33"/>
  <c r="D62" i="33"/>
  <c r="D63" i="33"/>
  <c r="D64" i="33"/>
  <c r="D65" i="33"/>
  <c r="D66" i="33"/>
  <c r="D67" i="33"/>
  <c r="N57" i="33"/>
  <c r="M57" i="33"/>
  <c r="L57" i="33"/>
  <c r="K57" i="33"/>
  <c r="J57" i="33"/>
  <c r="I57" i="33"/>
  <c r="H57" i="33"/>
  <c r="G57" i="33"/>
  <c r="F57" i="33"/>
  <c r="E57" i="33"/>
  <c r="D57" i="33"/>
  <c r="J14" i="33"/>
  <c r="J15" i="33"/>
  <c r="J16" i="33"/>
  <c r="J17" i="33"/>
  <c r="J13" i="33"/>
  <c r="D23" i="33"/>
  <c r="E22" i="33"/>
  <c r="D22" i="33"/>
  <c r="F21" i="33"/>
  <c r="E21" i="33"/>
  <c r="D21" i="33"/>
  <c r="G20" i="33"/>
  <c r="F20" i="33"/>
  <c r="E20" i="33"/>
  <c r="D20" i="33"/>
  <c r="H19" i="33"/>
  <c r="G19" i="33"/>
  <c r="F19" i="33"/>
  <c r="E19" i="33"/>
  <c r="D19" i="33"/>
  <c r="I18" i="33"/>
  <c r="H18" i="33"/>
  <c r="G18" i="33"/>
  <c r="F18" i="33"/>
  <c r="E18" i="33"/>
  <c r="D18" i="33"/>
  <c r="I17" i="33"/>
  <c r="H17" i="33"/>
  <c r="G17" i="33"/>
  <c r="F17" i="33"/>
  <c r="E17" i="33"/>
  <c r="D17" i="33"/>
  <c r="K16" i="33"/>
  <c r="I16" i="33"/>
  <c r="H16" i="33"/>
  <c r="G16" i="33"/>
  <c r="F16" i="33"/>
  <c r="E16" i="33"/>
  <c r="D16" i="33"/>
  <c r="L15" i="33"/>
  <c r="K15" i="33"/>
  <c r="I15" i="33"/>
  <c r="H15" i="33"/>
  <c r="G15" i="33"/>
  <c r="F15" i="33"/>
  <c r="E15" i="33"/>
  <c r="D15" i="33"/>
  <c r="M14" i="33"/>
  <c r="L14" i="33"/>
  <c r="K14" i="33"/>
  <c r="I14" i="33"/>
  <c r="H14" i="33"/>
  <c r="G14" i="33"/>
  <c r="F14" i="33"/>
  <c r="E14" i="33"/>
  <c r="D14" i="33"/>
  <c r="N13" i="33"/>
  <c r="M13" i="33"/>
  <c r="L13" i="33"/>
  <c r="K13" i="33"/>
  <c r="I13" i="33"/>
  <c r="H13" i="33"/>
  <c r="G13" i="33"/>
  <c r="F13" i="33"/>
  <c r="E13" i="33"/>
  <c r="D13" i="33"/>
  <c r="I4" i="33"/>
  <c r="I5" i="33" s="1"/>
  <c r="F4" i="33"/>
  <c r="I4" i="32"/>
  <c r="F4" i="32"/>
  <c r="BB6" i="23"/>
  <c r="BB5" i="23"/>
  <c r="AY6" i="23"/>
  <c r="C9" i="23"/>
  <c r="C10" i="23"/>
  <c r="C11" i="23"/>
  <c r="C12" i="23"/>
  <c r="C13" i="23"/>
  <c r="C15" i="23"/>
  <c r="C16" i="23"/>
  <c r="C17" i="23"/>
  <c r="C18" i="23"/>
  <c r="C19" i="23"/>
  <c r="C33" i="23"/>
  <c r="C34" i="23"/>
  <c r="C35" i="23"/>
  <c r="C36" i="23"/>
  <c r="C37" i="23"/>
  <c r="C39" i="23"/>
  <c r="C40" i="23"/>
  <c r="C41" i="23"/>
  <c r="C42" i="23"/>
  <c r="C43" i="23"/>
  <c r="C57" i="23"/>
  <c r="C58" i="23"/>
  <c r="C59" i="23"/>
  <c r="C60" i="23"/>
  <c r="C61" i="23"/>
  <c r="C63" i="23"/>
  <c r="C64" i="23"/>
  <c r="C65" i="23"/>
  <c r="C66" i="23"/>
  <c r="C67" i="23"/>
  <c r="C62" i="23"/>
  <c r="C56" i="23"/>
  <c r="C38" i="23"/>
  <c r="C32" i="23"/>
  <c r="C14" i="23"/>
  <c r="C8" i="23"/>
  <c r="BB6" i="21"/>
  <c r="BB5" i="21"/>
  <c r="BB6" i="4"/>
  <c r="BB5" i="4"/>
  <c r="AY6" i="21"/>
  <c r="AY6" i="4"/>
  <c r="E8" i="21"/>
  <c r="C61" i="21"/>
  <c r="C62" i="21"/>
  <c r="C63" i="21"/>
  <c r="C64" i="21"/>
  <c r="C65" i="21"/>
  <c r="C60" i="21"/>
  <c r="C55" i="21"/>
  <c r="C56" i="21"/>
  <c r="C57" i="21"/>
  <c r="C58" i="21"/>
  <c r="C59" i="21"/>
  <c r="C54" i="21"/>
  <c r="C38" i="21"/>
  <c r="C39" i="21"/>
  <c r="C40" i="21"/>
  <c r="C41" i="21"/>
  <c r="C42" i="21"/>
  <c r="C32" i="21"/>
  <c r="C33" i="21"/>
  <c r="C34" i="21"/>
  <c r="C35" i="21"/>
  <c r="C36" i="21"/>
  <c r="C37" i="21"/>
  <c r="C31" i="21"/>
  <c r="C15" i="21"/>
  <c r="C16" i="21"/>
  <c r="C17" i="21"/>
  <c r="C18" i="21"/>
  <c r="C19" i="21"/>
  <c r="C14" i="21"/>
  <c r="C9" i="21"/>
  <c r="C10" i="21"/>
  <c r="C11" i="21"/>
  <c r="C12" i="21"/>
  <c r="C13" i="21"/>
  <c r="C8" i="21"/>
  <c r="H10" i="34" l="1"/>
  <c r="M10" i="34" s="1"/>
  <c r="I5" i="34"/>
  <c r="H31" i="34"/>
  <c r="M31" i="34" s="1"/>
  <c r="H54" i="33"/>
  <c r="M54" i="33" s="1"/>
  <c r="H10" i="33"/>
  <c r="M10" i="33" s="1"/>
  <c r="N57" i="32"/>
  <c r="CD59" i="4"/>
  <c r="CD35" i="4"/>
  <c r="O57" i="4"/>
  <c r="O58" i="4"/>
  <c r="O59" i="4"/>
  <c r="O60" i="4"/>
  <c r="O61" i="4"/>
  <c r="O62" i="4"/>
  <c r="O63" i="4"/>
  <c r="O64" i="4"/>
  <c r="O65" i="4"/>
  <c r="O66" i="4"/>
  <c r="O67" i="4"/>
  <c r="O68" i="4"/>
  <c r="C9" i="4" l="1"/>
  <c r="BF59" i="4"/>
  <c r="BF35" i="4"/>
  <c r="BF10" i="4"/>
  <c r="C64" i="4"/>
  <c r="C65" i="4"/>
  <c r="C66" i="4"/>
  <c r="C67" i="4"/>
  <c r="C68" i="4"/>
  <c r="C63" i="4"/>
  <c r="C58" i="4"/>
  <c r="C59" i="4"/>
  <c r="C60" i="4"/>
  <c r="C61" i="4"/>
  <c r="C62" i="4"/>
  <c r="C57" i="4"/>
  <c r="C40" i="4"/>
  <c r="C41" i="4"/>
  <c r="C42" i="4"/>
  <c r="C43" i="4"/>
  <c r="C44" i="4"/>
  <c r="C39" i="4"/>
  <c r="C34" i="4"/>
  <c r="C35" i="4"/>
  <c r="C36" i="4"/>
  <c r="C37" i="4"/>
  <c r="C38" i="4"/>
  <c r="C33" i="4"/>
  <c r="O35" i="4" l="1"/>
  <c r="O39" i="4"/>
  <c r="O43" i="4"/>
  <c r="O38" i="4"/>
  <c r="O36" i="4"/>
  <c r="O40" i="4"/>
  <c r="O44" i="4"/>
  <c r="N34" i="32" s="1"/>
  <c r="O34" i="4"/>
  <c r="O42" i="4"/>
  <c r="O33" i="4"/>
  <c r="O37" i="4"/>
  <c r="O41" i="4"/>
  <c r="T7" i="32"/>
  <c r="U7" i="32"/>
  <c r="V7" i="32"/>
  <c r="W7" i="32"/>
  <c r="X7" i="32"/>
  <c r="M10" i="35"/>
  <c r="CD10" i="4"/>
  <c r="BH10" i="4" l="1"/>
  <c r="M42" i="35" l="1"/>
  <c r="M39" i="35"/>
  <c r="M36" i="35"/>
  <c r="M29" i="35"/>
  <c r="M26" i="35"/>
  <c r="M23" i="35"/>
  <c r="M16" i="35"/>
  <c r="M13" i="35"/>
  <c r="C15" i="4" l="1"/>
  <c r="C16" i="4"/>
  <c r="C17" i="4"/>
  <c r="C18" i="4"/>
  <c r="C19" i="4"/>
  <c r="C14" i="4"/>
  <c r="C10" i="4"/>
  <c r="C11" i="4"/>
  <c r="C12" i="4"/>
  <c r="C13" i="4"/>
  <c r="C8" i="4"/>
  <c r="O9" i="4" l="1"/>
  <c r="O13" i="4"/>
  <c r="O17" i="4"/>
  <c r="O16" i="4"/>
  <c r="O10" i="4"/>
  <c r="O14" i="4"/>
  <c r="O18" i="4"/>
  <c r="O12" i="4"/>
  <c r="O11" i="4"/>
  <c r="O15" i="4"/>
  <c r="O19" i="4"/>
  <c r="N13" i="32" s="1"/>
  <c r="O8" i="4"/>
  <c r="J5" i="20"/>
  <c r="R3" i="35" l="1"/>
  <c r="C46" i="21" l="1"/>
  <c r="C45" i="21"/>
  <c r="C47" i="23"/>
  <c r="C46" i="23"/>
  <c r="C68" i="21"/>
  <c r="C69" i="21"/>
  <c r="C70" i="23"/>
  <c r="C71" i="23"/>
  <c r="C47" i="4"/>
  <c r="C48" i="4"/>
  <c r="C71" i="4"/>
  <c r="C72" i="4"/>
  <c r="G24" i="13"/>
  <c r="I24" i="13" l="1"/>
  <c r="G49" i="8"/>
  <c r="G9" i="8" s="1"/>
  <c r="AH49" i="8"/>
  <c r="L39" i="9"/>
  <c r="L40" i="9"/>
  <c r="AD16" i="20" l="1"/>
  <c r="AH16" i="20" s="1"/>
  <c r="AD17" i="20"/>
  <c r="AH17" i="20" s="1"/>
  <c r="AD18" i="20"/>
  <c r="AH18" i="20" s="1"/>
  <c r="AD19" i="20"/>
  <c r="AH19" i="20" s="1"/>
  <c r="AD20" i="20"/>
  <c r="AD21" i="20"/>
  <c r="AH21" i="20" s="1"/>
  <c r="AD22" i="20"/>
  <c r="AD23" i="20"/>
  <c r="AH23" i="20" s="1"/>
  <c r="AD15" i="20"/>
  <c r="AH15" i="20" s="1"/>
  <c r="AS7" i="34" l="1"/>
  <c r="AT7" i="34"/>
  <c r="AU7" i="34"/>
  <c r="AV7" i="34"/>
  <c r="AW7" i="34"/>
  <c r="AX7" i="34"/>
  <c r="AY7" i="34"/>
  <c r="AZ7" i="34"/>
  <c r="BA7" i="34"/>
  <c r="BB7" i="34"/>
  <c r="BC7" i="34"/>
  <c r="AR7" i="34"/>
  <c r="AS7" i="33"/>
  <c r="AT7" i="33"/>
  <c r="AU7" i="33"/>
  <c r="AV7" i="33"/>
  <c r="AW7" i="33"/>
  <c r="AX7" i="33"/>
  <c r="AY7" i="33"/>
  <c r="AZ7" i="33"/>
  <c r="BA7" i="33"/>
  <c r="BB7" i="33"/>
  <c r="BC7" i="33"/>
  <c r="AR7" i="33"/>
  <c r="AS7" i="32"/>
  <c r="AT7" i="32"/>
  <c r="AU7" i="32"/>
  <c r="AV7" i="32"/>
  <c r="AW7" i="32"/>
  <c r="AX7" i="32"/>
  <c r="AY7" i="32"/>
  <c r="AZ7" i="32"/>
  <c r="BA7" i="32"/>
  <c r="BB7" i="32"/>
  <c r="BC7" i="32"/>
  <c r="AR7" i="32"/>
  <c r="N7" i="4" l="1"/>
  <c r="CB58" i="23"/>
  <c r="CB34" i="23"/>
  <c r="CB10" i="23"/>
  <c r="BF58" i="23"/>
  <c r="BF34" i="23"/>
  <c r="BF10" i="23"/>
  <c r="CB56" i="21"/>
  <c r="CB33" i="21"/>
  <c r="CB10" i="21"/>
  <c r="BF56" i="21"/>
  <c r="BF33" i="21"/>
  <c r="BF10" i="21"/>
  <c r="AG27" i="20"/>
  <c r="T36" i="35"/>
  <c r="T23" i="35"/>
  <c r="T10" i="35"/>
  <c r="N59" i="4" l="1"/>
  <c r="N14" i="4"/>
  <c r="N68" i="4"/>
  <c r="M58" i="32" s="1"/>
  <c r="N36" i="4"/>
  <c r="N40" i="4"/>
  <c r="N44" i="4"/>
  <c r="M35" i="32" s="1"/>
  <c r="N11" i="4"/>
  <c r="N15" i="4"/>
  <c r="N19" i="4"/>
  <c r="M14" i="32" s="1"/>
  <c r="N57" i="4"/>
  <c r="N63" i="4"/>
  <c r="N67" i="4"/>
  <c r="M57" i="32" s="1"/>
  <c r="N35" i="4"/>
  <c r="N39" i="4"/>
  <c r="N43" i="4"/>
  <c r="M34" i="32" s="1"/>
  <c r="N10" i="4"/>
  <c r="N16" i="4"/>
  <c r="N58" i="4"/>
  <c r="N60" i="4"/>
  <c r="N62" i="4"/>
  <c r="N64" i="4"/>
  <c r="N66" i="4"/>
  <c r="N34" i="4"/>
  <c r="N38" i="4"/>
  <c r="N42" i="4"/>
  <c r="N9" i="4"/>
  <c r="N13" i="4"/>
  <c r="N17" i="4"/>
  <c r="N61" i="4"/>
  <c r="N65" i="4"/>
  <c r="N33" i="4"/>
  <c r="N37" i="4"/>
  <c r="N41" i="4"/>
  <c r="N8" i="4"/>
  <c r="N12" i="4"/>
  <c r="N18" i="4"/>
  <c r="M13" i="32" s="1"/>
  <c r="CD36" i="4"/>
  <c r="CD37" i="4" s="1"/>
  <c r="CD38" i="4" s="1"/>
  <c r="CD39" i="4" s="1"/>
  <c r="CD40" i="4" s="1"/>
  <c r="CD41" i="4" s="1"/>
  <c r="CD42" i="4" s="1"/>
  <c r="CD43" i="4" s="1"/>
  <c r="CD44" i="4" s="1"/>
  <c r="CD45" i="4" s="1"/>
  <c r="CD46" i="4" s="1"/>
  <c r="CD60" i="4"/>
  <c r="CD61" i="4" s="1"/>
  <c r="CD62" i="4" s="1"/>
  <c r="CD63" i="4" s="1"/>
  <c r="CD64" i="4" s="1"/>
  <c r="CD65" i="4" s="1"/>
  <c r="CD66" i="4" s="1"/>
  <c r="CD67" i="4" s="1"/>
  <c r="CD68" i="4" s="1"/>
  <c r="CD69" i="4" s="1"/>
  <c r="CD70" i="4" s="1"/>
  <c r="BF60" i="4"/>
  <c r="BF61" i="4" s="1"/>
  <c r="BF62" i="4" s="1"/>
  <c r="BF63" i="4" s="1"/>
  <c r="BF64" i="4" s="1"/>
  <c r="BF65" i="4" s="1"/>
  <c r="BF66" i="4" s="1"/>
  <c r="BF67" i="4" s="1"/>
  <c r="BF68" i="4" s="1"/>
  <c r="BF69" i="4" s="1"/>
  <c r="BF70" i="4" s="1"/>
  <c r="BF11" i="4"/>
  <c r="BF12" i="4" s="1"/>
  <c r="BF13" i="4" s="1"/>
  <c r="BF14" i="4" s="1"/>
  <c r="BF15" i="4" s="1"/>
  <c r="BF16" i="4" s="1"/>
  <c r="BF17" i="4" s="1"/>
  <c r="BF18" i="4" s="1"/>
  <c r="BF19" i="4" s="1"/>
  <c r="BF20" i="4" s="1"/>
  <c r="BF21" i="4" s="1"/>
  <c r="BF36" i="4"/>
  <c r="BF37" i="4" s="1"/>
  <c r="BF38" i="4" s="1"/>
  <c r="BF39" i="4" s="1"/>
  <c r="BF40" i="4" s="1"/>
  <c r="BF41" i="4" s="1"/>
  <c r="BF42" i="4" s="1"/>
  <c r="BF43" i="4" s="1"/>
  <c r="BF44" i="4" s="1"/>
  <c r="BF45" i="4" s="1"/>
  <c r="BF46" i="4" s="1"/>
  <c r="AG69" i="34"/>
  <c r="AG14" i="32"/>
  <c r="AG15" i="32" s="1"/>
  <c r="AG16" i="32" s="1"/>
  <c r="AG17" i="32" s="1"/>
  <c r="AG18" i="32" s="1"/>
  <c r="AG19" i="32" s="1"/>
  <c r="AG20" i="32" s="1"/>
  <c r="AG23" i="32"/>
  <c r="AG24" i="32"/>
  <c r="AG21" i="32"/>
  <c r="AG25" i="32"/>
  <c r="AG22" i="32"/>
  <c r="CD11" i="4"/>
  <c r="CD12" i="4" s="1"/>
  <c r="CD13" i="4" s="1"/>
  <c r="CD14" i="4" s="1"/>
  <c r="CD15" i="4" s="1"/>
  <c r="CD16" i="4" s="1"/>
  <c r="CD17" i="4" s="1"/>
  <c r="CD18" i="4" s="1"/>
  <c r="CD19" i="4" s="1"/>
  <c r="CD20" i="4" s="1"/>
  <c r="CD21" i="4" s="1"/>
  <c r="BE14" i="32"/>
  <c r="BE15" i="32" s="1"/>
  <c r="BE16" i="32" s="1"/>
  <c r="BE17" i="32" s="1"/>
  <c r="BE18" i="32" s="1"/>
  <c r="BE19" i="32" s="1"/>
  <c r="BE20" i="32" s="1"/>
  <c r="BE24" i="32"/>
  <c r="BJ24" i="32" s="1"/>
  <c r="BE21" i="32"/>
  <c r="BJ21" i="32" s="1"/>
  <c r="BE25" i="32"/>
  <c r="BJ25" i="32" s="1"/>
  <c r="BE22" i="32"/>
  <c r="BJ22" i="32" s="1"/>
  <c r="BE23" i="32"/>
  <c r="BJ23" i="32" s="1"/>
  <c r="AG58" i="32"/>
  <c r="AG69" i="32"/>
  <c r="AG68" i="32"/>
  <c r="CB57" i="21"/>
  <c r="CB58" i="21" s="1"/>
  <c r="CB59" i="21" s="1"/>
  <c r="CB60" i="21" s="1"/>
  <c r="CB61" i="21" s="1"/>
  <c r="CB62" i="21" s="1"/>
  <c r="CB63" i="21" s="1"/>
  <c r="CB64" i="21" s="1"/>
  <c r="CB65" i="21" s="1"/>
  <c r="CB66" i="21" s="1"/>
  <c r="CB67" i="21" s="1"/>
  <c r="BE46" i="32"/>
  <c r="BE46" i="33"/>
  <c r="BE69" i="33"/>
  <c r="AG35" i="34"/>
  <c r="AG36" i="34" s="1"/>
  <c r="AG37" i="34" s="1"/>
  <c r="AG38" i="34" s="1"/>
  <c r="AG39" i="34" s="1"/>
  <c r="AG40" i="34" s="1"/>
  <c r="AG41" i="34" s="1"/>
  <c r="AG42" i="34" s="1"/>
  <c r="AG43" i="34" s="1"/>
  <c r="BF57" i="21"/>
  <c r="BF58" i="21" s="1"/>
  <c r="BF59" i="21" s="1"/>
  <c r="BF60" i="21" s="1"/>
  <c r="BF61" i="21" s="1"/>
  <c r="BF62" i="21" s="1"/>
  <c r="BF63" i="21" s="1"/>
  <c r="BF64" i="21" s="1"/>
  <c r="BF65" i="21" s="1"/>
  <c r="BF66" i="21" s="1"/>
  <c r="BF67" i="21" s="1"/>
  <c r="BF11" i="23"/>
  <c r="BF12" i="23" s="1"/>
  <c r="BF13" i="23" s="1"/>
  <c r="BF14" i="23" s="1"/>
  <c r="BF15" i="23" s="1"/>
  <c r="BF16" i="23" s="1"/>
  <c r="BF17" i="23" s="1"/>
  <c r="BF18" i="23" s="1"/>
  <c r="BF19" i="23" s="1"/>
  <c r="BF20" i="23" s="1"/>
  <c r="BF21" i="23" s="1"/>
  <c r="CB35" i="23"/>
  <c r="CB36" i="23" s="1"/>
  <c r="CB37" i="23" s="1"/>
  <c r="CB38" i="23" s="1"/>
  <c r="CB39" i="23" s="1"/>
  <c r="CB40" i="23" s="1"/>
  <c r="CB41" i="23" s="1"/>
  <c r="CB42" i="23" s="1"/>
  <c r="CB43" i="23" s="1"/>
  <c r="CB44" i="23" s="1"/>
  <c r="CB45" i="23" s="1"/>
  <c r="BE35" i="32"/>
  <c r="BE36" i="32" s="1"/>
  <c r="BE37" i="32" s="1"/>
  <c r="BE38" i="32" s="1"/>
  <c r="BE39" i="32" s="1"/>
  <c r="BE40" i="32" s="1"/>
  <c r="BE41" i="32" s="1"/>
  <c r="BE42" i="32" s="1"/>
  <c r="BE43" i="32" s="1"/>
  <c r="BE44" i="32" s="1"/>
  <c r="BE58" i="32"/>
  <c r="BE59" i="32" s="1"/>
  <c r="BE60" i="32" s="1"/>
  <c r="BE61" i="32" s="1"/>
  <c r="BE62" i="32" s="1"/>
  <c r="BE63" i="32" s="1"/>
  <c r="BE64" i="32" s="1"/>
  <c r="BE65" i="32" s="1"/>
  <c r="BE66" i="32" s="1"/>
  <c r="BE14" i="33"/>
  <c r="BE15" i="33" s="1"/>
  <c r="BE16" i="33" s="1"/>
  <c r="BE17" i="33" s="1"/>
  <c r="BE18" i="33" s="1"/>
  <c r="BE19" i="33" s="1"/>
  <c r="BE20" i="33" s="1"/>
  <c r="BE21" i="33" s="1"/>
  <c r="BE22" i="33" s="1"/>
  <c r="BE35" i="33"/>
  <c r="BE36" i="33" s="1"/>
  <c r="BE37" i="33" s="1"/>
  <c r="BE38" i="33" s="1"/>
  <c r="BE39" i="33" s="1"/>
  <c r="BE40" i="33" s="1"/>
  <c r="BE41" i="33" s="1"/>
  <c r="BE42" i="33" s="1"/>
  <c r="BE43" i="33" s="1"/>
  <c r="BE44" i="33" s="1"/>
  <c r="BE58" i="33"/>
  <c r="BE59" i="33" s="1"/>
  <c r="BE60" i="33" s="1"/>
  <c r="BE61" i="33" s="1"/>
  <c r="BE62" i="33" s="1"/>
  <c r="BE63" i="33" s="1"/>
  <c r="BE64" i="33" s="1"/>
  <c r="BE65" i="33" s="1"/>
  <c r="BE66" i="33" s="1"/>
  <c r="BE67" i="33" s="1"/>
  <c r="AG14" i="33"/>
  <c r="AG15" i="33" s="1"/>
  <c r="AG16" i="33" s="1"/>
  <c r="AG17" i="33" s="1"/>
  <c r="AG18" i="33" s="1"/>
  <c r="AG19" i="33" s="1"/>
  <c r="AG20" i="33" s="1"/>
  <c r="AG46" i="33"/>
  <c r="AG69" i="33"/>
  <c r="BE45" i="34"/>
  <c r="BE68" i="34"/>
  <c r="AG24" i="34"/>
  <c r="AG44" i="34"/>
  <c r="BF34" i="21"/>
  <c r="BF35" i="21" s="1"/>
  <c r="BF36" i="21" s="1"/>
  <c r="BF37" i="21" s="1"/>
  <c r="BF38" i="21" s="1"/>
  <c r="BF39" i="21" s="1"/>
  <c r="BF40" i="21" s="1"/>
  <c r="BF41" i="21" s="1"/>
  <c r="BF42" i="21" s="1"/>
  <c r="BF43" i="21" s="1"/>
  <c r="BF44" i="21" s="1"/>
  <c r="BE69" i="32"/>
  <c r="AG45" i="33"/>
  <c r="BE24" i="34"/>
  <c r="AG25" i="34"/>
  <c r="CB11" i="21"/>
  <c r="CB12" i="21" s="1"/>
  <c r="CB13" i="21" s="1"/>
  <c r="CB14" i="21" s="1"/>
  <c r="CB15" i="21" s="1"/>
  <c r="CB16" i="21" s="1"/>
  <c r="CB17" i="21" s="1"/>
  <c r="CB18" i="21" s="1"/>
  <c r="CB19" i="21" s="1"/>
  <c r="CB20" i="21" s="1"/>
  <c r="CB21" i="21" s="1"/>
  <c r="BF35" i="23"/>
  <c r="BF36" i="23" s="1"/>
  <c r="BF37" i="23" s="1"/>
  <c r="BF38" i="23" s="1"/>
  <c r="BF39" i="23" s="1"/>
  <c r="BF40" i="23" s="1"/>
  <c r="BF41" i="23" s="1"/>
  <c r="BF42" i="23" s="1"/>
  <c r="BF43" i="23" s="1"/>
  <c r="BF44" i="23" s="1"/>
  <c r="BF45" i="23" s="1"/>
  <c r="CB59" i="23"/>
  <c r="CB60" i="23" s="1"/>
  <c r="CB61" i="23" s="1"/>
  <c r="CB62" i="23" s="1"/>
  <c r="CB63" i="23" s="1"/>
  <c r="CB64" i="23" s="1"/>
  <c r="CB65" i="23" s="1"/>
  <c r="CB66" i="23" s="1"/>
  <c r="CB67" i="23" s="1"/>
  <c r="CB68" i="23" s="1"/>
  <c r="CB69" i="23" s="1"/>
  <c r="AG45" i="32"/>
  <c r="BE67" i="32"/>
  <c r="BE23" i="33"/>
  <c r="AG25" i="33"/>
  <c r="AG21" i="33"/>
  <c r="AG22" i="33" s="1"/>
  <c r="AG23" i="33" s="1"/>
  <c r="AG35" i="33"/>
  <c r="AG36" i="33" s="1"/>
  <c r="AG37" i="33" s="1"/>
  <c r="AG38" i="33" s="1"/>
  <c r="AG39" i="33" s="1"/>
  <c r="AG40" i="33" s="1"/>
  <c r="AG41" i="33" s="1"/>
  <c r="AG42" i="33" s="1"/>
  <c r="AG43" i="33" s="1"/>
  <c r="AG58" i="33"/>
  <c r="AG59" i="33" s="1"/>
  <c r="AG60" i="33" s="1"/>
  <c r="AG61" i="33" s="1"/>
  <c r="AG62" i="33" s="1"/>
  <c r="AG63" i="33" s="1"/>
  <c r="AG64" i="33" s="1"/>
  <c r="AG65" i="33" s="1"/>
  <c r="AG66" i="33" s="1"/>
  <c r="AG67" i="33" s="1"/>
  <c r="BE14" i="34"/>
  <c r="BE15" i="34" s="1"/>
  <c r="BE16" i="34" s="1"/>
  <c r="BE17" i="34" s="1"/>
  <c r="BE18" i="34" s="1"/>
  <c r="BE19" i="34" s="1"/>
  <c r="BE20" i="34" s="1"/>
  <c r="BE21" i="34" s="1"/>
  <c r="BE22" i="34" s="1"/>
  <c r="BE23" i="34" s="1"/>
  <c r="BE46" i="34"/>
  <c r="BE69" i="34"/>
  <c r="AG45" i="34"/>
  <c r="AG68" i="34"/>
  <c r="CB11" i="23"/>
  <c r="CB12" i="23" s="1"/>
  <c r="CB13" i="23" s="1"/>
  <c r="CB14" i="23" s="1"/>
  <c r="CB15" i="23" s="1"/>
  <c r="CB16" i="23" s="1"/>
  <c r="CB17" i="23" s="1"/>
  <c r="CB18" i="23" s="1"/>
  <c r="CB19" i="23" s="1"/>
  <c r="CB20" i="23" s="1"/>
  <c r="CB21" i="23" s="1"/>
  <c r="AG35" i="32"/>
  <c r="AG36" i="32" s="1"/>
  <c r="AG37" i="32" s="1"/>
  <c r="AG38" i="32" s="1"/>
  <c r="AG39" i="32" s="1"/>
  <c r="AG40" i="32" s="1"/>
  <c r="AG41" i="32" s="1"/>
  <c r="AG42" i="32" s="1"/>
  <c r="AG43" i="32" s="1"/>
  <c r="AG44" i="32" s="1"/>
  <c r="BE25" i="33"/>
  <c r="AG68" i="33"/>
  <c r="AG58" i="34"/>
  <c r="AG59" i="34" s="1"/>
  <c r="AG60" i="34" s="1"/>
  <c r="AG61" i="34" s="1"/>
  <c r="AG62" i="34" s="1"/>
  <c r="AG63" i="34" s="1"/>
  <c r="AG64" i="34" s="1"/>
  <c r="AG65" i="34" s="1"/>
  <c r="AG66" i="34" s="1"/>
  <c r="AG67" i="34" s="1"/>
  <c r="BF11" i="21"/>
  <c r="BF12" i="21" s="1"/>
  <c r="BF13" i="21" s="1"/>
  <c r="BF14" i="21" s="1"/>
  <c r="BF15" i="21" s="1"/>
  <c r="BF16" i="21" s="1"/>
  <c r="BF17" i="21" s="1"/>
  <c r="BF18" i="21" s="1"/>
  <c r="BF19" i="21" s="1"/>
  <c r="BF20" i="21" s="1"/>
  <c r="BF21" i="21" s="1"/>
  <c r="CB34" i="21"/>
  <c r="CB35" i="21" s="1"/>
  <c r="CB36" i="21" s="1"/>
  <c r="CB37" i="21" s="1"/>
  <c r="CB38" i="21" s="1"/>
  <c r="CB39" i="21" s="1"/>
  <c r="CB40" i="21" s="1"/>
  <c r="CB41" i="21" s="1"/>
  <c r="CB42" i="21" s="1"/>
  <c r="CB43" i="21" s="1"/>
  <c r="CB44" i="21" s="1"/>
  <c r="BF59" i="23"/>
  <c r="BF60" i="23" s="1"/>
  <c r="BF61" i="23" s="1"/>
  <c r="BF62" i="23" s="1"/>
  <c r="BF63" i="23" s="1"/>
  <c r="BF64" i="23" s="1"/>
  <c r="BF65" i="23" s="1"/>
  <c r="BF66" i="23" s="1"/>
  <c r="BF67" i="23" s="1"/>
  <c r="BF68" i="23" s="1"/>
  <c r="BF69" i="23" s="1"/>
  <c r="AG65" i="32"/>
  <c r="AG46" i="32"/>
  <c r="BE45" i="32"/>
  <c r="BE68" i="32"/>
  <c r="BE24" i="33"/>
  <c r="BE45" i="33"/>
  <c r="BE68" i="33"/>
  <c r="AG24" i="33"/>
  <c r="AG44" i="33"/>
  <c r="BE25" i="34"/>
  <c r="BE35" i="34"/>
  <c r="BE36" i="34" s="1"/>
  <c r="BE37" i="34" s="1"/>
  <c r="BE38" i="34" s="1"/>
  <c r="BE39" i="34" s="1"/>
  <c r="BE40" i="34" s="1"/>
  <c r="BE41" i="34" s="1"/>
  <c r="BE42" i="34" s="1"/>
  <c r="BE43" i="34" s="1"/>
  <c r="BE44" i="34" s="1"/>
  <c r="BE58" i="34"/>
  <c r="BE59" i="34" s="1"/>
  <c r="BE60" i="34" s="1"/>
  <c r="BE61" i="34" s="1"/>
  <c r="BE62" i="34" s="1"/>
  <c r="BE63" i="34" s="1"/>
  <c r="BE64" i="34" s="1"/>
  <c r="BE65" i="34" s="1"/>
  <c r="BE66" i="34" s="1"/>
  <c r="BE67" i="34" s="1"/>
  <c r="AG14" i="34"/>
  <c r="AG15" i="34" s="1"/>
  <c r="AG16" i="34" s="1"/>
  <c r="AG17" i="34" s="1"/>
  <c r="AG18" i="34" s="1"/>
  <c r="AG19" i="34" s="1"/>
  <c r="AG20" i="34" s="1"/>
  <c r="AG21" i="34" s="1"/>
  <c r="AG22" i="34" s="1"/>
  <c r="AG23" i="34" s="1"/>
  <c r="AG46" i="34"/>
  <c r="BG22" i="32" l="1"/>
  <c r="AI22" i="32"/>
  <c r="AL22" i="32"/>
  <c r="AI25" i="32"/>
  <c r="AL25" i="32"/>
  <c r="BG25" i="32"/>
  <c r="AL23" i="32"/>
  <c r="BG23" i="32"/>
  <c r="AI23" i="32"/>
  <c r="BH11" i="4"/>
  <c r="AI21" i="32"/>
  <c r="AL21" i="32"/>
  <c r="BG21" i="32"/>
  <c r="BG14" i="32"/>
  <c r="AI14" i="32"/>
  <c r="AL14" i="32"/>
  <c r="BG24" i="32"/>
  <c r="AI24" i="32"/>
  <c r="AL24" i="32"/>
  <c r="AG64" i="32"/>
  <c r="AG61" i="32"/>
  <c r="AG62" i="32"/>
  <c r="AG59" i="32"/>
  <c r="AG63" i="32"/>
  <c r="AG60" i="32"/>
  <c r="BH12" i="4" l="1"/>
  <c r="AG66" i="32"/>
  <c r="AG67" i="32"/>
  <c r="BH13" i="4" l="1"/>
  <c r="AD583" i="6"/>
  <c r="AD584" i="6" s="1"/>
  <c r="AD585" i="6" s="1"/>
  <c r="AD586" i="6" s="1"/>
  <c r="AD587" i="6" s="1"/>
  <c r="AD588" i="6" s="1"/>
  <c r="AD568" i="6"/>
  <c r="AD560" i="6"/>
  <c r="AD561" i="6" s="1"/>
  <c r="AP542" i="6"/>
  <c r="AX534" i="6"/>
  <c r="AR526" i="6"/>
  <c r="AQ526" i="6"/>
  <c r="AP526" i="6"/>
  <c r="BB520" i="6"/>
  <c r="AP519" i="6"/>
  <c r="AP518" i="6"/>
  <c r="AW512" i="6"/>
  <c r="AI512" i="6"/>
  <c r="BB510" i="6"/>
  <c r="AP500" i="6"/>
  <c r="AX492" i="6"/>
  <c r="AJ488" i="6"/>
  <c r="AX450" i="6"/>
  <c r="AJ449" i="6"/>
  <c r="AR442" i="6"/>
  <c r="AQ442" i="6"/>
  <c r="AP442" i="6"/>
  <c r="BB436" i="6"/>
  <c r="AS429" i="6"/>
  <c r="AS428" i="6"/>
  <c r="BB425" i="6"/>
  <c r="AX407" i="6"/>
  <c r="AJ397" i="6"/>
  <c r="BB390" i="6"/>
  <c r="BA390" i="6"/>
  <c r="BB387" i="6"/>
  <c r="BA387" i="6"/>
  <c r="BB384" i="6"/>
  <c r="BA384" i="6"/>
  <c r="AU369" i="6"/>
  <c r="AT369" i="6"/>
  <c r="AS369" i="6"/>
  <c r="BD366" i="6"/>
  <c r="BD548" i="6" s="1"/>
  <c r="BC366" i="6"/>
  <c r="BC548" i="6" s="1"/>
  <c r="BB366" i="6"/>
  <c r="BB548" i="6" s="1"/>
  <c r="BA366" i="6"/>
  <c r="BA548" i="6" s="1"/>
  <c r="AZ366" i="6"/>
  <c r="AZ548" i="6" s="1"/>
  <c r="AY366" i="6"/>
  <c r="AY548" i="6" s="1"/>
  <c r="AX366" i="6"/>
  <c r="AX548" i="6" s="1"/>
  <c r="AW366" i="6"/>
  <c r="AW548" i="6" s="1"/>
  <c r="AV366" i="6"/>
  <c r="AV548" i="6" s="1"/>
  <c r="AU366" i="6"/>
  <c r="AU548" i="6" s="1"/>
  <c r="AT366" i="6"/>
  <c r="AT548" i="6" s="1"/>
  <c r="AS366" i="6"/>
  <c r="AS548" i="6" s="1"/>
  <c r="AR366" i="6"/>
  <c r="AR548" i="6" s="1"/>
  <c r="AQ366" i="6"/>
  <c r="AQ548" i="6" s="1"/>
  <c r="AP366" i="6"/>
  <c r="AP548" i="6" s="1"/>
  <c r="AO366" i="6"/>
  <c r="AO548" i="6" s="1"/>
  <c r="AN366" i="6"/>
  <c r="AN548" i="6" s="1"/>
  <c r="AM366" i="6"/>
  <c r="AM548" i="6" s="1"/>
  <c r="AL366" i="6"/>
  <c r="AL548" i="6" s="1"/>
  <c r="AK366" i="6"/>
  <c r="AK548" i="6" s="1"/>
  <c r="AJ366" i="6"/>
  <c r="AJ548" i="6" s="1"/>
  <c r="AI366" i="6"/>
  <c r="AI548" i="6" s="1"/>
  <c r="AH366" i="6"/>
  <c r="AH548" i="6" s="1"/>
  <c r="AG366" i="6"/>
  <c r="AG548" i="6" s="1"/>
  <c r="AF366" i="6"/>
  <c r="AF548" i="6" s="1"/>
  <c r="AE366" i="6"/>
  <c r="AE548" i="6" s="1"/>
  <c r="AD366" i="6"/>
  <c r="AD548" i="6" s="1"/>
  <c r="BD365" i="6"/>
  <c r="BD547" i="6" s="1"/>
  <c r="BC365" i="6"/>
  <c r="BC547" i="6" s="1"/>
  <c r="BB365" i="6"/>
  <c r="BB547" i="6" s="1"/>
  <c r="BA365" i="6"/>
  <c r="BA547" i="6" s="1"/>
  <c r="AZ365" i="6"/>
  <c r="AZ547" i="6" s="1"/>
  <c r="AY365" i="6"/>
  <c r="AY547" i="6" s="1"/>
  <c r="AX365" i="6"/>
  <c r="AX547" i="6" s="1"/>
  <c r="AW365" i="6"/>
  <c r="AW547" i="6" s="1"/>
  <c r="AV365" i="6"/>
  <c r="AV547" i="6" s="1"/>
  <c r="AU365" i="6"/>
  <c r="AU547" i="6" s="1"/>
  <c r="AT365" i="6"/>
  <c r="AT547" i="6" s="1"/>
  <c r="AS365" i="6"/>
  <c r="AS547" i="6" s="1"/>
  <c r="AR365" i="6"/>
  <c r="AR547" i="6" s="1"/>
  <c r="AQ365" i="6"/>
  <c r="AQ547" i="6" s="1"/>
  <c r="AP365" i="6"/>
  <c r="AP547" i="6" s="1"/>
  <c r="AO365" i="6"/>
  <c r="AO547" i="6" s="1"/>
  <c r="AN365" i="6"/>
  <c r="AN547" i="6" s="1"/>
  <c r="AM365" i="6"/>
  <c r="AM547" i="6" s="1"/>
  <c r="AL365" i="6"/>
  <c r="AL547" i="6" s="1"/>
  <c r="AK365" i="6"/>
  <c r="AK547" i="6" s="1"/>
  <c r="AJ365" i="6"/>
  <c r="AJ547" i="6" s="1"/>
  <c r="AI365" i="6"/>
  <c r="AI547" i="6" s="1"/>
  <c r="AH365" i="6"/>
  <c r="AH547" i="6" s="1"/>
  <c r="AG365" i="6"/>
  <c r="AG547" i="6" s="1"/>
  <c r="AF365" i="6"/>
  <c r="AF547" i="6" s="1"/>
  <c r="AE365" i="6"/>
  <c r="AE547" i="6" s="1"/>
  <c r="AD365" i="6"/>
  <c r="AD547" i="6" s="1"/>
  <c r="BD364" i="6"/>
  <c r="BD546" i="6" s="1"/>
  <c r="BC364" i="6"/>
  <c r="BC546" i="6" s="1"/>
  <c r="BB364" i="6"/>
  <c r="BB546" i="6" s="1"/>
  <c r="BA364" i="6"/>
  <c r="BA546" i="6" s="1"/>
  <c r="AY364" i="6"/>
  <c r="AY546" i="6" s="1"/>
  <c r="AX364" i="6"/>
  <c r="AX546" i="6" s="1"/>
  <c r="AW364" i="6"/>
  <c r="AW546" i="6" s="1"/>
  <c r="AU364" i="6"/>
  <c r="AU546" i="6" s="1"/>
  <c r="AT364" i="6"/>
  <c r="AT546" i="6" s="1"/>
  <c r="AS364" i="6"/>
  <c r="AS546" i="6" s="1"/>
  <c r="AR364" i="6"/>
  <c r="AR546" i="6" s="1"/>
  <c r="AQ364" i="6"/>
  <c r="AQ546" i="6" s="1"/>
  <c r="AP364" i="6"/>
  <c r="AP546" i="6" s="1"/>
  <c r="AN364" i="6"/>
  <c r="AN546" i="6" s="1"/>
  <c r="AM364" i="6"/>
  <c r="AM546" i="6" s="1"/>
  <c r="AK364" i="6"/>
  <c r="AK546" i="6" s="1"/>
  <c r="AJ364" i="6"/>
  <c r="AJ546" i="6" s="1"/>
  <c r="AI364" i="6"/>
  <c r="AI546" i="6" s="1"/>
  <c r="AH364" i="6"/>
  <c r="AH546" i="6" s="1"/>
  <c r="AG364" i="6"/>
  <c r="AG546" i="6" s="1"/>
  <c r="AF364" i="6"/>
  <c r="AF546" i="6" s="1"/>
  <c r="AE364" i="6"/>
  <c r="AE546" i="6" s="1"/>
  <c r="AD364" i="6"/>
  <c r="AD546" i="6" s="1"/>
  <c r="BD363" i="6"/>
  <c r="BD545" i="6" s="1"/>
  <c r="BC363" i="6"/>
  <c r="BC545" i="6" s="1"/>
  <c r="BB363" i="6"/>
  <c r="BB545" i="6" s="1"/>
  <c r="BA363" i="6"/>
  <c r="BA545" i="6" s="1"/>
  <c r="AZ363" i="6"/>
  <c r="AZ545" i="6" s="1"/>
  <c r="AY363" i="6"/>
  <c r="AY545" i="6" s="1"/>
  <c r="AX363" i="6"/>
  <c r="AX545" i="6" s="1"/>
  <c r="AW363" i="6"/>
  <c r="AW545" i="6" s="1"/>
  <c r="AV363" i="6"/>
  <c r="AV545" i="6" s="1"/>
  <c r="AU363" i="6"/>
  <c r="AU545" i="6" s="1"/>
  <c r="AT363" i="6"/>
  <c r="AT545" i="6" s="1"/>
  <c r="AS363" i="6"/>
  <c r="AS545" i="6" s="1"/>
  <c r="AR363" i="6"/>
  <c r="AR545" i="6" s="1"/>
  <c r="AQ363" i="6"/>
  <c r="AQ545" i="6" s="1"/>
  <c r="AP363" i="6"/>
  <c r="AP545" i="6" s="1"/>
  <c r="AO363" i="6"/>
  <c r="AO545" i="6" s="1"/>
  <c r="AN363" i="6"/>
  <c r="AN545" i="6" s="1"/>
  <c r="AM363" i="6"/>
  <c r="AM545" i="6" s="1"/>
  <c r="AL363" i="6"/>
  <c r="AL545" i="6" s="1"/>
  <c r="AK363" i="6"/>
  <c r="AK545" i="6" s="1"/>
  <c r="AJ363" i="6"/>
  <c r="AJ545" i="6" s="1"/>
  <c r="AI363" i="6"/>
  <c r="AI545" i="6" s="1"/>
  <c r="AH363" i="6"/>
  <c r="AH545" i="6" s="1"/>
  <c r="AG363" i="6"/>
  <c r="AG545" i="6" s="1"/>
  <c r="AF363" i="6"/>
  <c r="AF545" i="6" s="1"/>
  <c r="AE363" i="6"/>
  <c r="AE545" i="6" s="1"/>
  <c r="AD363" i="6"/>
  <c r="AD545" i="6" s="1"/>
  <c r="BD362" i="6"/>
  <c r="BD544" i="6" s="1"/>
  <c r="BC362" i="6"/>
  <c r="BC544" i="6" s="1"/>
  <c r="BB362" i="6"/>
  <c r="BB544" i="6" s="1"/>
  <c r="BA362" i="6"/>
  <c r="BA544" i="6" s="1"/>
  <c r="AZ362" i="6"/>
  <c r="AZ544" i="6" s="1"/>
  <c r="AY362" i="6"/>
  <c r="AY544" i="6" s="1"/>
  <c r="AX362" i="6"/>
  <c r="AX544" i="6" s="1"/>
  <c r="AW362" i="6"/>
  <c r="AW544" i="6" s="1"/>
  <c r="AV362" i="6"/>
  <c r="AV544" i="6" s="1"/>
  <c r="AU362" i="6"/>
  <c r="AU544" i="6" s="1"/>
  <c r="AT362" i="6"/>
  <c r="AT544" i="6" s="1"/>
  <c r="AS362" i="6"/>
  <c r="AS544" i="6" s="1"/>
  <c r="AR362" i="6"/>
  <c r="AR544" i="6" s="1"/>
  <c r="AQ362" i="6"/>
  <c r="AQ544" i="6" s="1"/>
  <c r="AP362" i="6"/>
  <c r="AP544" i="6" s="1"/>
  <c r="AO362" i="6"/>
  <c r="AO544" i="6" s="1"/>
  <c r="AN362" i="6"/>
  <c r="AN544" i="6" s="1"/>
  <c r="AM362" i="6"/>
  <c r="AM544" i="6" s="1"/>
  <c r="AL362" i="6"/>
  <c r="AL544" i="6" s="1"/>
  <c r="AK362" i="6"/>
  <c r="AK544" i="6" s="1"/>
  <c r="AJ362" i="6"/>
  <c r="AJ544" i="6" s="1"/>
  <c r="AI362" i="6"/>
  <c r="AI544" i="6" s="1"/>
  <c r="AH362" i="6"/>
  <c r="AH544" i="6" s="1"/>
  <c r="AG362" i="6"/>
  <c r="AG544" i="6" s="1"/>
  <c r="AF362" i="6"/>
  <c r="AF544" i="6" s="1"/>
  <c r="AE362" i="6"/>
  <c r="AE544" i="6" s="1"/>
  <c r="AD362" i="6"/>
  <c r="AD544" i="6" s="1"/>
  <c r="BD361" i="6"/>
  <c r="BD543" i="6" s="1"/>
  <c r="BC361" i="6"/>
  <c r="BC543" i="6" s="1"/>
  <c r="BB361" i="6"/>
  <c r="BB543" i="6" s="1"/>
  <c r="BA361" i="6"/>
  <c r="BA543" i="6" s="1"/>
  <c r="AZ361" i="6"/>
  <c r="AZ543" i="6" s="1"/>
  <c r="AY361" i="6"/>
  <c r="AY543" i="6" s="1"/>
  <c r="AU361" i="6"/>
  <c r="AU543" i="6" s="1"/>
  <c r="AT361" i="6"/>
  <c r="AT543" i="6" s="1"/>
  <c r="AS361" i="6"/>
  <c r="AS543" i="6" s="1"/>
  <c r="AR361" i="6"/>
  <c r="AR543" i="6" s="1"/>
  <c r="AQ361" i="6"/>
  <c r="AQ543" i="6" s="1"/>
  <c r="AP361" i="6"/>
  <c r="AP543" i="6" s="1"/>
  <c r="AO361" i="6"/>
  <c r="AO543" i="6" s="1"/>
  <c r="AN361" i="6"/>
  <c r="AN543" i="6" s="1"/>
  <c r="AM361" i="6"/>
  <c r="AM543" i="6" s="1"/>
  <c r="AL361" i="6"/>
  <c r="AL543" i="6" s="1"/>
  <c r="AK361" i="6"/>
  <c r="AK543" i="6" s="1"/>
  <c r="AJ361" i="6"/>
  <c r="AJ543" i="6" s="1"/>
  <c r="AI361" i="6"/>
  <c r="AI543" i="6" s="1"/>
  <c r="AH361" i="6"/>
  <c r="AH543" i="6" s="1"/>
  <c r="AG361" i="6"/>
  <c r="AG543" i="6" s="1"/>
  <c r="AF361" i="6"/>
  <c r="AF543" i="6" s="1"/>
  <c r="AE361" i="6"/>
  <c r="AE543" i="6" s="1"/>
  <c r="AD361" i="6"/>
  <c r="AD543" i="6" s="1"/>
  <c r="BD360" i="6"/>
  <c r="BD542" i="6" s="1"/>
  <c r="BC360" i="6"/>
  <c r="BC542" i="6" s="1"/>
  <c r="BB360" i="6"/>
  <c r="BB542" i="6" s="1"/>
  <c r="BA360" i="6"/>
  <c r="BA542" i="6" s="1"/>
  <c r="AZ360" i="6"/>
  <c r="AZ542" i="6" s="1"/>
  <c r="AY360" i="6"/>
  <c r="AY542" i="6" s="1"/>
  <c r="AU360" i="6"/>
  <c r="AU542" i="6" s="1"/>
  <c r="AT360" i="6"/>
  <c r="AT542" i="6" s="1"/>
  <c r="AS360" i="6"/>
  <c r="AS542" i="6" s="1"/>
  <c r="AO360" i="6"/>
  <c r="AO542" i="6" s="1"/>
  <c r="AN360" i="6"/>
  <c r="AN542" i="6" s="1"/>
  <c r="AM360" i="6"/>
  <c r="AM542" i="6" s="1"/>
  <c r="AL360" i="6"/>
  <c r="AL542" i="6" s="1"/>
  <c r="AK360" i="6"/>
  <c r="AK542" i="6" s="1"/>
  <c r="AJ360" i="6"/>
  <c r="AJ542" i="6" s="1"/>
  <c r="AI360" i="6"/>
  <c r="AI542" i="6" s="1"/>
  <c r="AH360" i="6"/>
  <c r="AH542" i="6" s="1"/>
  <c r="AG360" i="6"/>
  <c r="AG542" i="6" s="1"/>
  <c r="AF360" i="6"/>
  <c r="AF542" i="6" s="1"/>
  <c r="AE360" i="6"/>
  <c r="AE542" i="6" s="1"/>
  <c r="AD360" i="6"/>
  <c r="AD542" i="6" s="1"/>
  <c r="BD359" i="6"/>
  <c r="BD541" i="6" s="1"/>
  <c r="BC359" i="6"/>
  <c r="BC541" i="6" s="1"/>
  <c r="BB359" i="6"/>
  <c r="BB541" i="6" s="1"/>
  <c r="BA359" i="6"/>
  <c r="BA541" i="6" s="1"/>
  <c r="AZ359" i="6"/>
  <c r="AZ541" i="6" s="1"/>
  <c r="AY359" i="6"/>
  <c r="AY541" i="6" s="1"/>
  <c r="AX359" i="6"/>
  <c r="AX541" i="6" s="1"/>
  <c r="AW359" i="6"/>
  <c r="AW541" i="6" s="1"/>
  <c r="AV359" i="6"/>
  <c r="AV541" i="6" s="1"/>
  <c r="AU359" i="6"/>
  <c r="AU541" i="6" s="1"/>
  <c r="AT359" i="6"/>
  <c r="AT541" i="6" s="1"/>
  <c r="AS359" i="6"/>
  <c r="AS541" i="6" s="1"/>
  <c r="AP359" i="6"/>
  <c r="AP541" i="6" s="1"/>
  <c r="AO359" i="6"/>
  <c r="AO541" i="6" s="1"/>
  <c r="AN359" i="6"/>
  <c r="AN541" i="6" s="1"/>
  <c r="AM359" i="6"/>
  <c r="AM541" i="6" s="1"/>
  <c r="AL359" i="6"/>
  <c r="AL541" i="6" s="1"/>
  <c r="AK359" i="6"/>
  <c r="AK541" i="6" s="1"/>
  <c r="AJ359" i="6"/>
  <c r="AJ541" i="6" s="1"/>
  <c r="AI359" i="6"/>
  <c r="AI541" i="6" s="1"/>
  <c r="AH359" i="6"/>
  <c r="AH541" i="6" s="1"/>
  <c r="AG359" i="6"/>
  <c r="AG541" i="6" s="1"/>
  <c r="AF359" i="6"/>
  <c r="AF541" i="6" s="1"/>
  <c r="AE359" i="6"/>
  <c r="AE541" i="6" s="1"/>
  <c r="AD359" i="6"/>
  <c r="AD541" i="6" s="1"/>
  <c r="BD358" i="6"/>
  <c r="BD540" i="6" s="1"/>
  <c r="BC358" i="6"/>
  <c r="BC540" i="6" s="1"/>
  <c r="BB358" i="6"/>
  <c r="BB540" i="6" s="1"/>
  <c r="BA358" i="6"/>
  <c r="BA540" i="6" s="1"/>
  <c r="AZ358" i="6"/>
  <c r="AZ540" i="6" s="1"/>
  <c r="AY358" i="6"/>
  <c r="AY540" i="6" s="1"/>
  <c r="AU358" i="6"/>
  <c r="AU540" i="6" s="1"/>
  <c r="AT358" i="6"/>
  <c r="AT540" i="6" s="1"/>
  <c r="AS358" i="6"/>
  <c r="AS540" i="6" s="1"/>
  <c r="AQ358" i="6"/>
  <c r="AQ540" i="6" s="1"/>
  <c r="AN358" i="6"/>
  <c r="AN540" i="6" s="1"/>
  <c r="AM358" i="6"/>
  <c r="AM540" i="6" s="1"/>
  <c r="AL358" i="6"/>
  <c r="AL540" i="6" s="1"/>
  <c r="AK358" i="6"/>
  <c r="AK540" i="6" s="1"/>
  <c r="AJ358" i="6"/>
  <c r="AJ540" i="6" s="1"/>
  <c r="AI358" i="6"/>
  <c r="AI540" i="6" s="1"/>
  <c r="AH358" i="6"/>
  <c r="AH540" i="6" s="1"/>
  <c r="AG358" i="6"/>
  <c r="AG540" i="6" s="1"/>
  <c r="AF358" i="6"/>
  <c r="AF540" i="6" s="1"/>
  <c r="AE358" i="6"/>
  <c r="AE540" i="6" s="1"/>
  <c r="AD358" i="6"/>
  <c r="AD540" i="6" s="1"/>
  <c r="BD357" i="6"/>
  <c r="BD539" i="6" s="1"/>
  <c r="BC357" i="6"/>
  <c r="BC539" i="6" s="1"/>
  <c r="BB357" i="6"/>
  <c r="BB539" i="6" s="1"/>
  <c r="BA357" i="6"/>
  <c r="BA539" i="6" s="1"/>
  <c r="AZ357" i="6"/>
  <c r="AZ539" i="6" s="1"/>
  <c r="AY357" i="6"/>
  <c r="AY539" i="6" s="1"/>
  <c r="AU357" i="6"/>
  <c r="AU539" i="6" s="1"/>
  <c r="AT357" i="6"/>
  <c r="AT539" i="6" s="1"/>
  <c r="AS357" i="6"/>
  <c r="AS539" i="6" s="1"/>
  <c r="AQ357" i="6"/>
  <c r="AQ539" i="6" s="1"/>
  <c r="AP357" i="6"/>
  <c r="AP539" i="6" s="1"/>
  <c r="AM357" i="6"/>
  <c r="AM539" i="6" s="1"/>
  <c r="AL357" i="6"/>
  <c r="AL539" i="6" s="1"/>
  <c r="AK357" i="6"/>
  <c r="AK539" i="6" s="1"/>
  <c r="AJ357" i="6"/>
  <c r="AJ539" i="6" s="1"/>
  <c r="AI357" i="6"/>
  <c r="AI539" i="6" s="1"/>
  <c r="AH357" i="6"/>
  <c r="AH539" i="6" s="1"/>
  <c r="AG357" i="6"/>
  <c r="AG539" i="6" s="1"/>
  <c r="AF357" i="6"/>
  <c r="AF539" i="6" s="1"/>
  <c r="AE357" i="6"/>
  <c r="AE539" i="6" s="1"/>
  <c r="AD357" i="6"/>
  <c r="AD539" i="6" s="1"/>
  <c r="BD356" i="6"/>
  <c r="BD538" i="6" s="1"/>
  <c r="BC356" i="6"/>
  <c r="BC538" i="6" s="1"/>
  <c r="BB356" i="6"/>
  <c r="BB538" i="6" s="1"/>
  <c r="BA356" i="6"/>
  <c r="BA538" i="6" s="1"/>
  <c r="AZ356" i="6"/>
  <c r="AZ538" i="6" s="1"/>
  <c r="AY356" i="6"/>
  <c r="AY538" i="6" s="1"/>
  <c r="AX356" i="6"/>
  <c r="AX538" i="6" s="1"/>
  <c r="AW356" i="6"/>
  <c r="AW538" i="6" s="1"/>
  <c r="AV356" i="6"/>
  <c r="AV538" i="6" s="1"/>
  <c r="AU356" i="6"/>
  <c r="AU538" i="6" s="1"/>
  <c r="AT356" i="6"/>
  <c r="AT538" i="6" s="1"/>
  <c r="AS356" i="6"/>
  <c r="AS538" i="6" s="1"/>
  <c r="AQ356" i="6"/>
  <c r="AP356" i="6"/>
  <c r="AP538" i="6" s="1"/>
  <c r="AM356" i="6"/>
  <c r="AM538" i="6" s="1"/>
  <c r="AL356" i="6"/>
  <c r="AL538" i="6" s="1"/>
  <c r="AK356" i="6"/>
  <c r="AK538" i="6" s="1"/>
  <c r="AJ356" i="6"/>
  <c r="AJ538" i="6" s="1"/>
  <c r="AI356" i="6"/>
  <c r="AI538" i="6" s="1"/>
  <c r="AH356" i="6"/>
  <c r="AH538" i="6" s="1"/>
  <c r="AG356" i="6"/>
  <c r="AG538" i="6" s="1"/>
  <c r="AF356" i="6"/>
  <c r="AF538" i="6" s="1"/>
  <c r="AE356" i="6"/>
  <c r="AE538" i="6" s="1"/>
  <c r="AD356" i="6"/>
  <c r="AD538" i="6" s="1"/>
  <c r="BD355" i="6"/>
  <c r="BD537" i="6" s="1"/>
  <c r="BC355" i="6"/>
  <c r="BC537" i="6" s="1"/>
  <c r="BB355" i="6"/>
  <c r="BB537" i="6" s="1"/>
  <c r="BA355" i="6"/>
  <c r="BA537" i="6" s="1"/>
  <c r="AZ355" i="6"/>
  <c r="AZ537" i="6" s="1"/>
  <c r="AY355" i="6"/>
  <c r="AY537" i="6" s="1"/>
  <c r="AU355" i="6"/>
  <c r="AU537" i="6" s="1"/>
  <c r="AT355" i="6"/>
  <c r="AT537" i="6" s="1"/>
  <c r="AS355" i="6"/>
  <c r="AS537" i="6" s="1"/>
  <c r="AQ355" i="6"/>
  <c r="AP355" i="6"/>
  <c r="AP537" i="6" s="1"/>
  <c r="AN355" i="6"/>
  <c r="AN537" i="6" s="1"/>
  <c r="AJ355" i="6"/>
  <c r="AJ537" i="6" s="1"/>
  <c r="AI355" i="6"/>
  <c r="AI537" i="6" s="1"/>
  <c r="AH355" i="6"/>
  <c r="AH537" i="6" s="1"/>
  <c r="AG355" i="6"/>
  <c r="AG537" i="6" s="1"/>
  <c r="AF355" i="6"/>
  <c r="AF537" i="6" s="1"/>
  <c r="AE355" i="6"/>
  <c r="AE537" i="6" s="1"/>
  <c r="AD355" i="6"/>
  <c r="AD537" i="6" s="1"/>
  <c r="BD354" i="6"/>
  <c r="BD536" i="6" s="1"/>
  <c r="BC354" i="6"/>
  <c r="BC536" i="6" s="1"/>
  <c r="BB354" i="6"/>
  <c r="BB536" i="6" s="1"/>
  <c r="BA354" i="6"/>
  <c r="BA536" i="6" s="1"/>
  <c r="AZ354" i="6"/>
  <c r="AZ536" i="6" s="1"/>
  <c r="AY354" i="6"/>
  <c r="AY536" i="6" s="1"/>
  <c r="AU354" i="6"/>
  <c r="AU536" i="6" s="1"/>
  <c r="AT354" i="6"/>
  <c r="AT536" i="6" s="1"/>
  <c r="AS354" i="6"/>
  <c r="AS536" i="6" s="1"/>
  <c r="AR354" i="6"/>
  <c r="AR536" i="6" s="1"/>
  <c r="AQ354" i="6"/>
  <c r="AQ536" i="6" s="1"/>
  <c r="AP354" i="6"/>
  <c r="AP536" i="6" s="1"/>
  <c r="AN354" i="6"/>
  <c r="AN536" i="6" s="1"/>
  <c r="AM354" i="6"/>
  <c r="AM536" i="6" s="1"/>
  <c r="AL354" i="6"/>
  <c r="AL536" i="6" s="1"/>
  <c r="AK354" i="6"/>
  <c r="AK536" i="6" s="1"/>
  <c r="AJ354" i="6"/>
  <c r="AJ536" i="6" s="1"/>
  <c r="AI354" i="6"/>
  <c r="AI536" i="6" s="1"/>
  <c r="AH354" i="6"/>
  <c r="AH536" i="6" s="1"/>
  <c r="AG354" i="6"/>
  <c r="AG536" i="6" s="1"/>
  <c r="AF354" i="6"/>
  <c r="AF536" i="6" s="1"/>
  <c r="AE354" i="6"/>
  <c r="AE536" i="6" s="1"/>
  <c r="AD354" i="6"/>
  <c r="AD536" i="6" s="1"/>
  <c r="BD353" i="6"/>
  <c r="BD535" i="6" s="1"/>
  <c r="BC353" i="6"/>
  <c r="BC535" i="6" s="1"/>
  <c r="BB353" i="6"/>
  <c r="BB535" i="6" s="1"/>
  <c r="BA353" i="6"/>
  <c r="BA535" i="6" s="1"/>
  <c r="AZ353" i="6"/>
  <c r="AZ535" i="6" s="1"/>
  <c r="AY353" i="6"/>
  <c r="AY535" i="6" s="1"/>
  <c r="AX353" i="6"/>
  <c r="AX535" i="6" s="1"/>
  <c r="AW353" i="6"/>
  <c r="AW535" i="6" s="1"/>
  <c r="AV353" i="6"/>
  <c r="AV535" i="6" s="1"/>
  <c r="AU353" i="6"/>
  <c r="AU535" i="6" s="1"/>
  <c r="AT353" i="6"/>
  <c r="AT535" i="6" s="1"/>
  <c r="AS353" i="6"/>
  <c r="AS535" i="6" s="1"/>
  <c r="AR353" i="6"/>
  <c r="AR535" i="6" s="1"/>
  <c r="AQ353" i="6"/>
  <c r="AQ535" i="6" s="1"/>
  <c r="AP353" i="6"/>
  <c r="AP535" i="6" s="1"/>
  <c r="AO353" i="6"/>
  <c r="AO535" i="6" s="1"/>
  <c r="AN353" i="6"/>
  <c r="AN535" i="6" s="1"/>
  <c r="AM353" i="6"/>
  <c r="AM535" i="6" s="1"/>
  <c r="AL353" i="6"/>
  <c r="AL535" i="6" s="1"/>
  <c r="AK353" i="6"/>
  <c r="AK535" i="6" s="1"/>
  <c r="AJ353" i="6"/>
  <c r="AJ535" i="6" s="1"/>
  <c r="AI353" i="6"/>
  <c r="AI535" i="6" s="1"/>
  <c r="AH353" i="6"/>
  <c r="AH535" i="6" s="1"/>
  <c r="AG353" i="6"/>
  <c r="AG535" i="6" s="1"/>
  <c r="AF353" i="6"/>
  <c r="AF535" i="6" s="1"/>
  <c r="AE353" i="6"/>
  <c r="AE535" i="6" s="1"/>
  <c r="AD353" i="6"/>
  <c r="AD535" i="6" s="1"/>
  <c r="BD352" i="6"/>
  <c r="BD534" i="6" s="1"/>
  <c r="BC352" i="6"/>
  <c r="BC534" i="6" s="1"/>
  <c r="BB352" i="6"/>
  <c r="BB534" i="6" s="1"/>
  <c r="BA352" i="6"/>
  <c r="BA534" i="6" s="1"/>
  <c r="AZ352" i="6"/>
  <c r="AZ534" i="6" s="1"/>
  <c r="AY352" i="6"/>
  <c r="AY534" i="6" s="1"/>
  <c r="AV352" i="6"/>
  <c r="AV534" i="6" s="1"/>
  <c r="AU352" i="6"/>
  <c r="AU534" i="6" s="1"/>
  <c r="AT352" i="6"/>
  <c r="AT534" i="6" s="1"/>
  <c r="AS352" i="6"/>
  <c r="AS534" i="6" s="1"/>
  <c r="AR352" i="6"/>
  <c r="AR534" i="6" s="1"/>
  <c r="AQ352" i="6"/>
  <c r="AQ534" i="6" s="1"/>
  <c r="AP352" i="6"/>
  <c r="AP534" i="6" s="1"/>
  <c r="AO352" i="6"/>
  <c r="AO534" i="6" s="1"/>
  <c r="AN352" i="6"/>
  <c r="AN534" i="6" s="1"/>
  <c r="AM352" i="6"/>
  <c r="AM534" i="6" s="1"/>
  <c r="AJ534" i="6"/>
  <c r="AI352" i="6"/>
  <c r="AI534" i="6" s="1"/>
  <c r="AH352" i="6"/>
  <c r="AH534" i="6" s="1"/>
  <c r="AG352" i="6"/>
  <c r="AG534" i="6" s="1"/>
  <c r="AF352" i="6"/>
  <c r="AF534" i="6" s="1"/>
  <c r="AE352" i="6"/>
  <c r="AE534" i="6" s="1"/>
  <c r="AD352" i="6"/>
  <c r="AD534" i="6" s="1"/>
  <c r="BD351" i="6"/>
  <c r="BD533" i="6" s="1"/>
  <c r="BC351" i="6"/>
  <c r="BC533" i="6" s="1"/>
  <c r="BB351" i="6"/>
  <c r="BB533" i="6" s="1"/>
  <c r="BA351" i="6"/>
  <c r="BA533" i="6" s="1"/>
  <c r="AZ351" i="6"/>
  <c r="AZ533" i="6" s="1"/>
  <c r="AY351" i="6"/>
  <c r="AY533" i="6" s="1"/>
  <c r="AX351" i="6"/>
  <c r="AX533" i="6" s="1"/>
  <c r="AW351" i="6"/>
  <c r="AW533" i="6" s="1"/>
  <c r="AV351" i="6"/>
  <c r="AV533" i="6" s="1"/>
  <c r="AU351" i="6"/>
  <c r="AU533" i="6" s="1"/>
  <c r="AT351" i="6"/>
  <c r="AT533" i="6" s="1"/>
  <c r="AS351" i="6"/>
  <c r="AS533" i="6" s="1"/>
  <c r="AR351" i="6"/>
  <c r="AR533" i="6" s="1"/>
  <c r="AQ351" i="6"/>
  <c r="AQ533" i="6" s="1"/>
  <c r="AO351" i="6"/>
  <c r="AO533" i="6" s="1"/>
  <c r="AN351" i="6"/>
  <c r="AN533" i="6" s="1"/>
  <c r="AM351" i="6"/>
  <c r="AM533" i="6" s="1"/>
  <c r="AJ533" i="6"/>
  <c r="AI351" i="6"/>
  <c r="AI533" i="6" s="1"/>
  <c r="AH351" i="6"/>
  <c r="AH533" i="6" s="1"/>
  <c r="AG351" i="6"/>
  <c r="AG533" i="6" s="1"/>
  <c r="AF351" i="6"/>
  <c r="AF533" i="6" s="1"/>
  <c r="AE351" i="6"/>
  <c r="AE533" i="6" s="1"/>
  <c r="AD351" i="6"/>
  <c r="AD533" i="6" s="1"/>
  <c r="BD350" i="6"/>
  <c r="BD532" i="6" s="1"/>
  <c r="BC350" i="6"/>
  <c r="BC532" i="6" s="1"/>
  <c r="BB350" i="6"/>
  <c r="BB532" i="6" s="1"/>
  <c r="BA350" i="6"/>
  <c r="BA532" i="6" s="1"/>
  <c r="AZ350" i="6"/>
  <c r="AZ532" i="6" s="1"/>
  <c r="AY350" i="6"/>
  <c r="AY532" i="6" s="1"/>
  <c r="AX350" i="6"/>
  <c r="AX532" i="6" s="1"/>
  <c r="AW350" i="6"/>
  <c r="AW532" i="6" s="1"/>
  <c r="AV350" i="6"/>
  <c r="AV532" i="6" s="1"/>
  <c r="AU350" i="6"/>
  <c r="AU532" i="6" s="1"/>
  <c r="AT350" i="6"/>
  <c r="AT532" i="6" s="1"/>
  <c r="AS350" i="6"/>
  <c r="AS532" i="6" s="1"/>
  <c r="AR350" i="6"/>
  <c r="AR532" i="6" s="1"/>
  <c r="AQ350" i="6"/>
  <c r="AQ532" i="6" s="1"/>
  <c r="AP350" i="6"/>
  <c r="AP532" i="6" s="1"/>
  <c r="AO350" i="6"/>
  <c r="AO532" i="6" s="1"/>
  <c r="AN350" i="6"/>
  <c r="AN532" i="6" s="1"/>
  <c r="AM350" i="6"/>
  <c r="AM532" i="6" s="1"/>
  <c r="AK350" i="6"/>
  <c r="AK532" i="6" s="1"/>
  <c r="AG350" i="6"/>
  <c r="AG532" i="6" s="1"/>
  <c r="AF350" i="6"/>
  <c r="AF532" i="6" s="1"/>
  <c r="AE350" i="6"/>
  <c r="AE532" i="6" s="1"/>
  <c r="AD350" i="6"/>
  <c r="AD532" i="6" s="1"/>
  <c r="BD349" i="6"/>
  <c r="BD531" i="6" s="1"/>
  <c r="BC349" i="6"/>
  <c r="BC531" i="6" s="1"/>
  <c r="BB349" i="6"/>
  <c r="BB531" i="6" s="1"/>
  <c r="BA349" i="6"/>
  <c r="BA531" i="6" s="1"/>
  <c r="AZ349" i="6"/>
  <c r="AZ531" i="6" s="1"/>
  <c r="AY349" i="6"/>
  <c r="AY531" i="6" s="1"/>
  <c r="AX349" i="6"/>
  <c r="AX531" i="6" s="1"/>
  <c r="AW349" i="6"/>
  <c r="AW531" i="6" s="1"/>
  <c r="AV349" i="6"/>
  <c r="AV531" i="6" s="1"/>
  <c r="AU349" i="6"/>
  <c r="AU531" i="6" s="1"/>
  <c r="AT349" i="6"/>
  <c r="AT531" i="6" s="1"/>
  <c r="AS349" i="6"/>
  <c r="AS531" i="6" s="1"/>
  <c r="AR349" i="6"/>
  <c r="AR531" i="6" s="1"/>
  <c r="AQ349" i="6"/>
  <c r="AQ531" i="6" s="1"/>
  <c r="AP349" i="6"/>
  <c r="AP531" i="6" s="1"/>
  <c r="AO349" i="6"/>
  <c r="AO531" i="6" s="1"/>
  <c r="AN349" i="6"/>
  <c r="AN531" i="6" s="1"/>
  <c r="AM349" i="6"/>
  <c r="AM531" i="6" s="1"/>
  <c r="AK349" i="6"/>
  <c r="AK531" i="6" s="1"/>
  <c r="AJ349" i="6"/>
  <c r="AJ531" i="6" s="1"/>
  <c r="AI349" i="6"/>
  <c r="AI531" i="6" s="1"/>
  <c r="AH349" i="6"/>
  <c r="AH531" i="6" s="1"/>
  <c r="AG349" i="6"/>
  <c r="AG531" i="6" s="1"/>
  <c r="AF349" i="6"/>
  <c r="AF531" i="6" s="1"/>
  <c r="AE349" i="6"/>
  <c r="AE531" i="6" s="1"/>
  <c r="AD349" i="6"/>
  <c r="AD531" i="6" s="1"/>
  <c r="BD348" i="6"/>
  <c r="BD530" i="6" s="1"/>
  <c r="BC348" i="6"/>
  <c r="BC530" i="6" s="1"/>
  <c r="AY348" i="6"/>
  <c r="AY530" i="6" s="1"/>
  <c r="AX348" i="6"/>
  <c r="AX530" i="6" s="1"/>
  <c r="AW348" i="6"/>
  <c r="AW530" i="6" s="1"/>
  <c r="AV348" i="6"/>
  <c r="AV530" i="6" s="1"/>
  <c r="AU348" i="6"/>
  <c r="AU530" i="6" s="1"/>
  <c r="AT348" i="6"/>
  <c r="AT530" i="6" s="1"/>
  <c r="AS348" i="6"/>
  <c r="AS530" i="6" s="1"/>
  <c r="AR348" i="6"/>
  <c r="AR530" i="6" s="1"/>
  <c r="AQ348" i="6"/>
  <c r="AQ530" i="6" s="1"/>
  <c r="AO348" i="6"/>
  <c r="AO530" i="6" s="1"/>
  <c r="AN348" i="6"/>
  <c r="AN530" i="6" s="1"/>
  <c r="AM348" i="6"/>
  <c r="AM530" i="6" s="1"/>
  <c r="AL348" i="6"/>
  <c r="AL530" i="6" s="1"/>
  <c r="AK348" i="6"/>
  <c r="AK530" i="6" s="1"/>
  <c r="AJ348" i="6"/>
  <c r="AJ530" i="6" s="1"/>
  <c r="AI348" i="6"/>
  <c r="AI530" i="6" s="1"/>
  <c r="AH348" i="6"/>
  <c r="AH530" i="6" s="1"/>
  <c r="AG348" i="6"/>
  <c r="AG530" i="6" s="1"/>
  <c r="AF348" i="6"/>
  <c r="AF530" i="6" s="1"/>
  <c r="AE348" i="6"/>
  <c r="AE530" i="6" s="1"/>
  <c r="AD348" i="6"/>
  <c r="AD530" i="6" s="1"/>
  <c r="BD347" i="6"/>
  <c r="BD529" i="6" s="1"/>
  <c r="BC347" i="6"/>
  <c r="BC529" i="6" s="1"/>
  <c r="AY347" i="6"/>
  <c r="AY529" i="6" s="1"/>
  <c r="AX347" i="6"/>
  <c r="AX529" i="6" s="1"/>
  <c r="AW347" i="6"/>
  <c r="AW529" i="6" s="1"/>
  <c r="AV347" i="6"/>
  <c r="AV529" i="6" s="1"/>
  <c r="AU347" i="6"/>
  <c r="AU529" i="6" s="1"/>
  <c r="AT347" i="6"/>
  <c r="AT529" i="6" s="1"/>
  <c r="AS347" i="6"/>
  <c r="AS529" i="6" s="1"/>
  <c r="AR347" i="6"/>
  <c r="AR529" i="6" s="1"/>
  <c r="AQ347" i="6"/>
  <c r="AQ529" i="6" s="1"/>
  <c r="AP347" i="6"/>
  <c r="AP529" i="6" s="1"/>
  <c r="AO347" i="6"/>
  <c r="AO529" i="6" s="1"/>
  <c r="AN347" i="6"/>
  <c r="AN529" i="6" s="1"/>
  <c r="AM347" i="6"/>
  <c r="AM529" i="6" s="1"/>
  <c r="AL347" i="6"/>
  <c r="AL529" i="6" s="1"/>
  <c r="AK347" i="6"/>
  <c r="AK529" i="6" s="1"/>
  <c r="AJ347" i="6"/>
  <c r="AJ529" i="6" s="1"/>
  <c r="AI347" i="6"/>
  <c r="AI529" i="6" s="1"/>
  <c r="AH347" i="6"/>
  <c r="AH529" i="6" s="1"/>
  <c r="AG347" i="6"/>
  <c r="AG529" i="6" s="1"/>
  <c r="AF347" i="6"/>
  <c r="AF529" i="6" s="1"/>
  <c r="AE347" i="6"/>
  <c r="AE529" i="6" s="1"/>
  <c r="AD347" i="6"/>
  <c r="AD529" i="6" s="1"/>
  <c r="BD346" i="6"/>
  <c r="BD528" i="6" s="1"/>
  <c r="BC346" i="6"/>
  <c r="BC528" i="6" s="1"/>
  <c r="AY346" i="6"/>
  <c r="AY528" i="6" s="1"/>
  <c r="AW346" i="6"/>
  <c r="AW528" i="6" s="1"/>
  <c r="AV346" i="6"/>
  <c r="AV528" i="6" s="1"/>
  <c r="AU346" i="6"/>
  <c r="AU528" i="6" s="1"/>
  <c r="AT346" i="6"/>
  <c r="AT528" i="6" s="1"/>
  <c r="AS346" i="6"/>
  <c r="AS528" i="6" s="1"/>
  <c r="AR346" i="6"/>
  <c r="AR528" i="6" s="1"/>
  <c r="AQ346" i="6"/>
  <c r="AQ528" i="6" s="1"/>
  <c r="AP346" i="6"/>
  <c r="AP528" i="6" s="1"/>
  <c r="AO346" i="6"/>
  <c r="AO528" i="6" s="1"/>
  <c r="AN346" i="6"/>
  <c r="AN528" i="6" s="1"/>
  <c r="AM346" i="6"/>
  <c r="AM528" i="6" s="1"/>
  <c r="AL346" i="6"/>
  <c r="AL528" i="6" s="1"/>
  <c r="AK346" i="6"/>
  <c r="AK528" i="6" s="1"/>
  <c r="AJ346" i="6"/>
  <c r="AJ528" i="6" s="1"/>
  <c r="AI346" i="6"/>
  <c r="AI528" i="6" s="1"/>
  <c r="AH346" i="6"/>
  <c r="AH528" i="6" s="1"/>
  <c r="AG346" i="6"/>
  <c r="AG528" i="6" s="1"/>
  <c r="AF346" i="6"/>
  <c r="AF528" i="6" s="1"/>
  <c r="AE346" i="6"/>
  <c r="AE528" i="6" s="1"/>
  <c r="AD346" i="6"/>
  <c r="AD528" i="6" s="1"/>
  <c r="BD345" i="6"/>
  <c r="BD527" i="6" s="1"/>
  <c r="BC345" i="6"/>
  <c r="BC527" i="6" s="1"/>
  <c r="AY345" i="6"/>
  <c r="AY527" i="6" s="1"/>
  <c r="AX345" i="6"/>
  <c r="AX527" i="6" s="1"/>
  <c r="AW345" i="6"/>
  <c r="AW527" i="6" s="1"/>
  <c r="AV345" i="6"/>
  <c r="AV527" i="6" s="1"/>
  <c r="AU345" i="6"/>
  <c r="AU527" i="6" s="1"/>
  <c r="AT345" i="6"/>
  <c r="AT527" i="6" s="1"/>
  <c r="AQ345" i="6"/>
  <c r="AQ527" i="6" s="1"/>
  <c r="AP345" i="6"/>
  <c r="AP527" i="6" s="1"/>
  <c r="AO345" i="6"/>
  <c r="AO527" i="6" s="1"/>
  <c r="AN345" i="6"/>
  <c r="AN527" i="6" s="1"/>
  <c r="AM345" i="6"/>
  <c r="AM527" i="6" s="1"/>
  <c r="AL345" i="6"/>
  <c r="AL527" i="6" s="1"/>
  <c r="AK345" i="6"/>
  <c r="AK527" i="6" s="1"/>
  <c r="AJ345" i="6"/>
  <c r="AJ527" i="6" s="1"/>
  <c r="AI345" i="6"/>
  <c r="AI527" i="6" s="1"/>
  <c r="AH345" i="6"/>
  <c r="AH527" i="6" s="1"/>
  <c r="AG345" i="6"/>
  <c r="AG527" i="6" s="1"/>
  <c r="AF345" i="6"/>
  <c r="AF527" i="6" s="1"/>
  <c r="AE345" i="6"/>
  <c r="AE527" i="6" s="1"/>
  <c r="AD345" i="6"/>
  <c r="AD527" i="6" s="1"/>
  <c r="BD344" i="6"/>
  <c r="BD526" i="6" s="1"/>
  <c r="BC344" i="6"/>
  <c r="BC526" i="6" s="1"/>
  <c r="AY344" i="6"/>
  <c r="AY526" i="6" s="1"/>
  <c r="AX344" i="6"/>
  <c r="AX526" i="6" s="1"/>
  <c r="AW344" i="6"/>
  <c r="AW526" i="6" s="1"/>
  <c r="AV344" i="6"/>
  <c r="AV526" i="6" s="1"/>
  <c r="AT344" i="6"/>
  <c r="AT526" i="6" s="1"/>
  <c r="AN344" i="6"/>
  <c r="AN526" i="6" s="1"/>
  <c r="AM344" i="6"/>
  <c r="AM526" i="6" s="1"/>
  <c r="AL344" i="6"/>
  <c r="AL526" i="6" s="1"/>
  <c r="AK344" i="6"/>
  <c r="AK526" i="6" s="1"/>
  <c r="AJ344" i="6"/>
  <c r="AJ526" i="6" s="1"/>
  <c r="AI344" i="6"/>
  <c r="AI526" i="6" s="1"/>
  <c r="AH344" i="6"/>
  <c r="AH526" i="6" s="1"/>
  <c r="AG344" i="6"/>
  <c r="AG526" i="6" s="1"/>
  <c r="AF344" i="6"/>
  <c r="AF526" i="6" s="1"/>
  <c r="AE344" i="6"/>
  <c r="AE526" i="6" s="1"/>
  <c r="AD344" i="6"/>
  <c r="AD526" i="6" s="1"/>
  <c r="BD343" i="6"/>
  <c r="BD525" i="6" s="1"/>
  <c r="BC343" i="6"/>
  <c r="BC525" i="6" s="1"/>
  <c r="AY343" i="6"/>
  <c r="AY525" i="6" s="1"/>
  <c r="AX343" i="6"/>
  <c r="AX525" i="6" s="1"/>
  <c r="AW343" i="6"/>
  <c r="AW525" i="6" s="1"/>
  <c r="AV343" i="6"/>
  <c r="AV525" i="6" s="1"/>
  <c r="AT343" i="6"/>
  <c r="AT525" i="6" s="1"/>
  <c r="AS343" i="6"/>
  <c r="AS525" i="6" s="1"/>
  <c r="AR343" i="6"/>
  <c r="AR525" i="6" s="1"/>
  <c r="AQ343" i="6"/>
  <c r="AQ525" i="6" s="1"/>
  <c r="AP343" i="6"/>
  <c r="AP525" i="6" s="1"/>
  <c r="AN343" i="6"/>
  <c r="AN525" i="6" s="1"/>
  <c r="AK343" i="6"/>
  <c r="AK525" i="6" s="1"/>
  <c r="AJ343" i="6"/>
  <c r="AJ525" i="6" s="1"/>
  <c r="AI343" i="6"/>
  <c r="AI525" i="6" s="1"/>
  <c r="AH343" i="6"/>
  <c r="AH525" i="6" s="1"/>
  <c r="AG343" i="6"/>
  <c r="AG525" i="6" s="1"/>
  <c r="AF343" i="6"/>
  <c r="AF525" i="6" s="1"/>
  <c r="AE343" i="6"/>
  <c r="AE525" i="6" s="1"/>
  <c r="AD343" i="6"/>
  <c r="AD525" i="6" s="1"/>
  <c r="BD342" i="6"/>
  <c r="BD524" i="6" s="1"/>
  <c r="BC342" i="6"/>
  <c r="BC524" i="6" s="1"/>
  <c r="AY342" i="6"/>
  <c r="AY524" i="6" s="1"/>
  <c r="AX342" i="6"/>
  <c r="AX524" i="6" s="1"/>
  <c r="AW342" i="6"/>
  <c r="AW524" i="6" s="1"/>
  <c r="AV342" i="6"/>
  <c r="AV524" i="6" s="1"/>
  <c r="AU342" i="6"/>
  <c r="AU524" i="6" s="1"/>
  <c r="AT342" i="6"/>
  <c r="AT524" i="6" s="1"/>
  <c r="AS342" i="6"/>
  <c r="AS524" i="6" s="1"/>
  <c r="AR342" i="6"/>
  <c r="AR524" i="6" s="1"/>
  <c r="AQ342" i="6"/>
  <c r="AQ524" i="6" s="1"/>
  <c r="AP342" i="6"/>
  <c r="AP524" i="6" s="1"/>
  <c r="AM342" i="6"/>
  <c r="AM524" i="6" s="1"/>
  <c r="AL342" i="6"/>
  <c r="AL524" i="6" s="1"/>
  <c r="AK342" i="6"/>
  <c r="AK524" i="6" s="1"/>
  <c r="AJ342" i="6"/>
  <c r="AJ524" i="6" s="1"/>
  <c r="AI342" i="6"/>
  <c r="AI524" i="6" s="1"/>
  <c r="AH342" i="6"/>
  <c r="AH524" i="6" s="1"/>
  <c r="AG342" i="6"/>
  <c r="AG524" i="6" s="1"/>
  <c r="AF342" i="6"/>
  <c r="AF524" i="6" s="1"/>
  <c r="AE342" i="6"/>
  <c r="AE524" i="6" s="1"/>
  <c r="AD342" i="6"/>
  <c r="AD524" i="6" s="1"/>
  <c r="BD341" i="6"/>
  <c r="BD523" i="6" s="1"/>
  <c r="BC341" i="6"/>
  <c r="BC523" i="6" s="1"/>
  <c r="AY341" i="6"/>
  <c r="AY523" i="6" s="1"/>
  <c r="AX341" i="6"/>
  <c r="AX523" i="6" s="1"/>
  <c r="AW341" i="6"/>
  <c r="AW523" i="6" s="1"/>
  <c r="AV341" i="6"/>
  <c r="AV523" i="6" s="1"/>
  <c r="AU341" i="6"/>
  <c r="AU523" i="6" s="1"/>
  <c r="AT341" i="6"/>
  <c r="AT523" i="6" s="1"/>
  <c r="AS341" i="6"/>
  <c r="AS523" i="6" s="1"/>
  <c r="AQ341" i="6"/>
  <c r="AP341" i="6"/>
  <c r="AP523" i="6" s="1"/>
  <c r="AM341" i="6"/>
  <c r="AM523" i="6" s="1"/>
  <c r="AL341" i="6"/>
  <c r="AL523" i="6" s="1"/>
  <c r="AK341" i="6"/>
  <c r="AK523" i="6" s="1"/>
  <c r="AJ341" i="6"/>
  <c r="AJ523" i="6" s="1"/>
  <c r="AI341" i="6"/>
  <c r="AI523" i="6" s="1"/>
  <c r="AH341" i="6"/>
  <c r="AH523" i="6" s="1"/>
  <c r="AG341" i="6"/>
  <c r="AG523" i="6" s="1"/>
  <c r="AF341" i="6"/>
  <c r="AF523" i="6" s="1"/>
  <c r="AE341" i="6"/>
  <c r="AE523" i="6" s="1"/>
  <c r="AD341" i="6"/>
  <c r="AD523" i="6" s="1"/>
  <c r="BD340" i="6"/>
  <c r="BD522" i="6" s="1"/>
  <c r="BC340" i="6"/>
  <c r="BC522" i="6" s="1"/>
  <c r="AY340" i="6"/>
  <c r="AY522" i="6" s="1"/>
  <c r="AW340" i="6"/>
  <c r="AW522" i="6" s="1"/>
  <c r="AV340" i="6"/>
  <c r="AV522" i="6" s="1"/>
  <c r="AU340" i="6"/>
  <c r="AU522" i="6" s="1"/>
  <c r="AT340" i="6"/>
  <c r="AT522" i="6" s="1"/>
  <c r="AS340" i="6"/>
  <c r="AS522" i="6" s="1"/>
  <c r="AQ340" i="6"/>
  <c r="AP340" i="6"/>
  <c r="AP522" i="6" s="1"/>
  <c r="AO340" i="6"/>
  <c r="AO522" i="6" s="1"/>
  <c r="AN340" i="6"/>
  <c r="AN522" i="6" s="1"/>
  <c r="AM340" i="6"/>
  <c r="AM522" i="6" s="1"/>
  <c r="AL340" i="6"/>
  <c r="AL522" i="6" s="1"/>
  <c r="AK340" i="6"/>
  <c r="AK522" i="6" s="1"/>
  <c r="AJ340" i="6"/>
  <c r="AJ522" i="6" s="1"/>
  <c r="AI340" i="6"/>
  <c r="AI522" i="6" s="1"/>
  <c r="AH340" i="6"/>
  <c r="AH522" i="6" s="1"/>
  <c r="AG340" i="6"/>
  <c r="AG522" i="6" s="1"/>
  <c r="AF340" i="6"/>
  <c r="AF522" i="6" s="1"/>
  <c r="AE340" i="6"/>
  <c r="AE522" i="6" s="1"/>
  <c r="AD340" i="6"/>
  <c r="AD522" i="6" s="1"/>
  <c r="BD339" i="6"/>
  <c r="BD521" i="6" s="1"/>
  <c r="BC339" i="6"/>
  <c r="BC521" i="6" s="1"/>
  <c r="BB339" i="6"/>
  <c r="BB521" i="6" s="1"/>
  <c r="BA339" i="6"/>
  <c r="BA521" i="6" s="1"/>
  <c r="AZ339" i="6"/>
  <c r="AZ521" i="6" s="1"/>
  <c r="AY339" i="6"/>
  <c r="AY521" i="6" s="1"/>
  <c r="AX339" i="6"/>
  <c r="AX521" i="6" s="1"/>
  <c r="AW339" i="6"/>
  <c r="AW521" i="6" s="1"/>
  <c r="AV339" i="6"/>
  <c r="AV521" i="6" s="1"/>
  <c r="AU339" i="6"/>
  <c r="AU521" i="6" s="1"/>
  <c r="AT339" i="6"/>
  <c r="AT521" i="6" s="1"/>
  <c r="AS339" i="6"/>
  <c r="AS521" i="6" s="1"/>
  <c r="AQ339" i="6"/>
  <c r="AQ521" i="6" s="1"/>
  <c r="AP339" i="6"/>
  <c r="AP521" i="6" s="1"/>
  <c r="AO339" i="6"/>
  <c r="AO521" i="6" s="1"/>
  <c r="AN339" i="6"/>
  <c r="AN521" i="6" s="1"/>
  <c r="AM339" i="6"/>
  <c r="AM521" i="6" s="1"/>
  <c r="AL339" i="6"/>
  <c r="AL521" i="6" s="1"/>
  <c r="AK339" i="6"/>
  <c r="AK521" i="6" s="1"/>
  <c r="AJ339" i="6"/>
  <c r="AJ521" i="6" s="1"/>
  <c r="AI339" i="6"/>
  <c r="AI521" i="6" s="1"/>
  <c r="AH339" i="6"/>
  <c r="AH521" i="6" s="1"/>
  <c r="AG339" i="6"/>
  <c r="AG521" i="6" s="1"/>
  <c r="AF339" i="6"/>
  <c r="AF521" i="6" s="1"/>
  <c r="AE339" i="6"/>
  <c r="AE521" i="6" s="1"/>
  <c r="AD339" i="6"/>
  <c r="AD521" i="6" s="1"/>
  <c r="BD338" i="6"/>
  <c r="BD520" i="6" s="1"/>
  <c r="BC338" i="6"/>
  <c r="BC520" i="6" s="1"/>
  <c r="AZ338" i="6"/>
  <c r="AZ520" i="6" s="1"/>
  <c r="AY338" i="6"/>
  <c r="AY520" i="6" s="1"/>
  <c r="AX338" i="6"/>
  <c r="AX520" i="6" s="1"/>
  <c r="AW338" i="6"/>
  <c r="AW520" i="6" s="1"/>
  <c r="AV338" i="6"/>
  <c r="AV520" i="6" s="1"/>
  <c r="AU338" i="6"/>
  <c r="AU520" i="6" s="1"/>
  <c r="AT338" i="6"/>
  <c r="AT520" i="6" s="1"/>
  <c r="AS338" i="6"/>
  <c r="AS520" i="6" s="1"/>
  <c r="AQ338" i="6"/>
  <c r="AQ520" i="6" s="1"/>
  <c r="AK338" i="6"/>
  <c r="AK520" i="6" s="1"/>
  <c r="AJ338" i="6"/>
  <c r="AJ520" i="6" s="1"/>
  <c r="AI338" i="6"/>
  <c r="AI520" i="6" s="1"/>
  <c r="AH338" i="6"/>
  <c r="AH520" i="6" s="1"/>
  <c r="AG338" i="6"/>
  <c r="AG520" i="6" s="1"/>
  <c r="AF338" i="6"/>
  <c r="AF520" i="6" s="1"/>
  <c r="AE338" i="6"/>
  <c r="AE520" i="6" s="1"/>
  <c r="AD338" i="6"/>
  <c r="AD520" i="6" s="1"/>
  <c r="BD337" i="6"/>
  <c r="BD519" i="6" s="1"/>
  <c r="BC337" i="6"/>
  <c r="BC519" i="6" s="1"/>
  <c r="AY337" i="6"/>
  <c r="AY519" i="6" s="1"/>
  <c r="AX337" i="6"/>
  <c r="AX519" i="6" s="1"/>
  <c r="AW337" i="6"/>
  <c r="AW519" i="6" s="1"/>
  <c r="AV337" i="6"/>
  <c r="AV519" i="6" s="1"/>
  <c r="AU337" i="6"/>
  <c r="AU519" i="6" s="1"/>
  <c r="AT337" i="6"/>
  <c r="AT519" i="6" s="1"/>
  <c r="AS337" i="6"/>
  <c r="AS519" i="6" s="1"/>
  <c r="AO337" i="6"/>
  <c r="AO519" i="6" s="1"/>
  <c r="AN337" i="6"/>
  <c r="AN519" i="6" s="1"/>
  <c r="AM337" i="6"/>
  <c r="AM519" i="6" s="1"/>
  <c r="AL337" i="6"/>
  <c r="AL519" i="6" s="1"/>
  <c r="AK337" i="6"/>
  <c r="AK519" i="6" s="1"/>
  <c r="AJ337" i="6"/>
  <c r="AJ519" i="6" s="1"/>
  <c r="AI337" i="6"/>
  <c r="AI519" i="6" s="1"/>
  <c r="AH337" i="6"/>
  <c r="AH519" i="6" s="1"/>
  <c r="AG337" i="6"/>
  <c r="AG519" i="6" s="1"/>
  <c r="AF337" i="6"/>
  <c r="AF519" i="6" s="1"/>
  <c r="AE337" i="6"/>
  <c r="AE519" i="6" s="1"/>
  <c r="AD337" i="6"/>
  <c r="AD519" i="6" s="1"/>
  <c r="BD336" i="6"/>
  <c r="BD518" i="6" s="1"/>
  <c r="BC336" i="6"/>
  <c r="BC518" i="6" s="1"/>
  <c r="AY336" i="6"/>
  <c r="AY518" i="6" s="1"/>
  <c r="AV336" i="6"/>
  <c r="AV518" i="6" s="1"/>
  <c r="AU336" i="6"/>
  <c r="AU518" i="6" s="1"/>
  <c r="AT336" i="6"/>
  <c r="AT518" i="6" s="1"/>
  <c r="AS336" i="6"/>
  <c r="AS518" i="6" s="1"/>
  <c r="AO336" i="6"/>
  <c r="AO518" i="6" s="1"/>
  <c r="AN336" i="6"/>
  <c r="AN518" i="6" s="1"/>
  <c r="AM336" i="6"/>
  <c r="AM518" i="6" s="1"/>
  <c r="AL336" i="6"/>
  <c r="AL518" i="6" s="1"/>
  <c r="AK336" i="6"/>
  <c r="AK518" i="6" s="1"/>
  <c r="AJ336" i="6"/>
  <c r="AJ518" i="6" s="1"/>
  <c r="AI336" i="6"/>
  <c r="AI518" i="6" s="1"/>
  <c r="AH336" i="6"/>
  <c r="AH518" i="6" s="1"/>
  <c r="AG336" i="6"/>
  <c r="AG518" i="6" s="1"/>
  <c r="AF336" i="6"/>
  <c r="AF518" i="6" s="1"/>
  <c r="AE336" i="6"/>
  <c r="AE518" i="6" s="1"/>
  <c r="AD336" i="6"/>
  <c r="AD518" i="6" s="1"/>
  <c r="BD335" i="6"/>
  <c r="BD517" i="6" s="1"/>
  <c r="BC335" i="6"/>
  <c r="BC517" i="6" s="1"/>
  <c r="BB335" i="6"/>
  <c r="BB517" i="6" s="1"/>
  <c r="BA335" i="6"/>
  <c r="BA517" i="6" s="1"/>
  <c r="AZ335" i="6"/>
  <c r="AZ517" i="6" s="1"/>
  <c r="AY335" i="6"/>
  <c r="AY517" i="6" s="1"/>
  <c r="AX335" i="6"/>
  <c r="AX517" i="6" s="1"/>
  <c r="AW335" i="6"/>
  <c r="AW517" i="6" s="1"/>
  <c r="AV335" i="6"/>
  <c r="AV517" i="6" s="1"/>
  <c r="AU335" i="6"/>
  <c r="AU517" i="6" s="1"/>
  <c r="AT335" i="6"/>
  <c r="AT517" i="6" s="1"/>
  <c r="AS335" i="6"/>
  <c r="AS517" i="6" s="1"/>
  <c r="AR335" i="6"/>
  <c r="AR517" i="6" s="1"/>
  <c r="AQ335" i="6"/>
  <c r="AQ517" i="6" s="1"/>
  <c r="AP335" i="6"/>
  <c r="AP517" i="6" s="1"/>
  <c r="AO335" i="6"/>
  <c r="AO517" i="6" s="1"/>
  <c r="AN335" i="6"/>
  <c r="AN517" i="6" s="1"/>
  <c r="AM335" i="6"/>
  <c r="AM517" i="6" s="1"/>
  <c r="AL335" i="6"/>
  <c r="AL517" i="6" s="1"/>
  <c r="AK335" i="6"/>
  <c r="AK517" i="6" s="1"/>
  <c r="AJ335" i="6"/>
  <c r="AJ517" i="6" s="1"/>
  <c r="AI335" i="6"/>
  <c r="AI517" i="6" s="1"/>
  <c r="AH335" i="6"/>
  <c r="AH517" i="6" s="1"/>
  <c r="AG335" i="6"/>
  <c r="AG517" i="6" s="1"/>
  <c r="AF335" i="6"/>
  <c r="AF517" i="6" s="1"/>
  <c r="AE335" i="6"/>
  <c r="AE517" i="6" s="1"/>
  <c r="AD335" i="6"/>
  <c r="AD517" i="6" s="1"/>
  <c r="BD334" i="6"/>
  <c r="BD516" i="6" s="1"/>
  <c r="BC334" i="6"/>
  <c r="BC516" i="6" s="1"/>
  <c r="AY334" i="6"/>
  <c r="AY516" i="6" s="1"/>
  <c r="AX334" i="6"/>
  <c r="AX516" i="6" s="1"/>
  <c r="AW334" i="6"/>
  <c r="AW516" i="6" s="1"/>
  <c r="AV334" i="6"/>
  <c r="AV516" i="6" s="1"/>
  <c r="AT334" i="6"/>
  <c r="AT516" i="6" s="1"/>
  <c r="AS334" i="6"/>
  <c r="AS516" i="6" s="1"/>
  <c r="AR334" i="6"/>
  <c r="AR516" i="6" s="1"/>
  <c r="AQ334" i="6"/>
  <c r="AQ516" i="6" s="1"/>
  <c r="AP334" i="6"/>
  <c r="AP516" i="6" s="1"/>
  <c r="AO334" i="6"/>
  <c r="AO516" i="6" s="1"/>
  <c r="AN334" i="6"/>
  <c r="AN516" i="6" s="1"/>
  <c r="AM334" i="6"/>
  <c r="AM516" i="6" s="1"/>
  <c r="AL334" i="6"/>
  <c r="AL516" i="6" s="1"/>
  <c r="AK334" i="6"/>
  <c r="AK516" i="6" s="1"/>
  <c r="AJ334" i="6"/>
  <c r="AJ516" i="6" s="1"/>
  <c r="AH334" i="6"/>
  <c r="AG334" i="6"/>
  <c r="AG516" i="6" s="1"/>
  <c r="AF334" i="6"/>
  <c r="AF516" i="6" s="1"/>
  <c r="AE334" i="6"/>
  <c r="AE516" i="6" s="1"/>
  <c r="AD334" i="6"/>
  <c r="AD516" i="6" s="1"/>
  <c r="BD333" i="6"/>
  <c r="BD515" i="6" s="1"/>
  <c r="BC333" i="6"/>
  <c r="BC515" i="6" s="1"/>
  <c r="AY333" i="6"/>
  <c r="AY515" i="6" s="1"/>
  <c r="AW333" i="6"/>
  <c r="AW515" i="6" s="1"/>
  <c r="AV333" i="6"/>
  <c r="AV515" i="6" s="1"/>
  <c r="AT333" i="6"/>
  <c r="AT515" i="6" s="1"/>
  <c r="AR333" i="6"/>
  <c r="AR515" i="6" s="1"/>
  <c r="AQ333" i="6"/>
  <c r="AQ515" i="6" s="1"/>
  <c r="AP333" i="6"/>
  <c r="AP515" i="6" s="1"/>
  <c r="AO333" i="6"/>
  <c r="AO515" i="6" s="1"/>
  <c r="AN333" i="6"/>
  <c r="AN515" i="6" s="1"/>
  <c r="AM333" i="6"/>
  <c r="AM515" i="6" s="1"/>
  <c r="AL333" i="6"/>
  <c r="AL515" i="6" s="1"/>
  <c r="AK333" i="6"/>
  <c r="AK515" i="6" s="1"/>
  <c r="AJ333" i="6"/>
  <c r="AJ515" i="6" s="1"/>
  <c r="AH333" i="6"/>
  <c r="AG333" i="6"/>
  <c r="AG515" i="6" s="1"/>
  <c r="AF333" i="6"/>
  <c r="AF515" i="6" s="1"/>
  <c r="AE333" i="6"/>
  <c r="AE515" i="6" s="1"/>
  <c r="AD333" i="6"/>
  <c r="AD515" i="6" s="1"/>
  <c r="BD332" i="6"/>
  <c r="BD514" i="6" s="1"/>
  <c r="BC332" i="6"/>
  <c r="BC514" i="6" s="1"/>
  <c r="BB332" i="6"/>
  <c r="BB514" i="6" s="1"/>
  <c r="BA332" i="6"/>
  <c r="BA514" i="6" s="1"/>
  <c r="AZ332" i="6"/>
  <c r="AZ514" i="6" s="1"/>
  <c r="AY332" i="6"/>
  <c r="AY514" i="6" s="1"/>
  <c r="AX332" i="6"/>
  <c r="AX514" i="6" s="1"/>
  <c r="AW332" i="6"/>
  <c r="AW514" i="6" s="1"/>
  <c r="AV332" i="6"/>
  <c r="AV514" i="6" s="1"/>
  <c r="AU332" i="6"/>
  <c r="AU514" i="6" s="1"/>
  <c r="AT332" i="6"/>
  <c r="AT514" i="6" s="1"/>
  <c r="AS332" i="6"/>
  <c r="AS514" i="6" s="1"/>
  <c r="AR332" i="6"/>
  <c r="AR514" i="6" s="1"/>
  <c r="AQ332" i="6"/>
  <c r="AQ514" i="6" s="1"/>
  <c r="AP332" i="6"/>
  <c r="AP514" i="6" s="1"/>
  <c r="AO332" i="6"/>
  <c r="AO514" i="6" s="1"/>
  <c r="AN332" i="6"/>
  <c r="AN514" i="6" s="1"/>
  <c r="AM332" i="6"/>
  <c r="AM514" i="6" s="1"/>
  <c r="AL332" i="6"/>
  <c r="AL514" i="6" s="1"/>
  <c r="AK332" i="6"/>
  <c r="AK514" i="6" s="1"/>
  <c r="AJ332" i="6"/>
  <c r="AJ514" i="6" s="1"/>
  <c r="AH332" i="6"/>
  <c r="AG332" i="6"/>
  <c r="AG514" i="6" s="1"/>
  <c r="AF332" i="6"/>
  <c r="AF514" i="6" s="1"/>
  <c r="AE332" i="6"/>
  <c r="AE514" i="6" s="1"/>
  <c r="AD332" i="6"/>
  <c r="AD514" i="6" s="1"/>
  <c r="BD331" i="6"/>
  <c r="BD513" i="6" s="1"/>
  <c r="BC331" i="6"/>
  <c r="BC513" i="6" s="1"/>
  <c r="AY331" i="6"/>
  <c r="AY513" i="6" s="1"/>
  <c r="AX331" i="6"/>
  <c r="AX513" i="6" s="1"/>
  <c r="AW331" i="6"/>
  <c r="AW513" i="6" s="1"/>
  <c r="AV331" i="6"/>
  <c r="AV513" i="6" s="1"/>
  <c r="AU331" i="6"/>
  <c r="AU513" i="6" s="1"/>
  <c r="AT331" i="6"/>
  <c r="AT513" i="6" s="1"/>
  <c r="AS331" i="6"/>
  <c r="AS513" i="6" s="1"/>
  <c r="AR331" i="6"/>
  <c r="AR513" i="6" s="1"/>
  <c r="AQ331" i="6"/>
  <c r="AQ513" i="6" s="1"/>
  <c r="AP331" i="6"/>
  <c r="AP513" i="6" s="1"/>
  <c r="AO331" i="6"/>
  <c r="AO513" i="6" s="1"/>
  <c r="AN331" i="6"/>
  <c r="AN513" i="6" s="1"/>
  <c r="AM331" i="6"/>
  <c r="AM513" i="6" s="1"/>
  <c r="AL331" i="6"/>
  <c r="AL513" i="6" s="1"/>
  <c r="AK331" i="6"/>
  <c r="AK513" i="6" s="1"/>
  <c r="AJ331" i="6"/>
  <c r="AJ513" i="6" s="1"/>
  <c r="AH331" i="6"/>
  <c r="AG331" i="6"/>
  <c r="AG513" i="6" s="1"/>
  <c r="AF331" i="6"/>
  <c r="AF513" i="6" s="1"/>
  <c r="AE331" i="6"/>
  <c r="AE513" i="6" s="1"/>
  <c r="AD331" i="6"/>
  <c r="AD513" i="6" s="1"/>
  <c r="BD330" i="6"/>
  <c r="BD512" i="6" s="1"/>
  <c r="BC330" i="6"/>
  <c r="BC512" i="6" s="1"/>
  <c r="AY330" i="6"/>
  <c r="AY512" i="6" s="1"/>
  <c r="AV330" i="6"/>
  <c r="AV512" i="6" s="1"/>
  <c r="AU330" i="6"/>
  <c r="AU512" i="6" s="1"/>
  <c r="AT330" i="6"/>
  <c r="AT512" i="6" s="1"/>
  <c r="AS330" i="6"/>
  <c r="AS512" i="6" s="1"/>
  <c r="AR330" i="6"/>
  <c r="AR512" i="6" s="1"/>
  <c r="AQ330" i="6"/>
  <c r="AQ512" i="6" s="1"/>
  <c r="AP330" i="6"/>
  <c r="AP512" i="6" s="1"/>
  <c r="AO330" i="6"/>
  <c r="AO512" i="6" s="1"/>
  <c r="AN330" i="6"/>
  <c r="AN512" i="6" s="1"/>
  <c r="AM330" i="6"/>
  <c r="AM512" i="6" s="1"/>
  <c r="AL330" i="6"/>
  <c r="AL512" i="6" s="1"/>
  <c r="AK330" i="6"/>
  <c r="AK512" i="6" s="1"/>
  <c r="AJ330" i="6"/>
  <c r="AJ512" i="6" s="1"/>
  <c r="AH330" i="6"/>
  <c r="AH512" i="6" s="1"/>
  <c r="AG330" i="6"/>
  <c r="AG512" i="6" s="1"/>
  <c r="AF330" i="6"/>
  <c r="AF512" i="6" s="1"/>
  <c r="AE330" i="6"/>
  <c r="AE512" i="6" s="1"/>
  <c r="AD330" i="6"/>
  <c r="AD512" i="6" s="1"/>
  <c r="BD329" i="6"/>
  <c r="BD511" i="6" s="1"/>
  <c r="BC329" i="6"/>
  <c r="BC511" i="6" s="1"/>
  <c r="BB329" i="6"/>
  <c r="BB511" i="6" s="1"/>
  <c r="BA329" i="6"/>
  <c r="BA511" i="6" s="1"/>
  <c r="AZ329" i="6"/>
  <c r="AZ511" i="6" s="1"/>
  <c r="AY329" i="6"/>
  <c r="AY511" i="6" s="1"/>
  <c r="AX329" i="6"/>
  <c r="AX511" i="6" s="1"/>
  <c r="AW329" i="6"/>
  <c r="AW511" i="6" s="1"/>
  <c r="AV329" i="6"/>
  <c r="AV511" i="6" s="1"/>
  <c r="AU329" i="6"/>
  <c r="AU511" i="6" s="1"/>
  <c r="AT329" i="6"/>
  <c r="AT511" i="6" s="1"/>
  <c r="AS329" i="6"/>
  <c r="AS511" i="6" s="1"/>
  <c r="AR329" i="6"/>
  <c r="AR511" i="6" s="1"/>
  <c r="AQ329" i="6"/>
  <c r="AQ511" i="6" s="1"/>
  <c r="AP329" i="6"/>
  <c r="AP511" i="6" s="1"/>
  <c r="AO329" i="6"/>
  <c r="AO511" i="6" s="1"/>
  <c r="AN329" i="6"/>
  <c r="AN511" i="6" s="1"/>
  <c r="AM329" i="6"/>
  <c r="AM511" i="6" s="1"/>
  <c r="AL329" i="6"/>
  <c r="AL511" i="6" s="1"/>
  <c r="AK329" i="6"/>
  <c r="AK511" i="6" s="1"/>
  <c r="AJ329" i="6"/>
  <c r="AJ511" i="6" s="1"/>
  <c r="AH329" i="6"/>
  <c r="AH511" i="6" s="1"/>
  <c r="AG329" i="6"/>
  <c r="AG511" i="6" s="1"/>
  <c r="AF329" i="6"/>
  <c r="AF511" i="6" s="1"/>
  <c r="AE329" i="6"/>
  <c r="AE511" i="6" s="1"/>
  <c r="AD329" i="6"/>
  <c r="AD511" i="6" s="1"/>
  <c r="BD328" i="6"/>
  <c r="BD510" i="6" s="1"/>
  <c r="BC328" i="6"/>
  <c r="BC510" i="6" s="1"/>
  <c r="AZ328" i="6"/>
  <c r="AZ510" i="6" s="1"/>
  <c r="AY328" i="6"/>
  <c r="AY510" i="6" s="1"/>
  <c r="AX328" i="6"/>
  <c r="AX510" i="6" s="1"/>
  <c r="AW328" i="6"/>
  <c r="AW510" i="6" s="1"/>
  <c r="AV328" i="6"/>
  <c r="AV510" i="6" s="1"/>
  <c r="AU328" i="6"/>
  <c r="AU510" i="6" s="1"/>
  <c r="AT328" i="6"/>
  <c r="AT510" i="6" s="1"/>
  <c r="AS328" i="6"/>
  <c r="AS510" i="6" s="1"/>
  <c r="AR328" i="6"/>
  <c r="AR510" i="6" s="1"/>
  <c r="AQ328" i="6"/>
  <c r="AQ510" i="6" s="1"/>
  <c r="AP328" i="6"/>
  <c r="AP510" i="6" s="1"/>
  <c r="AO328" i="6"/>
  <c r="AO510" i="6" s="1"/>
  <c r="AN328" i="6"/>
  <c r="AN510" i="6" s="1"/>
  <c r="AM328" i="6"/>
  <c r="AM510" i="6" s="1"/>
  <c r="AL328" i="6"/>
  <c r="AL510" i="6" s="1"/>
  <c r="AK328" i="6"/>
  <c r="AK510" i="6" s="1"/>
  <c r="AJ328" i="6"/>
  <c r="AJ510" i="6" s="1"/>
  <c r="AI328" i="6"/>
  <c r="AI510" i="6" s="1"/>
  <c r="AH328" i="6"/>
  <c r="AH510" i="6" s="1"/>
  <c r="AG328" i="6"/>
  <c r="AG510" i="6" s="1"/>
  <c r="AF328" i="6"/>
  <c r="AF510" i="6" s="1"/>
  <c r="AE328" i="6"/>
  <c r="AE510" i="6" s="1"/>
  <c r="AD328" i="6"/>
  <c r="AD510" i="6" s="1"/>
  <c r="BD327" i="6"/>
  <c r="BD509" i="6" s="1"/>
  <c r="BC327" i="6"/>
  <c r="BC509" i="6" s="1"/>
  <c r="BB327" i="6"/>
  <c r="BB509" i="6" s="1"/>
  <c r="BA327" i="6"/>
  <c r="BA509" i="6" s="1"/>
  <c r="AY327" i="6"/>
  <c r="AY509" i="6" s="1"/>
  <c r="AX327" i="6"/>
  <c r="AX509" i="6" s="1"/>
  <c r="AW327" i="6"/>
  <c r="AW509" i="6" s="1"/>
  <c r="AV327" i="6"/>
  <c r="AV509" i="6" s="1"/>
  <c r="AT327" i="6"/>
  <c r="AT509" i="6" s="1"/>
  <c r="AS327" i="6"/>
  <c r="AS509" i="6" s="1"/>
  <c r="AQ327" i="6"/>
  <c r="AQ509" i="6" s="1"/>
  <c r="AP327" i="6"/>
  <c r="AP509" i="6" s="1"/>
  <c r="AO327" i="6"/>
  <c r="AO509" i="6" s="1"/>
  <c r="AN327" i="6"/>
  <c r="AN509" i="6" s="1"/>
  <c r="AM327" i="6"/>
  <c r="AM509" i="6" s="1"/>
  <c r="AL327" i="6"/>
  <c r="AL509" i="6" s="1"/>
  <c r="AK327" i="6"/>
  <c r="AK509" i="6" s="1"/>
  <c r="AJ327" i="6"/>
  <c r="AJ509" i="6" s="1"/>
  <c r="AH327" i="6"/>
  <c r="AH509" i="6" s="1"/>
  <c r="AG327" i="6"/>
  <c r="AG509" i="6" s="1"/>
  <c r="AF327" i="6"/>
  <c r="AF509" i="6" s="1"/>
  <c r="AE327" i="6"/>
  <c r="AE509" i="6" s="1"/>
  <c r="AD327" i="6"/>
  <c r="AD509" i="6" s="1"/>
  <c r="BD324" i="6"/>
  <c r="BD508" i="6" s="1"/>
  <c r="BC324" i="6"/>
  <c r="BC508" i="6" s="1"/>
  <c r="BB324" i="6"/>
  <c r="BB508" i="6" s="1"/>
  <c r="BA324" i="6"/>
  <c r="BA508" i="6" s="1"/>
  <c r="AZ324" i="6"/>
  <c r="AZ508" i="6" s="1"/>
  <c r="AY324" i="6"/>
  <c r="AY508" i="6" s="1"/>
  <c r="AX324" i="6"/>
  <c r="AX508" i="6" s="1"/>
  <c r="AW324" i="6"/>
  <c r="AW508" i="6" s="1"/>
  <c r="AV324" i="6"/>
  <c r="AV508" i="6" s="1"/>
  <c r="AU324" i="6"/>
  <c r="AU508" i="6" s="1"/>
  <c r="AT324" i="6"/>
  <c r="AT508" i="6" s="1"/>
  <c r="AS324" i="6"/>
  <c r="AS508" i="6" s="1"/>
  <c r="AR324" i="6"/>
  <c r="AR508" i="6" s="1"/>
  <c r="AQ324" i="6"/>
  <c r="AQ508" i="6" s="1"/>
  <c r="AP324" i="6"/>
  <c r="AP508" i="6" s="1"/>
  <c r="AO324" i="6"/>
  <c r="AO508" i="6" s="1"/>
  <c r="AN324" i="6"/>
  <c r="AN508" i="6" s="1"/>
  <c r="AM324" i="6"/>
  <c r="AM508" i="6" s="1"/>
  <c r="AL324" i="6"/>
  <c r="AL508" i="6" s="1"/>
  <c r="AK324" i="6"/>
  <c r="AK508" i="6" s="1"/>
  <c r="AJ324" i="6"/>
  <c r="AJ508" i="6" s="1"/>
  <c r="AG324" i="6"/>
  <c r="AG508" i="6" s="1"/>
  <c r="AF324" i="6"/>
  <c r="AF508" i="6" s="1"/>
  <c r="AE324" i="6"/>
  <c r="AE508" i="6" s="1"/>
  <c r="AD324" i="6"/>
  <c r="AD508" i="6" s="1"/>
  <c r="BD323" i="6"/>
  <c r="BD507" i="6" s="1"/>
  <c r="BC323" i="6"/>
  <c r="BC507" i="6" s="1"/>
  <c r="BB323" i="6"/>
  <c r="BB507" i="6" s="1"/>
  <c r="BA323" i="6"/>
  <c r="BA507" i="6" s="1"/>
  <c r="AZ323" i="6"/>
  <c r="AZ507" i="6" s="1"/>
  <c r="AY323" i="6"/>
  <c r="AY507" i="6" s="1"/>
  <c r="AX323" i="6"/>
  <c r="AX507" i="6" s="1"/>
  <c r="AW323" i="6"/>
  <c r="AW507" i="6" s="1"/>
  <c r="AV323" i="6"/>
  <c r="AV507" i="6" s="1"/>
  <c r="AU323" i="6"/>
  <c r="AU507" i="6" s="1"/>
  <c r="AT323" i="6"/>
  <c r="AT507" i="6" s="1"/>
  <c r="AS323" i="6"/>
  <c r="AS507" i="6" s="1"/>
  <c r="AR323" i="6"/>
  <c r="AR507" i="6" s="1"/>
  <c r="AQ323" i="6"/>
  <c r="AQ507" i="6" s="1"/>
  <c r="AP323" i="6"/>
  <c r="AP507" i="6" s="1"/>
  <c r="AO323" i="6"/>
  <c r="AO507" i="6" s="1"/>
  <c r="AN323" i="6"/>
  <c r="AN507" i="6" s="1"/>
  <c r="AM323" i="6"/>
  <c r="AM507" i="6" s="1"/>
  <c r="AL323" i="6"/>
  <c r="AL507" i="6" s="1"/>
  <c r="AK323" i="6"/>
  <c r="AK507" i="6" s="1"/>
  <c r="AJ323" i="6"/>
  <c r="AJ507" i="6" s="1"/>
  <c r="AG323" i="6"/>
  <c r="AG507" i="6" s="1"/>
  <c r="AF323" i="6"/>
  <c r="AF507" i="6" s="1"/>
  <c r="AE323" i="6"/>
  <c r="AE507" i="6" s="1"/>
  <c r="AD323" i="6"/>
  <c r="AD507" i="6" s="1"/>
  <c r="BD322" i="6"/>
  <c r="BD506" i="6" s="1"/>
  <c r="BC322" i="6"/>
  <c r="BC506" i="6" s="1"/>
  <c r="BB322" i="6"/>
  <c r="BB506" i="6" s="1"/>
  <c r="BA322" i="6"/>
  <c r="BA506" i="6" s="1"/>
  <c r="AZ322" i="6"/>
  <c r="AZ506" i="6" s="1"/>
  <c r="AY322" i="6"/>
  <c r="AY506" i="6" s="1"/>
  <c r="AX322" i="6"/>
  <c r="AX506" i="6" s="1"/>
  <c r="AW322" i="6"/>
  <c r="AW506" i="6" s="1"/>
  <c r="AV322" i="6"/>
  <c r="AV506" i="6" s="1"/>
  <c r="AU322" i="6"/>
  <c r="AU506" i="6" s="1"/>
  <c r="AT322" i="6"/>
  <c r="AT506" i="6" s="1"/>
  <c r="AS322" i="6"/>
  <c r="AS506" i="6" s="1"/>
  <c r="AR322" i="6"/>
  <c r="AR506" i="6" s="1"/>
  <c r="AQ322" i="6"/>
  <c r="AQ506" i="6" s="1"/>
  <c r="AP322" i="6"/>
  <c r="AP506" i="6" s="1"/>
  <c r="AO322" i="6"/>
  <c r="AO506" i="6" s="1"/>
  <c r="AN322" i="6"/>
  <c r="AN506" i="6" s="1"/>
  <c r="AM322" i="6"/>
  <c r="AM506" i="6" s="1"/>
  <c r="AL322" i="6"/>
  <c r="AL506" i="6" s="1"/>
  <c r="AK322" i="6"/>
  <c r="AK506" i="6" s="1"/>
  <c r="AJ322" i="6"/>
  <c r="AJ506" i="6" s="1"/>
  <c r="AH322" i="6"/>
  <c r="AH506" i="6" s="1"/>
  <c r="AG322" i="6"/>
  <c r="AG506" i="6" s="1"/>
  <c r="AF322" i="6"/>
  <c r="AF506" i="6" s="1"/>
  <c r="AE322" i="6"/>
  <c r="AE506" i="6" s="1"/>
  <c r="AD322" i="6"/>
  <c r="AD506" i="6" s="1"/>
  <c r="BD321" i="6"/>
  <c r="BD505" i="6" s="1"/>
  <c r="BC321" i="6"/>
  <c r="BC505" i="6" s="1"/>
  <c r="BB321" i="6"/>
  <c r="BB505" i="6" s="1"/>
  <c r="BA321" i="6"/>
  <c r="BA505" i="6" s="1"/>
  <c r="AZ321" i="6"/>
  <c r="AZ505" i="6" s="1"/>
  <c r="AY321" i="6"/>
  <c r="AY505" i="6" s="1"/>
  <c r="AX321" i="6"/>
  <c r="AX505" i="6" s="1"/>
  <c r="AW321" i="6"/>
  <c r="AW505" i="6" s="1"/>
  <c r="AV321" i="6"/>
  <c r="AV505" i="6" s="1"/>
  <c r="AU321" i="6"/>
  <c r="AU505" i="6" s="1"/>
  <c r="AT321" i="6"/>
  <c r="AT505" i="6" s="1"/>
  <c r="AS321" i="6"/>
  <c r="AS505" i="6" s="1"/>
  <c r="AR321" i="6"/>
  <c r="AR505" i="6" s="1"/>
  <c r="AQ321" i="6"/>
  <c r="AQ505" i="6" s="1"/>
  <c r="AP321" i="6"/>
  <c r="AP505" i="6" s="1"/>
  <c r="AO321" i="6"/>
  <c r="AO505" i="6" s="1"/>
  <c r="AN321" i="6"/>
  <c r="AN505" i="6" s="1"/>
  <c r="AM321" i="6"/>
  <c r="AM505" i="6" s="1"/>
  <c r="AL321" i="6"/>
  <c r="AL505" i="6" s="1"/>
  <c r="AK321" i="6"/>
  <c r="AK505" i="6" s="1"/>
  <c r="AJ321" i="6"/>
  <c r="AJ505" i="6" s="1"/>
  <c r="AG321" i="6"/>
  <c r="AG505" i="6" s="1"/>
  <c r="AF321" i="6"/>
  <c r="AF505" i="6" s="1"/>
  <c r="AE321" i="6"/>
  <c r="AE505" i="6" s="1"/>
  <c r="AD321" i="6"/>
  <c r="AD505" i="6" s="1"/>
  <c r="BD320" i="6"/>
  <c r="BD504" i="6" s="1"/>
  <c r="BC320" i="6"/>
  <c r="BC504" i="6" s="1"/>
  <c r="BB320" i="6"/>
  <c r="BB504" i="6" s="1"/>
  <c r="BA320" i="6"/>
  <c r="BA504" i="6" s="1"/>
  <c r="AZ320" i="6"/>
  <c r="AZ504" i="6" s="1"/>
  <c r="AY320" i="6"/>
  <c r="AY504" i="6" s="1"/>
  <c r="AX320" i="6"/>
  <c r="AX504" i="6" s="1"/>
  <c r="AW320" i="6"/>
  <c r="AW504" i="6" s="1"/>
  <c r="AV320" i="6"/>
  <c r="AV504" i="6" s="1"/>
  <c r="AU320" i="6"/>
  <c r="AU504" i="6" s="1"/>
  <c r="AT320" i="6"/>
  <c r="AT504" i="6" s="1"/>
  <c r="AS320" i="6"/>
  <c r="AS504" i="6" s="1"/>
  <c r="AR320" i="6"/>
  <c r="AR504" i="6" s="1"/>
  <c r="AQ320" i="6"/>
  <c r="AQ504" i="6" s="1"/>
  <c r="AP320" i="6"/>
  <c r="AP504" i="6" s="1"/>
  <c r="AO320" i="6"/>
  <c r="AO504" i="6" s="1"/>
  <c r="AN320" i="6"/>
  <c r="AN504" i="6" s="1"/>
  <c r="AM320" i="6"/>
  <c r="AM504" i="6" s="1"/>
  <c r="AL320" i="6"/>
  <c r="AL504" i="6" s="1"/>
  <c r="AK320" i="6"/>
  <c r="AK504" i="6" s="1"/>
  <c r="AJ320" i="6"/>
  <c r="AJ504" i="6" s="1"/>
  <c r="AG320" i="6"/>
  <c r="AG504" i="6" s="1"/>
  <c r="AF320" i="6"/>
  <c r="AF504" i="6" s="1"/>
  <c r="AE320" i="6"/>
  <c r="AE504" i="6" s="1"/>
  <c r="AD320" i="6"/>
  <c r="AD504" i="6" s="1"/>
  <c r="BD319" i="6"/>
  <c r="BD503" i="6" s="1"/>
  <c r="BC319" i="6"/>
  <c r="BC503" i="6" s="1"/>
  <c r="BB319" i="6"/>
  <c r="BB503" i="6" s="1"/>
  <c r="BA319" i="6"/>
  <c r="BA503" i="6" s="1"/>
  <c r="AZ319" i="6"/>
  <c r="AZ503" i="6" s="1"/>
  <c r="AY319" i="6"/>
  <c r="AY503" i="6" s="1"/>
  <c r="AX319" i="6"/>
  <c r="AX503" i="6" s="1"/>
  <c r="AW319" i="6"/>
  <c r="AW503" i="6" s="1"/>
  <c r="AU319" i="6"/>
  <c r="AU503" i="6" s="1"/>
  <c r="AT319" i="6"/>
  <c r="AT503" i="6" s="1"/>
  <c r="AS319" i="6"/>
  <c r="AS503" i="6" s="1"/>
  <c r="AR319" i="6"/>
  <c r="AR503" i="6" s="1"/>
  <c r="AQ319" i="6"/>
  <c r="AQ503" i="6" s="1"/>
  <c r="AP319" i="6"/>
  <c r="AP503" i="6" s="1"/>
  <c r="AN319" i="6"/>
  <c r="AN503" i="6" s="1"/>
  <c r="AM319" i="6"/>
  <c r="AM503" i="6" s="1"/>
  <c r="AL319" i="6"/>
  <c r="AL503" i="6" s="1"/>
  <c r="AK319" i="6"/>
  <c r="AK503" i="6" s="1"/>
  <c r="AJ319" i="6"/>
  <c r="AJ503" i="6" s="1"/>
  <c r="AI319" i="6"/>
  <c r="AI503" i="6" s="1"/>
  <c r="AH319" i="6"/>
  <c r="AH503" i="6" s="1"/>
  <c r="AG319" i="6"/>
  <c r="AG503" i="6" s="1"/>
  <c r="AF319" i="6"/>
  <c r="AF503" i="6" s="1"/>
  <c r="AE319" i="6"/>
  <c r="AE503" i="6" s="1"/>
  <c r="AD319" i="6"/>
  <c r="AD503" i="6" s="1"/>
  <c r="BD318" i="6"/>
  <c r="BD502" i="6" s="1"/>
  <c r="BC318" i="6"/>
  <c r="BC502" i="6" s="1"/>
  <c r="BB318" i="6"/>
  <c r="BB502" i="6" s="1"/>
  <c r="BA318" i="6"/>
  <c r="BA502" i="6" s="1"/>
  <c r="AZ318" i="6"/>
  <c r="AZ502" i="6" s="1"/>
  <c r="AY318" i="6"/>
  <c r="AY502" i="6" s="1"/>
  <c r="AX318" i="6"/>
  <c r="AX502" i="6" s="1"/>
  <c r="AW318" i="6"/>
  <c r="AW502" i="6" s="1"/>
  <c r="AV318" i="6"/>
  <c r="AV502" i="6" s="1"/>
  <c r="AU318" i="6"/>
  <c r="AU502" i="6" s="1"/>
  <c r="AT318" i="6"/>
  <c r="AT502" i="6" s="1"/>
  <c r="AS318" i="6"/>
  <c r="AS502" i="6" s="1"/>
  <c r="AR318" i="6"/>
  <c r="AR502" i="6" s="1"/>
  <c r="AQ318" i="6"/>
  <c r="AQ502" i="6" s="1"/>
  <c r="AP318" i="6"/>
  <c r="AP502" i="6" s="1"/>
  <c r="AO318" i="6"/>
  <c r="AO502" i="6" s="1"/>
  <c r="AN318" i="6"/>
  <c r="AN502" i="6" s="1"/>
  <c r="AM318" i="6"/>
  <c r="AM502" i="6" s="1"/>
  <c r="AL318" i="6"/>
  <c r="AL502" i="6" s="1"/>
  <c r="AK318" i="6"/>
  <c r="AK502" i="6" s="1"/>
  <c r="AJ318" i="6"/>
  <c r="AJ502" i="6" s="1"/>
  <c r="AI318" i="6"/>
  <c r="AI502" i="6" s="1"/>
  <c r="AH318" i="6"/>
  <c r="AH502" i="6" s="1"/>
  <c r="AG318" i="6"/>
  <c r="AG502" i="6" s="1"/>
  <c r="AF318" i="6"/>
  <c r="AF502" i="6" s="1"/>
  <c r="AE318" i="6"/>
  <c r="AE502" i="6" s="1"/>
  <c r="AD318" i="6"/>
  <c r="AD502" i="6" s="1"/>
  <c r="BD317" i="6"/>
  <c r="BD501" i="6" s="1"/>
  <c r="BC317" i="6"/>
  <c r="BC501" i="6" s="1"/>
  <c r="BB317" i="6"/>
  <c r="BB501" i="6" s="1"/>
  <c r="BA317" i="6"/>
  <c r="BA501" i="6" s="1"/>
  <c r="AZ317" i="6"/>
  <c r="AZ501" i="6" s="1"/>
  <c r="AY317" i="6"/>
  <c r="AY501" i="6" s="1"/>
  <c r="AU317" i="6"/>
  <c r="AU501" i="6" s="1"/>
  <c r="AT317" i="6"/>
  <c r="AT501" i="6" s="1"/>
  <c r="AS317" i="6"/>
  <c r="AS501" i="6" s="1"/>
  <c r="AR317" i="6"/>
  <c r="AR501" i="6" s="1"/>
  <c r="AQ317" i="6"/>
  <c r="AQ501" i="6" s="1"/>
  <c r="AP317" i="6"/>
  <c r="AP501" i="6" s="1"/>
  <c r="AO317" i="6"/>
  <c r="AO501" i="6" s="1"/>
  <c r="AN317" i="6"/>
  <c r="AN501" i="6" s="1"/>
  <c r="AM317" i="6"/>
  <c r="AM501" i="6" s="1"/>
  <c r="AL317" i="6"/>
  <c r="AL501" i="6" s="1"/>
  <c r="AK317" i="6"/>
  <c r="AK501" i="6" s="1"/>
  <c r="AJ317" i="6"/>
  <c r="AJ501" i="6" s="1"/>
  <c r="AI317" i="6"/>
  <c r="AI501" i="6" s="1"/>
  <c r="AH317" i="6"/>
  <c r="AH501" i="6" s="1"/>
  <c r="AG317" i="6"/>
  <c r="AG501" i="6" s="1"/>
  <c r="AF317" i="6"/>
  <c r="AF501" i="6" s="1"/>
  <c r="AE317" i="6"/>
  <c r="AE501" i="6" s="1"/>
  <c r="AD317" i="6"/>
  <c r="AD501" i="6" s="1"/>
  <c r="BD316" i="6"/>
  <c r="BD500" i="6" s="1"/>
  <c r="BC316" i="6"/>
  <c r="BC500" i="6" s="1"/>
  <c r="BB316" i="6"/>
  <c r="BB500" i="6" s="1"/>
  <c r="BA316" i="6"/>
  <c r="BA500" i="6" s="1"/>
  <c r="AZ316" i="6"/>
  <c r="AZ500" i="6" s="1"/>
  <c r="AY316" i="6"/>
  <c r="AY500" i="6" s="1"/>
  <c r="AU316" i="6"/>
  <c r="AU500" i="6" s="1"/>
  <c r="AT316" i="6"/>
  <c r="AT500" i="6" s="1"/>
  <c r="AS316" i="6"/>
  <c r="AS500" i="6" s="1"/>
  <c r="AO316" i="6"/>
  <c r="AO500" i="6" s="1"/>
  <c r="AN316" i="6"/>
  <c r="AN500" i="6" s="1"/>
  <c r="AM316" i="6"/>
  <c r="AM500" i="6" s="1"/>
  <c r="AL316" i="6"/>
  <c r="AL500" i="6" s="1"/>
  <c r="AK316" i="6"/>
  <c r="AK500" i="6" s="1"/>
  <c r="AJ316" i="6"/>
  <c r="AJ500" i="6" s="1"/>
  <c r="AI316" i="6"/>
  <c r="AI500" i="6" s="1"/>
  <c r="AH316" i="6"/>
  <c r="AH500" i="6" s="1"/>
  <c r="AG316" i="6"/>
  <c r="AG500" i="6" s="1"/>
  <c r="AF316" i="6"/>
  <c r="AF500" i="6" s="1"/>
  <c r="AE316" i="6"/>
  <c r="AE500" i="6" s="1"/>
  <c r="AD316" i="6"/>
  <c r="AD500" i="6" s="1"/>
  <c r="BD315" i="6"/>
  <c r="BD499" i="6" s="1"/>
  <c r="BC315" i="6"/>
  <c r="BC499" i="6" s="1"/>
  <c r="BB315" i="6"/>
  <c r="BB499" i="6" s="1"/>
  <c r="BA315" i="6"/>
  <c r="BA499" i="6" s="1"/>
  <c r="AZ315" i="6"/>
  <c r="AZ499" i="6" s="1"/>
  <c r="AY315" i="6"/>
  <c r="AY499" i="6" s="1"/>
  <c r="AX315" i="6"/>
  <c r="AX499" i="6" s="1"/>
  <c r="AW315" i="6"/>
  <c r="AW499" i="6" s="1"/>
  <c r="AV315" i="6"/>
  <c r="AV499" i="6" s="1"/>
  <c r="AU315" i="6"/>
  <c r="AU499" i="6" s="1"/>
  <c r="AT315" i="6"/>
  <c r="AT499" i="6" s="1"/>
  <c r="AS315" i="6"/>
  <c r="AS499" i="6" s="1"/>
  <c r="AP315" i="6"/>
  <c r="AP499" i="6" s="1"/>
  <c r="AO315" i="6"/>
  <c r="AO499" i="6" s="1"/>
  <c r="AN315" i="6"/>
  <c r="AN499" i="6" s="1"/>
  <c r="AM315" i="6"/>
  <c r="AM499" i="6" s="1"/>
  <c r="AL315" i="6"/>
  <c r="AL499" i="6" s="1"/>
  <c r="AK315" i="6"/>
  <c r="AK499" i="6" s="1"/>
  <c r="AJ315" i="6"/>
  <c r="AJ499" i="6" s="1"/>
  <c r="AI315" i="6"/>
  <c r="AI499" i="6" s="1"/>
  <c r="AH315" i="6"/>
  <c r="AH499" i="6" s="1"/>
  <c r="AG315" i="6"/>
  <c r="AG499" i="6" s="1"/>
  <c r="AF315" i="6"/>
  <c r="AF499" i="6" s="1"/>
  <c r="AE315" i="6"/>
  <c r="AE499" i="6" s="1"/>
  <c r="AD315" i="6"/>
  <c r="AD499" i="6" s="1"/>
  <c r="BD314" i="6"/>
  <c r="BD498" i="6" s="1"/>
  <c r="BC314" i="6"/>
  <c r="BC498" i="6" s="1"/>
  <c r="BB314" i="6"/>
  <c r="BB498" i="6" s="1"/>
  <c r="BA314" i="6"/>
  <c r="BA498" i="6" s="1"/>
  <c r="AZ314" i="6"/>
  <c r="AZ498" i="6" s="1"/>
  <c r="AY314" i="6"/>
  <c r="AY498" i="6" s="1"/>
  <c r="AU314" i="6"/>
  <c r="AU498" i="6" s="1"/>
  <c r="AT314" i="6"/>
  <c r="AT498" i="6" s="1"/>
  <c r="AS314" i="6"/>
  <c r="AS498" i="6" s="1"/>
  <c r="AQ314" i="6"/>
  <c r="AQ498" i="6" s="1"/>
  <c r="AN314" i="6"/>
  <c r="AN498" i="6" s="1"/>
  <c r="AM314" i="6"/>
  <c r="AM498" i="6" s="1"/>
  <c r="AL314" i="6"/>
  <c r="AL498" i="6" s="1"/>
  <c r="AK314" i="6"/>
  <c r="AK498" i="6" s="1"/>
  <c r="AJ314" i="6"/>
  <c r="AJ498" i="6" s="1"/>
  <c r="AI314" i="6"/>
  <c r="AI498" i="6" s="1"/>
  <c r="AH314" i="6"/>
  <c r="AH498" i="6" s="1"/>
  <c r="AG314" i="6"/>
  <c r="AG498" i="6" s="1"/>
  <c r="AF314" i="6"/>
  <c r="AF498" i="6" s="1"/>
  <c r="AE314" i="6"/>
  <c r="AE498" i="6" s="1"/>
  <c r="AD314" i="6"/>
  <c r="AD498" i="6" s="1"/>
  <c r="BD313" i="6"/>
  <c r="BD497" i="6" s="1"/>
  <c r="BC313" i="6"/>
  <c r="BC497" i="6" s="1"/>
  <c r="BB313" i="6"/>
  <c r="BB497" i="6" s="1"/>
  <c r="BA313" i="6"/>
  <c r="BA497" i="6" s="1"/>
  <c r="AZ313" i="6"/>
  <c r="AZ497" i="6" s="1"/>
  <c r="AY313" i="6"/>
  <c r="AY497" i="6" s="1"/>
  <c r="AU313" i="6"/>
  <c r="AU497" i="6" s="1"/>
  <c r="AT313" i="6"/>
  <c r="AT497" i="6" s="1"/>
  <c r="AS313" i="6"/>
  <c r="AS497" i="6" s="1"/>
  <c r="AQ313" i="6"/>
  <c r="AQ497" i="6" s="1"/>
  <c r="AP313" i="6"/>
  <c r="AP497" i="6" s="1"/>
  <c r="AM313" i="6"/>
  <c r="AM497" i="6" s="1"/>
  <c r="AL313" i="6"/>
  <c r="AL497" i="6" s="1"/>
  <c r="AK313" i="6"/>
  <c r="AK497" i="6" s="1"/>
  <c r="AJ313" i="6"/>
  <c r="AJ497" i="6" s="1"/>
  <c r="AI313" i="6"/>
  <c r="AI497" i="6" s="1"/>
  <c r="AH313" i="6"/>
  <c r="AH497" i="6" s="1"/>
  <c r="AG313" i="6"/>
  <c r="AG497" i="6" s="1"/>
  <c r="AF313" i="6"/>
  <c r="AF497" i="6" s="1"/>
  <c r="AE313" i="6"/>
  <c r="AE497" i="6" s="1"/>
  <c r="AD313" i="6"/>
  <c r="AD497" i="6" s="1"/>
  <c r="BD312" i="6"/>
  <c r="BD496" i="6" s="1"/>
  <c r="BC312" i="6"/>
  <c r="BC496" i="6" s="1"/>
  <c r="BB312" i="6"/>
  <c r="BB496" i="6" s="1"/>
  <c r="BA312" i="6"/>
  <c r="BA496" i="6" s="1"/>
  <c r="AZ312" i="6"/>
  <c r="AZ496" i="6" s="1"/>
  <c r="AY312" i="6"/>
  <c r="AY496" i="6" s="1"/>
  <c r="AX312" i="6"/>
  <c r="AX496" i="6" s="1"/>
  <c r="AW312" i="6"/>
  <c r="AW496" i="6" s="1"/>
  <c r="AV312" i="6"/>
  <c r="AV496" i="6" s="1"/>
  <c r="AU312" i="6"/>
  <c r="AU496" i="6" s="1"/>
  <c r="AT312" i="6"/>
  <c r="AT496" i="6" s="1"/>
  <c r="AS312" i="6"/>
  <c r="AS496" i="6" s="1"/>
  <c r="AQ312" i="6"/>
  <c r="AP312" i="6"/>
  <c r="AP496" i="6" s="1"/>
  <c r="AM312" i="6"/>
  <c r="AM496" i="6" s="1"/>
  <c r="AL312" i="6"/>
  <c r="AL496" i="6" s="1"/>
  <c r="AK312" i="6"/>
  <c r="AK496" i="6" s="1"/>
  <c r="AJ312" i="6"/>
  <c r="AJ496" i="6" s="1"/>
  <c r="AI312" i="6"/>
  <c r="AI496" i="6" s="1"/>
  <c r="AH312" i="6"/>
  <c r="AH496" i="6" s="1"/>
  <c r="AG312" i="6"/>
  <c r="AG496" i="6" s="1"/>
  <c r="AF312" i="6"/>
  <c r="AF496" i="6" s="1"/>
  <c r="AE312" i="6"/>
  <c r="AE496" i="6" s="1"/>
  <c r="AD312" i="6"/>
  <c r="AD496" i="6" s="1"/>
  <c r="BD311" i="6"/>
  <c r="BD495" i="6" s="1"/>
  <c r="BC311" i="6"/>
  <c r="BC495" i="6" s="1"/>
  <c r="BB311" i="6"/>
  <c r="BB495" i="6" s="1"/>
  <c r="BA311" i="6"/>
  <c r="BA495" i="6" s="1"/>
  <c r="AZ311" i="6"/>
  <c r="AZ495" i="6" s="1"/>
  <c r="AY311" i="6"/>
  <c r="AY495" i="6" s="1"/>
  <c r="AU311" i="6"/>
  <c r="AU495" i="6" s="1"/>
  <c r="AT311" i="6"/>
  <c r="AT495" i="6" s="1"/>
  <c r="AS311" i="6"/>
  <c r="AS495" i="6" s="1"/>
  <c r="AQ311" i="6"/>
  <c r="AP311" i="6"/>
  <c r="AP495" i="6" s="1"/>
  <c r="AN311" i="6"/>
  <c r="AN495" i="6" s="1"/>
  <c r="AJ311" i="6"/>
  <c r="AJ495" i="6" s="1"/>
  <c r="AI311" i="6"/>
  <c r="AI495" i="6" s="1"/>
  <c r="AH311" i="6"/>
  <c r="AH495" i="6" s="1"/>
  <c r="AG311" i="6"/>
  <c r="AG495" i="6" s="1"/>
  <c r="AF311" i="6"/>
  <c r="AF495" i="6" s="1"/>
  <c r="AE311" i="6"/>
  <c r="AE495" i="6" s="1"/>
  <c r="AD311" i="6"/>
  <c r="AD495" i="6" s="1"/>
  <c r="BD310" i="6"/>
  <c r="BD494" i="6" s="1"/>
  <c r="BC310" i="6"/>
  <c r="BC494" i="6" s="1"/>
  <c r="BB310" i="6"/>
  <c r="BB494" i="6" s="1"/>
  <c r="BA310" i="6"/>
  <c r="BA494" i="6" s="1"/>
  <c r="AZ310" i="6"/>
  <c r="AZ494" i="6" s="1"/>
  <c r="AY310" i="6"/>
  <c r="AY494" i="6" s="1"/>
  <c r="AU310" i="6"/>
  <c r="AU494" i="6" s="1"/>
  <c r="AT310" i="6"/>
  <c r="AT494" i="6" s="1"/>
  <c r="AS310" i="6"/>
  <c r="AS494" i="6" s="1"/>
  <c r="AR310" i="6"/>
  <c r="AR494" i="6" s="1"/>
  <c r="AQ310" i="6"/>
  <c r="AQ494" i="6" s="1"/>
  <c r="AP310" i="6"/>
  <c r="AP494" i="6" s="1"/>
  <c r="AN310" i="6"/>
  <c r="AN494" i="6" s="1"/>
  <c r="AM310" i="6"/>
  <c r="AM494" i="6" s="1"/>
  <c r="AL310" i="6"/>
  <c r="AL494" i="6" s="1"/>
  <c r="AK310" i="6"/>
  <c r="AK494" i="6" s="1"/>
  <c r="AJ310" i="6"/>
  <c r="AJ494" i="6" s="1"/>
  <c r="AI310" i="6"/>
  <c r="AI494" i="6" s="1"/>
  <c r="AH310" i="6"/>
  <c r="AH494" i="6" s="1"/>
  <c r="AG310" i="6"/>
  <c r="AG494" i="6" s="1"/>
  <c r="AF310" i="6"/>
  <c r="AF494" i="6" s="1"/>
  <c r="AE310" i="6"/>
  <c r="AE494" i="6" s="1"/>
  <c r="AD310" i="6"/>
  <c r="AD494" i="6" s="1"/>
  <c r="BD309" i="6"/>
  <c r="BD493" i="6" s="1"/>
  <c r="BC309" i="6"/>
  <c r="BC493" i="6" s="1"/>
  <c r="BB309" i="6"/>
  <c r="BB493" i="6" s="1"/>
  <c r="BA309" i="6"/>
  <c r="BA493" i="6" s="1"/>
  <c r="AZ309" i="6"/>
  <c r="AZ493" i="6" s="1"/>
  <c r="AY309" i="6"/>
  <c r="AY493" i="6" s="1"/>
  <c r="AX309" i="6"/>
  <c r="AX493" i="6" s="1"/>
  <c r="AW309" i="6"/>
  <c r="AW493" i="6" s="1"/>
  <c r="AV309" i="6"/>
  <c r="AV493" i="6" s="1"/>
  <c r="AU309" i="6"/>
  <c r="AU493" i="6" s="1"/>
  <c r="AT309" i="6"/>
  <c r="AT493" i="6" s="1"/>
  <c r="AS309" i="6"/>
  <c r="AS493" i="6" s="1"/>
  <c r="AR309" i="6"/>
  <c r="AR493" i="6" s="1"/>
  <c r="AQ309" i="6"/>
  <c r="AQ493" i="6" s="1"/>
  <c r="AP309" i="6"/>
  <c r="AP493" i="6" s="1"/>
  <c r="AO309" i="6"/>
  <c r="AO493" i="6" s="1"/>
  <c r="AN309" i="6"/>
  <c r="AN493" i="6" s="1"/>
  <c r="AM309" i="6"/>
  <c r="AM493" i="6" s="1"/>
  <c r="AL309" i="6"/>
  <c r="AL493" i="6" s="1"/>
  <c r="AK309" i="6"/>
  <c r="AK493" i="6" s="1"/>
  <c r="AJ309" i="6"/>
  <c r="AJ493" i="6" s="1"/>
  <c r="AI309" i="6"/>
  <c r="AI493" i="6" s="1"/>
  <c r="AH309" i="6"/>
  <c r="AH493" i="6" s="1"/>
  <c r="AG309" i="6"/>
  <c r="AG493" i="6" s="1"/>
  <c r="AF309" i="6"/>
  <c r="AF493" i="6" s="1"/>
  <c r="AE309" i="6"/>
  <c r="AE493" i="6" s="1"/>
  <c r="AD309" i="6"/>
  <c r="AD493" i="6" s="1"/>
  <c r="BD308" i="6"/>
  <c r="BD492" i="6" s="1"/>
  <c r="BC308" i="6"/>
  <c r="BC492" i="6" s="1"/>
  <c r="BB308" i="6"/>
  <c r="BB492" i="6" s="1"/>
  <c r="BA308" i="6"/>
  <c r="BA492" i="6" s="1"/>
  <c r="AZ308" i="6"/>
  <c r="AZ492" i="6" s="1"/>
  <c r="AY308" i="6"/>
  <c r="AY492" i="6" s="1"/>
  <c r="AV308" i="6"/>
  <c r="AV492" i="6" s="1"/>
  <c r="AU308" i="6"/>
  <c r="AU492" i="6" s="1"/>
  <c r="AT308" i="6"/>
  <c r="AT492" i="6" s="1"/>
  <c r="AS308" i="6"/>
  <c r="AS492" i="6" s="1"/>
  <c r="AR308" i="6"/>
  <c r="AR492" i="6" s="1"/>
  <c r="AQ308" i="6"/>
  <c r="AQ492" i="6" s="1"/>
  <c r="AP308" i="6"/>
  <c r="AP492" i="6" s="1"/>
  <c r="AO308" i="6"/>
  <c r="AO492" i="6" s="1"/>
  <c r="AN308" i="6"/>
  <c r="AN492" i="6" s="1"/>
  <c r="AM308" i="6"/>
  <c r="AM492" i="6" s="1"/>
  <c r="AL308" i="6"/>
  <c r="AL492" i="6" s="1"/>
  <c r="AK308" i="6"/>
  <c r="AK492" i="6" s="1"/>
  <c r="AJ308" i="6"/>
  <c r="AJ492" i="6" s="1"/>
  <c r="AI308" i="6"/>
  <c r="AI492" i="6" s="1"/>
  <c r="AH308" i="6"/>
  <c r="AH492" i="6" s="1"/>
  <c r="AG308" i="6"/>
  <c r="AG492" i="6" s="1"/>
  <c r="AF308" i="6"/>
  <c r="AF492" i="6" s="1"/>
  <c r="AE308" i="6"/>
  <c r="AE492" i="6" s="1"/>
  <c r="AD308" i="6"/>
  <c r="AD492" i="6" s="1"/>
  <c r="BD307" i="6"/>
  <c r="BD491" i="6" s="1"/>
  <c r="BC307" i="6"/>
  <c r="BC491" i="6" s="1"/>
  <c r="BB307" i="6"/>
  <c r="BB491" i="6" s="1"/>
  <c r="BA307" i="6"/>
  <c r="BA491" i="6" s="1"/>
  <c r="AZ307" i="6"/>
  <c r="AZ491" i="6" s="1"/>
  <c r="AY307" i="6"/>
  <c r="AY491" i="6" s="1"/>
  <c r="AX307" i="6"/>
  <c r="AX491" i="6" s="1"/>
  <c r="AW307" i="6"/>
  <c r="AW491" i="6" s="1"/>
  <c r="AV307" i="6"/>
  <c r="AV491" i="6" s="1"/>
  <c r="AU307" i="6"/>
  <c r="AU491" i="6" s="1"/>
  <c r="AT307" i="6"/>
  <c r="AT491" i="6" s="1"/>
  <c r="AS307" i="6"/>
  <c r="AS491" i="6" s="1"/>
  <c r="AR307" i="6"/>
  <c r="AR491" i="6" s="1"/>
  <c r="AQ307" i="6"/>
  <c r="AQ491" i="6" s="1"/>
  <c r="AO307" i="6"/>
  <c r="AO491" i="6" s="1"/>
  <c r="AN307" i="6"/>
  <c r="AN491" i="6" s="1"/>
  <c r="AM307" i="6"/>
  <c r="AM491" i="6" s="1"/>
  <c r="AL307" i="6"/>
  <c r="AL491" i="6" s="1"/>
  <c r="AK307" i="6"/>
  <c r="AK491" i="6" s="1"/>
  <c r="AJ307" i="6"/>
  <c r="AJ491" i="6" s="1"/>
  <c r="AI307" i="6"/>
  <c r="AI491" i="6" s="1"/>
  <c r="AH307" i="6"/>
  <c r="AH491" i="6" s="1"/>
  <c r="AG307" i="6"/>
  <c r="AG491" i="6" s="1"/>
  <c r="AF307" i="6"/>
  <c r="AF491" i="6" s="1"/>
  <c r="AE307" i="6"/>
  <c r="AE491" i="6" s="1"/>
  <c r="AD307" i="6"/>
  <c r="AD491" i="6" s="1"/>
  <c r="BD306" i="6"/>
  <c r="BD490" i="6" s="1"/>
  <c r="BC306" i="6"/>
  <c r="BC490" i="6" s="1"/>
  <c r="BB306" i="6"/>
  <c r="BB490" i="6" s="1"/>
  <c r="BA306" i="6"/>
  <c r="BA490" i="6" s="1"/>
  <c r="AZ306" i="6"/>
  <c r="AZ490" i="6" s="1"/>
  <c r="AY306" i="6"/>
  <c r="AY490" i="6" s="1"/>
  <c r="AX306" i="6"/>
  <c r="AX490" i="6" s="1"/>
  <c r="AW306" i="6"/>
  <c r="AW490" i="6" s="1"/>
  <c r="AV306" i="6"/>
  <c r="AV490" i="6" s="1"/>
  <c r="AU306" i="6"/>
  <c r="AU490" i="6" s="1"/>
  <c r="AT306" i="6"/>
  <c r="AT490" i="6" s="1"/>
  <c r="AS306" i="6"/>
  <c r="AS490" i="6" s="1"/>
  <c r="AR306" i="6"/>
  <c r="AR490" i="6" s="1"/>
  <c r="AQ306" i="6"/>
  <c r="AQ490" i="6" s="1"/>
  <c r="AP306" i="6"/>
  <c r="AP490" i="6" s="1"/>
  <c r="AO306" i="6"/>
  <c r="AO490" i="6" s="1"/>
  <c r="AN306" i="6"/>
  <c r="AN490" i="6" s="1"/>
  <c r="AM306" i="6"/>
  <c r="AM490" i="6" s="1"/>
  <c r="AK306" i="6"/>
  <c r="AK490" i="6" s="1"/>
  <c r="AJ306" i="6"/>
  <c r="AJ490" i="6" s="1"/>
  <c r="AI306" i="6"/>
  <c r="AI490" i="6" s="1"/>
  <c r="AH306" i="6"/>
  <c r="AH490" i="6" s="1"/>
  <c r="AG306" i="6"/>
  <c r="AG490" i="6" s="1"/>
  <c r="AF306" i="6"/>
  <c r="AF490" i="6" s="1"/>
  <c r="AE306" i="6"/>
  <c r="AE490" i="6" s="1"/>
  <c r="AD306" i="6"/>
  <c r="AD490" i="6" s="1"/>
  <c r="BD305" i="6"/>
  <c r="BD489" i="6" s="1"/>
  <c r="BC305" i="6"/>
  <c r="BC489" i="6" s="1"/>
  <c r="BB305" i="6"/>
  <c r="BB489" i="6" s="1"/>
  <c r="BA305" i="6"/>
  <c r="BA489" i="6" s="1"/>
  <c r="AZ305" i="6"/>
  <c r="AZ489" i="6" s="1"/>
  <c r="AY305" i="6"/>
  <c r="AY489" i="6" s="1"/>
  <c r="AX305" i="6"/>
  <c r="AX489" i="6" s="1"/>
  <c r="AW305" i="6"/>
  <c r="AW489" i="6" s="1"/>
  <c r="AV305" i="6"/>
  <c r="AV489" i="6" s="1"/>
  <c r="AU305" i="6"/>
  <c r="AU489" i="6" s="1"/>
  <c r="AT305" i="6"/>
  <c r="AT489" i="6" s="1"/>
  <c r="AS305" i="6"/>
  <c r="AS489" i="6" s="1"/>
  <c r="AR305" i="6"/>
  <c r="AR489" i="6" s="1"/>
  <c r="AQ305" i="6"/>
  <c r="AQ489" i="6" s="1"/>
  <c r="AP305" i="6"/>
  <c r="AP489" i="6" s="1"/>
  <c r="AO305" i="6"/>
  <c r="AO489" i="6" s="1"/>
  <c r="AN305" i="6"/>
  <c r="AN489" i="6" s="1"/>
  <c r="AM305" i="6"/>
  <c r="AM489" i="6" s="1"/>
  <c r="AK305" i="6"/>
  <c r="AK489" i="6" s="1"/>
  <c r="AG305" i="6"/>
  <c r="AG489" i="6" s="1"/>
  <c r="AF305" i="6"/>
  <c r="AF489" i="6" s="1"/>
  <c r="AE305" i="6"/>
  <c r="AE489" i="6" s="1"/>
  <c r="AD305" i="6"/>
  <c r="AD489" i="6" s="1"/>
  <c r="BD304" i="6"/>
  <c r="BD488" i="6" s="1"/>
  <c r="BC304" i="6"/>
  <c r="BC488" i="6" s="1"/>
  <c r="BB304" i="6"/>
  <c r="BB488" i="6" s="1"/>
  <c r="BA304" i="6"/>
  <c r="BA488" i="6" s="1"/>
  <c r="AZ304" i="6"/>
  <c r="AZ488" i="6" s="1"/>
  <c r="AY304" i="6"/>
  <c r="AY488" i="6" s="1"/>
  <c r="AX304" i="6"/>
  <c r="AX488" i="6" s="1"/>
  <c r="AW304" i="6"/>
  <c r="AW488" i="6" s="1"/>
  <c r="AV304" i="6"/>
  <c r="AV488" i="6" s="1"/>
  <c r="AU304" i="6"/>
  <c r="AU488" i="6" s="1"/>
  <c r="AT304" i="6"/>
  <c r="AT488" i="6" s="1"/>
  <c r="AS304" i="6"/>
  <c r="AS488" i="6" s="1"/>
  <c r="AR304" i="6"/>
  <c r="AR488" i="6" s="1"/>
  <c r="AQ304" i="6"/>
  <c r="AQ488" i="6" s="1"/>
  <c r="AO304" i="6"/>
  <c r="AO488" i="6" s="1"/>
  <c r="AN304" i="6"/>
  <c r="AN488" i="6" s="1"/>
  <c r="AM304" i="6"/>
  <c r="AM488" i="6" s="1"/>
  <c r="AI304" i="6"/>
  <c r="AI488" i="6" s="1"/>
  <c r="AH304" i="6"/>
  <c r="AH488" i="6" s="1"/>
  <c r="AG304" i="6"/>
  <c r="AG488" i="6" s="1"/>
  <c r="AF304" i="6"/>
  <c r="AF488" i="6" s="1"/>
  <c r="AE304" i="6"/>
  <c r="AE488" i="6" s="1"/>
  <c r="AD304" i="6"/>
  <c r="AD488" i="6" s="1"/>
  <c r="BD303" i="6"/>
  <c r="BD487" i="6" s="1"/>
  <c r="BC303" i="6"/>
  <c r="BC487" i="6" s="1"/>
  <c r="AY303" i="6"/>
  <c r="AY487" i="6" s="1"/>
  <c r="AX303" i="6"/>
  <c r="AX487" i="6" s="1"/>
  <c r="AW303" i="6"/>
  <c r="AW487" i="6" s="1"/>
  <c r="AV303" i="6"/>
  <c r="AV487" i="6" s="1"/>
  <c r="AU303" i="6"/>
  <c r="AU487" i="6" s="1"/>
  <c r="AT303" i="6"/>
  <c r="AT487" i="6" s="1"/>
  <c r="AS303" i="6"/>
  <c r="AS487" i="6" s="1"/>
  <c r="AR303" i="6"/>
  <c r="AR487" i="6" s="1"/>
  <c r="AQ303" i="6"/>
  <c r="AQ487" i="6" s="1"/>
  <c r="AP303" i="6"/>
  <c r="AP487" i="6" s="1"/>
  <c r="AO303" i="6"/>
  <c r="AO487" i="6" s="1"/>
  <c r="AN303" i="6"/>
  <c r="AN487" i="6" s="1"/>
  <c r="AM303" i="6"/>
  <c r="AM487" i="6" s="1"/>
  <c r="AJ487" i="6"/>
  <c r="AI303" i="6"/>
  <c r="AI487" i="6" s="1"/>
  <c r="AH303" i="6"/>
  <c r="AH487" i="6" s="1"/>
  <c r="AG303" i="6"/>
  <c r="AG487" i="6" s="1"/>
  <c r="AF303" i="6"/>
  <c r="AF487" i="6" s="1"/>
  <c r="AE303" i="6"/>
  <c r="AE487" i="6" s="1"/>
  <c r="AD303" i="6"/>
  <c r="AD487" i="6" s="1"/>
  <c r="BD302" i="6"/>
  <c r="BD486" i="6" s="1"/>
  <c r="BC302" i="6"/>
  <c r="BC486" i="6" s="1"/>
  <c r="AY302" i="6"/>
  <c r="AY486" i="6" s="1"/>
  <c r="AW302" i="6"/>
  <c r="AW486" i="6" s="1"/>
  <c r="AV302" i="6"/>
  <c r="AV486" i="6" s="1"/>
  <c r="AU302" i="6"/>
  <c r="AU486" i="6" s="1"/>
  <c r="AT302" i="6"/>
  <c r="AT486" i="6" s="1"/>
  <c r="AS302" i="6"/>
  <c r="AS486" i="6" s="1"/>
  <c r="AR302" i="6"/>
  <c r="AR486" i="6" s="1"/>
  <c r="AQ302" i="6"/>
  <c r="AQ486" i="6" s="1"/>
  <c r="AP302" i="6"/>
  <c r="AP486" i="6" s="1"/>
  <c r="AO302" i="6"/>
  <c r="AO486" i="6" s="1"/>
  <c r="AN302" i="6"/>
  <c r="AN486" i="6" s="1"/>
  <c r="AM302" i="6"/>
  <c r="AM486" i="6" s="1"/>
  <c r="AL302" i="6"/>
  <c r="AL486" i="6" s="1"/>
  <c r="AK302" i="6"/>
  <c r="AK486" i="6" s="1"/>
  <c r="AJ302" i="6"/>
  <c r="AJ486" i="6" s="1"/>
  <c r="AI302" i="6"/>
  <c r="AI486" i="6" s="1"/>
  <c r="AH302" i="6"/>
  <c r="AH486" i="6" s="1"/>
  <c r="AG302" i="6"/>
  <c r="AG486" i="6" s="1"/>
  <c r="AF302" i="6"/>
  <c r="AF486" i="6" s="1"/>
  <c r="AE302" i="6"/>
  <c r="AE486" i="6" s="1"/>
  <c r="AD302" i="6"/>
  <c r="AD486" i="6" s="1"/>
  <c r="BD301" i="6"/>
  <c r="BD485" i="6" s="1"/>
  <c r="BC301" i="6"/>
  <c r="BC485" i="6" s="1"/>
  <c r="BB301" i="6"/>
  <c r="BB485" i="6" s="1"/>
  <c r="BA301" i="6"/>
  <c r="BA485" i="6" s="1"/>
  <c r="AZ301" i="6"/>
  <c r="AZ485" i="6" s="1"/>
  <c r="AY301" i="6"/>
  <c r="AY485" i="6" s="1"/>
  <c r="AX301" i="6"/>
  <c r="AX485" i="6" s="1"/>
  <c r="AW301" i="6"/>
  <c r="AW485" i="6" s="1"/>
  <c r="AV301" i="6"/>
  <c r="AV485" i="6" s="1"/>
  <c r="AU301" i="6"/>
  <c r="AU485" i="6" s="1"/>
  <c r="AT301" i="6"/>
  <c r="AT485" i="6" s="1"/>
  <c r="AQ301" i="6"/>
  <c r="AQ485" i="6" s="1"/>
  <c r="AP301" i="6"/>
  <c r="AP485" i="6" s="1"/>
  <c r="AO301" i="6"/>
  <c r="AO485" i="6" s="1"/>
  <c r="AN301" i="6"/>
  <c r="AN485" i="6" s="1"/>
  <c r="AM301" i="6"/>
  <c r="AM485" i="6" s="1"/>
  <c r="AL301" i="6"/>
  <c r="AL485" i="6" s="1"/>
  <c r="AK301" i="6"/>
  <c r="AK485" i="6" s="1"/>
  <c r="AJ301" i="6"/>
  <c r="AJ485" i="6" s="1"/>
  <c r="AI301" i="6"/>
  <c r="AI485" i="6" s="1"/>
  <c r="AH301" i="6"/>
  <c r="AH485" i="6" s="1"/>
  <c r="AG301" i="6"/>
  <c r="AG485" i="6" s="1"/>
  <c r="AF301" i="6"/>
  <c r="AF485" i="6" s="1"/>
  <c r="AE301" i="6"/>
  <c r="AE485" i="6" s="1"/>
  <c r="AD301" i="6"/>
  <c r="AD485" i="6" s="1"/>
  <c r="BD300" i="6"/>
  <c r="BD484" i="6" s="1"/>
  <c r="BC300" i="6"/>
  <c r="BC484" i="6" s="1"/>
  <c r="AY300" i="6"/>
  <c r="AY484" i="6" s="1"/>
  <c r="AX300" i="6"/>
  <c r="AX484" i="6" s="1"/>
  <c r="AW300" i="6"/>
  <c r="AW484" i="6" s="1"/>
  <c r="AV300" i="6"/>
  <c r="AV484" i="6" s="1"/>
  <c r="AT300" i="6"/>
  <c r="AT484" i="6" s="1"/>
  <c r="AR300" i="6"/>
  <c r="AR484" i="6" s="1"/>
  <c r="AQ300" i="6"/>
  <c r="AQ484" i="6" s="1"/>
  <c r="AP300" i="6"/>
  <c r="AP484" i="6" s="1"/>
  <c r="AO300" i="6"/>
  <c r="AO484" i="6" s="1"/>
  <c r="AN300" i="6"/>
  <c r="AN484" i="6" s="1"/>
  <c r="AM300" i="6"/>
  <c r="AM484" i="6" s="1"/>
  <c r="AL300" i="6"/>
  <c r="AL484" i="6" s="1"/>
  <c r="AK300" i="6"/>
  <c r="AK484" i="6" s="1"/>
  <c r="AJ300" i="6"/>
  <c r="AJ484" i="6" s="1"/>
  <c r="AI300" i="6"/>
  <c r="AI484" i="6" s="1"/>
  <c r="AH300" i="6"/>
  <c r="AH484" i="6" s="1"/>
  <c r="AG300" i="6"/>
  <c r="AG484" i="6" s="1"/>
  <c r="AF300" i="6"/>
  <c r="AF484" i="6" s="1"/>
  <c r="AE300" i="6"/>
  <c r="AE484" i="6" s="1"/>
  <c r="AD300" i="6"/>
  <c r="AD484" i="6" s="1"/>
  <c r="BD299" i="6"/>
  <c r="BD483" i="6" s="1"/>
  <c r="BC299" i="6"/>
  <c r="BC483" i="6" s="1"/>
  <c r="AY299" i="6"/>
  <c r="AY483" i="6" s="1"/>
  <c r="AX299" i="6"/>
  <c r="AX483" i="6" s="1"/>
  <c r="AW299" i="6"/>
  <c r="AW483" i="6" s="1"/>
  <c r="AV299" i="6"/>
  <c r="AV483" i="6" s="1"/>
  <c r="AU299" i="6"/>
  <c r="AU483" i="6" s="1"/>
  <c r="AT299" i="6"/>
  <c r="AT483" i="6" s="1"/>
  <c r="AS299" i="6"/>
  <c r="AS483" i="6" s="1"/>
  <c r="AR299" i="6"/>
  <c r="AR483" i="6" s="1"/>
  <c r="AQ299" i="6"/>
  <c r="AQ483" i="6" s="1"/>
  <c r="AP299" i="6"/>
  <c r="AP483" i="6" s="1"/>
  <c r="AN299" i="6"/>
  <c r="AN483" i="6" s="1"/>
  <c r="AJ299" i="6"/>
  <c r="AJ483" i="6" s="1"/>
  <c r="AI299" i="6"/>
  <c r="AI483" i="6" s="1"/>
  <c r="AH299" i="6"/>
  <c r="AH483" i="6" s="1"/>
  <c r="AG299" i="6"/>
  <c r="AG483" i="6" s="1"/>
  <c r="AF299" i="6"/>
  <c r="AF483" i="6" s="1"/>
  <c r="AE299" i="6"/>
  <c r="AE483" i="6" s="1"/>
  <c r="AD299" i="6"/>
  <c r="AD483" i="6" s="1"/>
  <c r="BD298" i="6"/>
  <c r="BD482" i="6" s="1"/>
  <c r="BC298" i="6"/>
  <c r="BC482" i="6" s="1"/>
  <c r="BB298" i="6"/>
  <c r="BB482" i="6" s="1"/>
  <c r="BA298" i="6"/>
  <c r="BA482" i="6" s="1"/>
  <c r="AZ298" i="6"/>
  <c r="AZ482" i="6" s="1"/>
  <c r="AY298" i="6"/>
  <c r="AY482" i="6" s="1"/>
  <c r="AX298" i="6"/>
  <c r="AX482" i="6" s="1"/>
  <c r="AW298" i="6"/>
  <c r="AW482" i="6" s="1"/>
  <c r="AV298" i="6"/>
  <c r="AV482" i="6" s="1"/>
  <c r="AU298" i="6"/>
  <c r="AU482" i="6" s="1"/>
  <c r="AT298" i="6"/>
  <c r="AT482" i="6" s="1"/>
  <c r="AS298" i="6"/>
  <c r="AS482" i="6" s="1"/>
  <c r="AR298" i="6"/>
  <c r="AR482" i="6" s="1"/>
  <c r="AQ298" i="6"/>
  <c r="AQ482" i="6" s="1"/>
  <c r="AP298" i="6"/>
  <c r="AP482" i="6" s="1"/>
  <c r="AO298" i="6"/>
  <c r="AO482" i="6" s="1"/>
  <c r="AN298" i="6"/>
  <c r="AN482" i="6" s="1"/>
  <c r="AJ298" i="6"/>
  <c r="AJ482" i="6" s="1"/>
  <c r="AI298" i="6"/>
  <c r="AI482" i="6" s="1"/>
  <c r="AH298" i="6"/>
  <c r="AH482" i="6" s="1"/>
  <c r="AG298" i="6"/>
  <c r="AG482" i="6" s="1"/>
  <c r="AF298" i="6"/>
  <c r="AF482" i="6" s="1"/>
  <c r="AE298" i="6"/>
  <c r="AE482" i="6" s="1"/>
  <c r="AD298" i="6"/>
  <c r="AD482" i="6" s="1"/>
  <c r="BD297" i="6"/>
  <c r="BD481" i="6" s="1"/>
  <c r="BC297" i="6"/>
  <c r="BC481" i="6" s="1"/>
  <c r="AY297" i="6"/>
  <c r="AY481" i="6" s="1"/>
  <c r="AX297" i="6"/>
  <c r="AX481" i="6" s="1"/>
  <c r="AW297" i="6"/>
  <c r="AW481" i="6" s="1"/>
  <c r="AV297" i="6"/>
  <c r="AV481" i="6" s="1"/>
  <c r="AU297" i="6"/>
  <c r="AU481" i="6" s="1"/>
  <c r="AT297" i="6"/>
  <c r="AT481" i="6" s="1"/>
  <c r="AS297" i="6"/>
  <c r="AS481" i="6" s="1"/>
  <c r="AQ297" i="6"/>
  <c r="AQ481" i="6" s="1"/>
  <c r="AP297" i="6"/>
  <c r="AP481" i="6" s="1"/>
  <c r="AO297" i="6"/>
  <c r="AO481" i="6" s="1"/>
  <c r="AN297" i="6"/>
  <c r="AN481" i="6" s="1"/>
  <c r="AM297" i="6"/>
  <c r="AM481" i="6" s="1"/>
  <c r="AL297" i="6"/>
  <c r="AL481" i="6" s="1"/>
  <c r="AK297" i="6"/>
  <c r="AK481" i="6" s="1"/>
  <c r="AJ297" i="6"/>
  <c r="AJ481" i="6" s="1"/>
  <c r="AI297" i="6"/>
  <c r="AI481" i="6" s="1"/>
  <c r="AH297" i="6"/>
  <c r="AH481" i="6" s="1"/>
  <c r="AG297" i="6"/>
  <c r="AG481" i="6" s="1"/>
  <c r="AF297" i="6"/>
  <c r="AF481" i="6" s="1"/>
  <c r="AE297" i="6"/>
  <c r="AE481" i="6" s="1"/>
  <c r="AD297" i="6"/>
  <c r="AD481" i="6" s="1"/>
  <c r="BD296" i="6"/>
  <c r="BD480" i="6" s="1"/>
  <c r="BC296" i="6"/>
  <c r="BC480" i="6" s="1"/>
  <c r="AY296" i="6"/>
  <c r="AY480" i="6" s="1"/>
  <c r="AW296" i="6"/>
  <c r="AW480" i="6" s="1"/>
  <c r="AV296" i="6"/>
  <c r="AV480" i="6" s="1"/>
  <c r="AU296" i="6"/>
  <c r="AU480" i="6" s="1"/>
  <c r="AT296" i="6"/>
  <c r="AT480" i="6" s="1"/>
  <c r="AS296" i="6"/>
  <c r="AS480" i="6" s="1"/>
  <c r="AQ296" i="6"/>
  <c r="AQ480" i="6" s="1"/>
  <c r="AP296" i="6"/>
  <c r="AP480" i="6" s="1"/>
  <c r="AO296" i="6"/>
  <c r="AO480" i="6" s="1"/>
  <c r="AN296" i="6"/>
  <c r="AN480" i="6" s="1"/>
  <c r="AM296" i="6"/>
  <c r="AM480" i="6" s="1"/>
  <c r="AL296" i="6"/>
  <c r="AL480" i="6" s="1"/>
  <c r="AK296" i="6"/>
  <c r="AK480" i="6" s="1"/>
  <c r="AJ296" i="6"/>
  <c r="AJ480" i="6" s="1"/>
  <c r="AI296" i="6"/>
  <c r="AI480" i="6" s="1"/>
  <c r="AH296" i="6"/>
  <c r="AH480" i="6" s="1"/>
  <c r="AG296" i="6"/>
  <c r="AG480" i="6" s="1"/>
  <c r="AF296" i="6"/>
  <c r="AF480" i="6" s="1"/>
  <c r="AE296" i="6"/>
  <c r="AE480" i="6" s="1"/>
  <c r="AD296" i="6"/>
  <c r="AD480" i="6" s="1"/>
  <c r="BD295" i="6"/>
  <c r="BD479" i="6" s="1"/>
  <c r="BC295" i="6"/>
  <c r="BC479" i="6" s="1"/>
  <c r="BB295" i="6"/>
  <c r="BB479" i="6" s="1"/>
  <c r="BA295" i="6"/>
  <c r="BA479" i="6" s="1"/>
  <c r="AZ295" i="6"/>
  <c r="AZ479" i="6" s="1"/>
  <c r="AY295" i="6"/>
  <c r="AY479" i="6" s="1"/>
  <c r="AX295" i="6"/>
  <c r="AX479" i="6" s="1"/>
  <c r="AW295" i="6"/>
  <c r="AW479" i="6" s="1"/>
  <c r="AV295" i="6"/>
  <c r="AV479" i="6" s="1"/>
  <c r="AU295" i="6"/>
  <c r="AU479" i="6" s="1"/>
  <c r="AT295" i="6"/>
  <c r="AT479" i="6" s="1"/>
  <c r="AS295" i="6"/>
  <c r="AS479" i="6" s="1"/>
  <c r="AQ295" i="6"/>
  <c r="AQ479" i="6" s="1"/>
  <c r="AP295" i="6"/>
  <c r="AP479" i="6" s="1"/>
  <c r="AO295" i="6"/>
  <c r="AO479" i="6" s="1"/>
  <c r="AN295" i="6"/>
  <c r="AN479" i="6" s="1"/>
  <c r="AM295" i="6"/>
  <c r="AM479" i="6" s="1"/>
  <c r="AL295" i="6"/>
  <c r="AL479" i="6" s="1"/>
  <c r="AK295" i="6"/>
  <c r="AK479" i="6" s="1"/>
  <c r="AJ295" i="6"/>
  <c r="AJ479" i="6" s="1"/>
  <c r="AI295" i="6"/>
  <c r="AI479" i="6" s="1"/>
  <c r="AH295" i="6"/>
  <c r="AH479" i="6" s="1"/>
  <c r="AG295" i="6"/>
  <c r="AG479" i="6" s="1"/>
  <c r="AF295" i="6"/>
  <c r="AF479" i="6" s="1"/>
  <c r="AE295" i="6"/>
  <c r="AE479" i="6" s="1"/>
  <c r="AD295" i="6"/>
  <c r="AD479" i="6" s="1"/>
  <c r="BD294" i="6"/>
  <c r="BD478" i="6" s="1"/>
  <c r="BC294" i="6"/>
  <c r="BC478" i="6" s="1"/>
  <c r="BB294" i="6"/>
  <c r="BB478" i="6" s="1"/>
  <c r="BA294" i="6"/>
  <c r="BA478" i="6" s="1"/>
  <c r="AZ294" i="6"/>
  <c r="AZ478" i="6" s="1"/>
  <c r="AY294" i="6"/>
  <c r="AY478" i="6" s="1"/>
  <c r="AX294" i="6"/>
  <c r="AX478" i="6" s="1"/>
  <c r="AW294" i="6"/>
  <c r="AW478" i="6" s="1"/>
  <c r="AV294" i="6"/>
  <c r="AV478" i="6" s="1"/>
  <c r="AU294" i="6"/>
  <c r="AU478" i="6" s="1"/>
  <c r="AT294" i="6"/>
  <c r="AT478" i="6" s="1"/>
  <c r="AS294" i="6"/>
  <c r="AS478" i="6" s="1"/>
  <c r="AQ294" i="6"/>
  <c r="AQ478" i="6" s="1"/>
  <c r="AK294" i="6"/>
  <c r="AK478" i="6" s="1"/>
  <c r="AJ294" i="6"/>
  <c r="AJ478" i="6" s="1"/>
  <c r="AI294" i="6"/>
  <c r="AI478" i="6" s="1"/>
  <c r="AH294" i="6"/>
  <c r="AH478" i="6" s="1"/>
  <c r="AG294" i="6"/>
  <c r="AG478" i="6" s="1"/>
  <c r="AF294" i="6"/>
  <c r="AF478" i="6" s="1"/>
  <c r="AE294" i="6"/>
  <c r="AE478" i="6" s="1"/>
  <c r="AD294" i="6"/>
  <c r="AD478" i="6" s="1"/>
  <c r="BD293" i="6"/>
  <c r="BD477" i="6" s="1"/>
  <c r="BC293" i="6"/>
  <c r="BC477" i="6" s="1"/>
  <c r="AY293" i="6"/>
  <c r="AY477" i="6" s="1"/>
  <c r="AX293" i="6"/>
  <c r="AX477" i="6" s="1"/>
  <c r="AW293" i="6"/>
  <c r="AW477" i="6" s="1"/>
  <c r="AV293" i="6"/>
  <c r="AV477" i="6" s="1"/>
  <c r="AU293" i="6"/>
  <c r="AU477" i="6" s="1"/>
  <c r="AT293" i="6"/>
  <c r="AT477" i="6" s="1"/>
  <c r="AS293" i="6"/>
  <c r="AS477" i="6" s="1"/>
  <c r="AQ293" i="6"/>
  <c r="AQ477" i="6" s="1"/>
  <c r="AP293" i="6"/>
  <c r="AP477" i="6" s="1"/>
  <c r="AO293" i="6"/>
  <c r="AO477" i="6" s="1"/>
  <c r="AN293" i="6"/>
  <c r="AN477" i="6" s="1"/>
  <c r="AM293" i="6"/>
  <c r="AM477" i="6" s="1"/>
  <c r="AL293" i="6"/>
  <c r="AL477" i="6" s="1"/>
  <c r="AK293" i="6"/>
  <c r="AK477" i="6" s="1"/>
  <c r="AJ293" i="6"/>
  <c r="AJ477" i="6" s="1"/>
  <c r="AI293" i="6"/>
  <c r="AI477" i="6" s="1"/>
  <c r="AH293" i="6"/>
  <c r="AH477" i="6" s="1"/>
  <c r="AG293" i="6"/>
  <c r="AG477" i="6" s="1"/>
  <c r="AF293" i="6"/>
  <c r="AF477" i="6" s="1"/>
  <c r="AE293" i="6"/>
  <c r="AE477" i="6" s="1"/>
  <c r="AD293" i="6"/>
  <c r="AD477" i="6" s="1"/>
  <c r="BD292" i="6"/>
  <c r="BD476" i="6" s="1"/>
  <c r="BC292" i="6"/>
  <c r="BC476" i="6" s="1"/>
  <c r="AY292" i="6"/>
  <c r="AY476" i="6" s="1"/>
  <c r="AV292" i="6"/>
  <c r="AV476" i="6" s="1"/>
  <c r="AU292" i="6"/>
  <c r="AU476" i="6" s="1"/>
  <c r="AT292" i="6"/>
  <c r="AT476" i="6" s="1"/>
  <c r="AS292" i="6"/>
  <c r="AS476" i="6" s="1"/>
  <c r="AQ292" i="6"/>
  <c r="AQ476" i="6" s="1"/>
  <c r="AP292" i="6"/>
  <c r="AP476" i="6" s="1"/>
  <c r="AO292" i="6"/>
  <c r="AO476" i="6" s="1"/>
  <c r="AN292" i="6"/>
  <c r="AN476" i="6" s="1"/>
  <c r="AM292" i="6"/>
  <c r="AM476" i="6" s="1"/>
  <c r="AL292" i="6"/>
  <c r="AL476" i="6" s="1"/>
  <c r="AK292" i="6"/>
  <c r="AK476" i="6" s="1"/>
  <c r="AJ292" i="6"/>
  <c r="AJ476" i="6" s="1"/>
  <c r="AI292" i="6"/>
  <c r="AI476" i="6" s="1"/>
  <c r="AH292" i="6"/>
  <c r="AH476" i="6" s="1"/>
  <c r="AG292" i="6"/>
  <c r="AG476" i="6" s="1"/>
  <c r="AF292" i="6"/>
  <c r="AF476" i="6" s="1"/>
  <c r="AE292" i="6"/>
  <c r="AE476" i="6" s="1"/>
  <c r="AD292" i="6"/>
  <c r="AD476" i="6" s="1"/>
  <c r="BD291" i="6"/>
  <c r="BD475" i="6" s="1"/>
  <c r="BC291" i="6"/>
  <c r="BC475" i="6" s="1"/>
  <c r="BB291" i="6"/>
  <c r="BB475" i="6" s="1"/>
  <c r="BA291" i="6"/>
  <c r="BA475" i="6" s="1"/>
  <c r="AZ291" i="6"/>
  <c r="AZ475" i="6" s="1"/>
  <c r="AY291" i="6"/>
  <c r="AY475" i="6" s="1"/>
  <c r="AX291" i="6"/>
  <c r="AX475" i="6" s="1"/>
  <c r="AW291" i="6"/>
  <c r="AW475" i="6" s="1"/>
  <c r="AV291" i="6"/>
  <c r="AV475" i="6" s="1"/>
  <c r="AU291" i="6"/>
  <c r="AU475" i="6" s="1"/>
  <c r="AT291" i="6"/>
  <c r="AT475" i="6" s="1"/>
  <c r="AS291" i="6"/>
  <c r="AS475" i="6" s="1"/>
  <c r="AR291" i="6"/>
  <c r="AR475" i="6" s="1"/>
  <c r="AQ291" i="6"/>
  <c r="AQ475" i="6" s="1"/>
  <c r="AP291" i="6"/>
  <c r="AP475" i="6" s="1"/>
  <c r="AO291" i="6"/>
  <c r="AO475" i="6" s="1"/>
  <c r="AN291" i="6"/>
  <c r="AN475" i="6" s="1"/>
  <c r="AM291" i="6"/>
  <c r="AM475" i="6" s="1"/>
  <c r="AL291" i="6"/>
  <c r="AL475" i="6" s="1"/>
  <c r="AK291" i="6"/>
  <c r="AK475" i="6" s="1"/>
  <c r="AJ291" i="6"/>
  <c r="AJ475" i="6" s="1"/>
  <c r="AI291" i="6"/>
  <c r="AI475" i="6" s="1"/>
  <c r="AH291" i="6"/>
  <c r="AH475" i="6" s="1"/>
  <c r="AG291" i="6"/>
  <c r="AG475" i="6" s="1"/>
  <c r="AF291" i="6"/>
  <c r="AF475" i="6" s="1"/>
  <c r="AE291" i="6"/>
  <c r="AE475" i="6" s="1"/>
  <c r="AD291" i="6"/>
  <c r="AD475" i="6" s="1"/>
  <c r="BD290" i="6"/>
  <c r="BD474" i="6" s="1"/>
  <c r="BC290" i="6"/>
  <c r="BC474" i="6" s="1"/>
  <c r="AY290" i="6"/>
  <c r="AY474" i="6" s="1"/>
  <c r="AX290" i="6"/>
  <c r="AX474" i="6" s="1"/>
  <c r="AW290" i="6"/>
  <c r="AW474" i="6" s="1"/>
  <c r="AV290" i="6"/>
  <c r="AV474" i="6" s="1"/>
  <c r="AT290" i="6"/>
  <c r="AT474" i="6" s="1"/>
  <c r="AS290" i="6"/>
  <c r="AS474" i="6" s="1"/>
  <c r="AR290" i="6"/>
  <c r="AR474" i="6" s="1"/>
  <c r="AQ290" i="6"/>
  <c r="AQ474" i="6" s="1"/>
  <c r="AP290" i="6"/>
  <c r="AP474" i="6" s="1"/>
  <c r="AO290" i="6"/>
  <c r="AO474" i="6" s="1"/>
  <c r="AN290" i="6"/>
  <c r="AN474" i="6" s="1"/>
  <c r="AM290" i="6"/>
  <c r="AM474" i="6" s="1"/>
  <c r="AL290" i="6"/>
  <c r="AL474" i="6" s="1"/>
  <c r="AK290" i="6"/>
  <c r="AK474" i="6" s="1"/>
  <c r="AJ290" i="6"/>
  <c r="AJ474" i="6" s="1"/>
  <c r="AI290" i="6"/>
  <c r="AI474" i="6" s="1"/>
  <c r="AH290" i="6"/>
  <c r="AH474" i="6" s="1"/>
  <c r="AG290" i="6"/>
  <c r="AG474" i="6" s="1"/>
  <c r="AF290" i="6"/>
  <c r="AF474" i="6" s="1"/>
  <c r="AE290" i="6"/>
  <c r="AE474" i="6" s="1"/>
  <c r="AD290" i="6"/>
  <c r="AD474" i="6" s="1"/>
  <c r="BD289" i="6"/>
  <c r="BD473" i="6" s="1"/>
  <c r="BC289" i="6"/>
  <c r="BC473" i="6" s="1"/>
  <c r="AY289" i="6"/>
  <c r="AY473" i="6" s="1"/>
  <c r="AW289" i="6"/>
  <c r="AW473" i="6" s="1"/>
  <c r="AV289" i="6"/>
  <c r="AV473" i="6" s="1"/>
  <c r="AT289" i="6"/>
  <c r="AT473" i="6" s="1"/>
  <c r="AR289" i="6"/>
  <c r="AR473" i="6" s="1"/>
  <c r="AQ289" i="6"/>
  <c r="AQ473" i="6" s="1"/>
  <c r="AP289" i="6"/>
  <c r="AP473" i="6" s="1"/>
  <c r="AO289" i="6"/>
  <c r="AO473" i="6" s="1"/>
  <c r="AN289" i="6"/>
  <c r="AN473" i="6" s="1"/>
  <c r="AM289" i="6"/>
  <c r="AM473" i="6" s="1"/>
  <c r="AL289" i="6"/>
  <c r="AL473" i="6" s="1"/>
  <c r="AK289" i="6"/>
  <c r="AK473" i="6" s="1"/>
  <c r="AJ289" i="6"/>
  <c r="AJ473" i="6" s="1"/>
  <c r="AI289" i="6"/>
  <c r="AI473" i="6" s="1"/>
  <c r="AH289" i="6"/>
  <c r="AH473" i="6" s="1"/>
  <c r="AG289" i="6"/>
  <c r="AG473" i="6" s="1"/>
  <c r="AF289" i="6"/>
  <c r="AF473" i="6" s="1"/>
  <c r="AE289" i="6"/>
  <c r="AE473" i="6" s="1"/>
  <c r="AD289" i="6"/>
  <c r="AD473" i="6" s="1"/>
  <c r="BD288" i="6"/>
  <c r="BD472" i="6" s="1"/>
  <c r="BC288" i="6"/>
  <c r="BC472" i="6" s="1"/>
  <c r="BB288" i="6"/>
  <c r="BB472" i="6" s="1"/>
  <c r="BA288" i="6"/>
  <c r="BA472" i="6" s="1"/>
  <c r="AZ288" i="6"/>
  <c r="AZ472" i="6" s="1"/>
  <c r="AY288" i="6"/>
  <c r="AY472" i="6" s="1"/>
  <c r="AX288" i="6"/>
  <c r="AX472" i="6" s="1"/>
  <c r="AW288" i="6"/>
  <c r="AW472" i="6" s="1"/>
  <c r="AV288" i="6"/>
  <c r="AV472" i="6" s="1"/>
  <c r="AU288" i="6"/>
  <c r="AU472" i="6" s="1"/>
  <c r="AT288" i="6"/>
  <c r="AT472" i="6" s="1"/>
  <c r="AS288" i="6"/>
  <c r="AS472" i="6" s="1"/>
  <c r="AR288" i="6"/>
  <c r="AR472" i="6" s="1"/>
  <c r="AQ288" i="6"/>
  <c r="AQ472" i="6" s="1"/>
  <c r="AP288" i="6"/>
  <c r="AP472" i="6" s="1"/>
  <c r="AO288" i="6"/>
  <c r="AO472" i="6" s="1"/>
  <c r="AN288" i="6"/>
  <c r="AN472" i="6" s="1"/>
  <c r="AM288" i="6"/>
  <c r="AM472" i="6" s="1"/>
  <c r="AL288" i="6"/>
  <c r="AL472" i="6" s="1"/>
  <c r="AK288" i="6"/>
  <c r="AK472" i="6" s="1"/>
  <c r="AJ288" i="6"/>
  <c r="AJ472" i="6" s="1"/>
  <c r="AI288" i="6"/>
  <c r="AI472" i="6" s="1"/>
  <c r="AH288" i="6"/>
  <c r="AH472" i="6" s="1"/>
  <c r="AG288" i="6"/>
  <c r="AG472" i="6" s="1"/>
  <c r="AF288" i="6"/>
  <c r="AF472" i="6" s="1"/>
  <c r="AE288" i="6"/>
  <c r="AE472" i="6" s="1"/>
  <c r="AD288" i="6"/>
  <c r="AD472" i="6" s="1"/>
  <c r="BD287" i="6"/>
  <c r="BD471" i="6" s="1"/>
  <c r="BC287" i="6"/>
  <c r="BC471" i="6" s="1"/>
  <c r="AY287" i="6"/>
  <c r="AY471" i="6" s="1"/>
  <c r="AX287" i="6"/>
  <c r="AX471" i="6" s="1"/>
  <c r="AW287" i="6"/>
  <c r="AW471" i="6" s="1"/>
  <c r="AV287" i="6"/>
  <c r="AV471" i="6" s="1"/>
  <c r="AU287" i="6"/>
  <c r="AU471" i="6" s="1"/>
  <c r="AT287" i="6"/>
  <c r="AT471" i="6" s="1"/>
  <c r="AS287" i="6"/>
  <c r="AS471" i="6" s="1"/>
  <c r="AR287" i="6"/>
  <c r="AR471" i="6" s="1"/>
  <c r="AQ287" i="6"/>
  <c r="AQ471" i="6" s="1"/>
  <c r="AP287" i="6"/>
  <c r="AP471" i="6" s="1"/>
  <c r="AO287" i="6"/>
  <c r="AO471" i="6" s="1"/>
  <c r="AN287" i="6"/>
  <c r="AN471" i="6" s="1"/>
  <c r="AM287" i="6"/>
  <c r="AM471" i="6" s="1"/>
  <c r="AL287" i="6"/>
  <c r="AL471" i="6" s="1"/>
  <c r="AK287" i="6"/>
  <c r="AK471" i="6" s="1"/>
  <c r="AJ287" i="6"/>
  <c r="AJ471" i="6" s="1"/>
  <c r="AI287" i="6"/>
  <c r="AI471" i="6" s="1"/>
  <c r="AH287" i="6"/>
  <c r="AH471" i="6" s="1"/>
  <c r="AG287" i="6"/>
  <c r="AG471" i="6" s="1"/>
  <c r="AF287" i="6"/>
  <c r="AF471" i="6" s="1"/>
  <c r="AE287" i="6"/>
  <c r="AE471" i="6" s="1"/>
  <c r="AD287" i="6"/>
  <c r="AD471" i="6" s="1"/>
  <c r="BD286" i="6"/>
  <c r="BD470" i="6" s="1"/>
  <c r="BC286" i="6"/>
  <c r="BC470" i="6" s="1"/>
  <c r="AY286" i="6"/>
  <c r="AY470" i="6" s="1"/>
  <c r="AV286" i="6"/>
  <c r="AV470" i="6" s="1"/>
  <c r="AU286" i="6"/>
  <c r="AU470" i="6" s="1"/>
  <c r="AT286" i="6"/>
  <c r="AT470" i="6" s="1"/>
  <c r="AS286" i="6"/>
  <c r="AS470" i="6" s="1"/>
  <c r="AR286" i="6"/>
  <c r="AR470" i="6" s="1"/>
  <c r="AQ286" i="6"/>
  <c r="AQ470" i="6" s="1"/>
  <c r="AP286" i="6"/>
  <c r="AP470" i="6" s="1"/>
  <c r="AO286" i="6"/>
  <c r="AO470" i="6" s="1"/>
  <c r="AN286" i="6"/>
  <c r="AN470" i="6" s="1"/>
  <c r="AM286" i="6"/>
  <c r="AM470" i="6" s="1"/>
  <c r="AL286" i="6"/>
  <c r="AL470" i="6" s="1"/>
  <c r="AK286" i="6"/>
  <c r="AK470" i="6" s="1"/>
  <c r="AJ286" i="6"/>
  <c r="AJ470" i="6" s="1"/>
  <c r="AI286" i="6"/>
  <c r="AI470" i="6" s="1"/>
  <c r="AH286" i="6"/>
  <c r="AH470" i="6" s="1"/>
  <c r="AG286" i="6"/>
  <c r="AG470" i="6" s="1"/>
  <c r="AF286" i="6"/>
  <c r="AF470" i="6" s="1"/>
  <c r="AE286" i="6"/>
  <c r="AE470" i="6" s="1"/>
  <c r="AD286" i="6"/>
  <c r="AD470" i="6" s="1"/>
  <c r="BD285" i="6"/>
  <c r="BD469" i="6" s="1"/>
  <c r="BC285" i="6"/>
  <c r="BC469" i="6" s="1"/>
  <c r="BB285" i="6"/>
  <c r="BB469" i="6" s="1"/>
  <c r="BA285" i="6"/>
  <c r="BA469" i="6" s="1"/>
  <c r="AZ285" i="6"/>
  <c r="AZ469" i="6" s="1"/>
  <c r="AY285" i="6"/>
  <c r="AY469" i="6" s="1"/>
  <c r="AX285" i="6"/>
  <c r="AX469" i="6" s="1"/>
  <c r="AW285" i="6"/>
  <c r="AW469" i="6" s="1"/>
  <c r="AV285" i="6"/>
  <c r="AV469" i="6" s="1"/>
  <c r="AU285" i="6"/>
  <c r="AU469" i="6" s="1"/>
  <c r="AT285" i="6"/>
  <c r="AT469" i="6" s="1"/>
  <c r="AS285" i="6"/>
  <c r="AS469" i="6" s="1"/>
  <c r="AR285" i="6"/>
  <c r="AR469" i="6" s="1"/>
  <c r="AQ285" i="6"/>
  <c r="AQ469" i="6" s="1"/>
  <c r="AP285" i="6"/>
  <c r="AP469" i="6" s="1"/>
  <c r="AO285" i="6"/>
  <c r="AO469" i="6" s="1"/>
  <c r="AN285" i="6"/>
  <c r="AN469" i="6" s="1"/>
  <c r="AM285" i="6"/>
  <c r="AM469" i="6" s="1"/>
  <c r="AL285" i="6"/>
  <c r="AL469" i="6" s="1"/>
  <c r="AK285" i="6"/>
  <c r="AK469" i="6" s="1"/>
  <c r="AJ285" i="6"/>
  <c r="AJ469" i="6" s="1"/>
  <c r="AI285" i="6"/>
  <c r="AI469" i="6" s="1"/>
  <c r="AH285" i="6"/>
  <c r="AH469" i="6" s="1"/>
  <c r="AG285" i="6"/>
  <c r="AG469" i="6" s="1"/>
  <c r="AF285" i="6"/>
  <c r="AF469" i="6" s="1"/>
  <c r="AE285" i="6"/>
  <c r="AE469" i="6" s="1"/>
  <c r="AD285" i="6"/>
  <c r="AD469" i="6" s="1"/>
  <c r="BD284" i="6"/>
  <c r="BD468" i="6" s="1"/>
  <c r="BC284" i="6"/>
  <c r="BC468" i="6" s="1"/>
  <c r="BB284" i="6"/>
  <c r="BB468" i="6" s="1"/>
  <c r="BA284" i="6"/>
  <c r="BA468" i="6" s="1"/>
  <c r="AZ284" i="6"/>
  <c r="AZ468" i="6" s="1"/>
  <c r="AY284" i="6"/>
  <c r="AY468" i="6" s="1"/>
  <c r="AX284" i="6"/>
  <c r="AX468" i="6" s="1"/>
  <c r="AW284" i="6"/>
  <c r="AW468" i="6" s="1"/>
  <c r="AV284" i="6"/>
  <c r="AV468" i="6" s="1"/>
  <c r="AU284" i="6"/>
  <c r="AU468" i="6" s="1"/>
  <c r="AT284" i="6"/>
  <c r="AT468" i="6" s="1"/>
  <c r="AS284" i="6"/>
  <c r="AS468" i="6" s="1"/>
  <c r="AR284" i="6"/>
  <c r="AR468" i="6" s="1"/>
  <c r="AQ284" i="6"/>
  <c r="AQ468" i="6" s="1"/>
  <c r="AP284" i="6"/>
  <c r="AP468" i="6" s="1"/>
  <c r="AO284" i="6"/>
  <c r="AO468" i="6" s="1"/>
  <c r="AN284" i="6"/>
  <c r="AN468" i="6" s="1"/>
  <c r="AM284" i="6"/>
  <c r="AM468" i="6" s="1"/>
  <c r="AL284" i="6"/>
  <c r="AL468" i="6" s="1"/>
  <c r="AK284" i="6"/>
  <c r="AK468" i="6" s="1"/>
  <c r="AJ284" i="6"/>
  <c r="AJ468" i="6" s="1"/>
  <c r="AI284" i="6"/>
  <c r="AI468" i="6" s="1"/>
  <c r="AH284" i="6"/>
  <c r="AH468" i="6" s="1"/>
  <c r="AG284" i="6"/>
  <c r="AG468" i="6" s="1"/>
  <c r="AF284" i="6"/>
  <c r="AF468" i="6" s="1"/>
  <c r="AE284" i="6"/>
  <c r="AE468" i="6" s="1"/>
  <c r="AD284" i="6"/>
  <c r="AD468" i="6" s="1"/>
  <c r="BD283" i="6"/>
  <c r="BD467" i="6" s="1"/>
  <c r="BC283" i="6"/>
  <c r="BC467" i="6" s="1"/>
  <c r="BB283" i="6"/>
  <c r="BB467" i="6" s="1"/>
  <c r="BA283" i="6"/>
  <c r="BA467" i="6" s="1"/>
  <c r="AY283" i="6"/>
  <c r="AY467" i="6" s="1"/>
  <c r="AX283" i="6"/>
  <c r="AX467" i="6" s="1"/>
  <c r="AW283" i="6"/>
  <c r="AW467" i="6" s="1"/>
  <c r="AV283" i="6"/>
  <c r="AV467" i="6" s="1"/>
  <c r="AU283" i="6"/>
  <c r="AU467" i="6" s="1"/>
  <c r="AT283" i="6"/>
  <c r="AT467" i="6" s="1"/>
  <c r="AS283" i="6"/>
  <c r="AS467" i="6" s="1"/>
  <c r="AR283" i="6"/>
  <c r="AR467" i="6" s="1"/>
  <c r="AQ283" i="6"/>
  <c r="AQ467" i="6" s="1"/>
  <c r="AP283" i="6"/>
  <c r="AP467" i="6" s="1"/>
  <c r="AO283" i="6"/>
  <c r="AO467" i="6" s="1"/>
  <c r="AN283" i="6"/>
  <c r="AN467" i="6" s="1"/>
  <c r="AM283" i="6"/>
  <c r="AM467" i="6" s="1"/>
  <c r="AL283" i="6"/>
  <c r="AL467" i="6" s="1"/>
  <c r="AK283" i="6"/>
  <c r="AK467" i="6" s="1"/>
  <c r="AJ283" i="6"/>
  <c r="AJ467" i="6" s="1"/>
  <c r="AI283" i="6"/>
  <c r="AI467" i="6" s="1"/>
  <c r="AH283" i="6"/>
  <c r="AH467" i="6" s="1"/>
  <c r="AG283" i="6"/>
  <c r="AG467" i="6" s="1"/>
  <c r="AF283" i="6"/>
  <c r="AF467" i="6" s="1"/>
  <c r="AE283" i="6"/>
  <c r="AE467" i="6" s="1"/>
  <c r="AD283" i="6"/>
  <c r="AD467" i="6" s="1"/>
  <c r="BD282" i="6"/>
  <c r="BD466" i="6" s="1"/>
  <c r="BC282" i="6"/>
  <c r="BC466" i="6" s="1"/>
  <c r="BB282" i="6"/>
  <c r="BB466" i="6" s="1"/>
  <c r="BA282" i="6"/>
  <c r="BA466" i="6" s="1"/>
  <c r="AY282" i="6"/>
  <c r="AY466" i="6" s="1"/>
  <c r="AX282" i="6"/>
  <c r="AX466" i="6" s="1"/>
  <c r="AW282" i="6"/>
  <c r="AW466" i="6" s="1"/>
  <c r="AV282" i="6"/>
  <c r="AV466" i="6" s="1"/>
  <c r="AT282" i="6"/>
  <c r="AT466" i="6" s="1"/>
  <c r="AS282" i="6"/>
  <c r="AS466" i="6" s="1"/>
  <c r="AR282" i="6"/>
  <c r="AR466" i="6" s="1"/>
  <c r="AQ282" i="6"/>
  <c r="AQ466" i="6" s="1"/>
  <c r="AP282" i="6"/>
  <c r="AP466" i="6" s="1"/>
  <c r="AO282" i="6"/>
  <c r="AO466" i="6" s="1"/>
  <c r="AN282" i="6"/>
  <c r="AN466" i="6" s="1"/>
  <c r="AM282" i="6"/>
  <c r="AM466" i="6" s="1"/>
  <c r="AK282" i="6"/>
  <c r="AK466" i="6" s="1"/>
  <c r="AJ282" i="6"/>
  <c r="AJ466" i="6" s="1"/>
  <c r="AI282" i="6"/>
  <c r="AI466" i="6" s="1"/>
  <c r="AH282" i="6"/>
  <c r="AH466" i="6" s="1"/>
  <c r="AG282" i="6"/>
  <c r="AG466" i="6" s="1"/>
  <c r="AF282" i="6"/>
  <c r="AF466" i="6" s="1"/>
  <c r="AE282" i="6"/>
  <c r="AE466" i="6" s="1"/>
  <c r="AD282" i="6"/>
  <c r="AD466" i="6" s="1"/>
  <c r="BD281" i="6"/>
  <c r="BD465" i="6" s="1"/>
  <c r="BC281" i="6"/>
  <c r="BC465" i="6" s="1"/>
  <c r="BB281" i="6"/>
  <c r="BB465" i="6" s="1"/>
  <c r="BA281" i="6"/>
  <c r="BA465" i="6" s="1"/>
  <c r="AZ281" i="6"/>
  <c r="AZ465" i="6" s="1"/>
  <c r="AY281" i="6"/>
  <c r="AY465" i="6" s="1"/>
  <c r="AX281" i="6"/>
  <c r="AX465" i="6" s="1"/>
  <c r="AW281" i="6"/>
  <c r="AW465" i="6" s="1"/>
  <c r="AV281" i="6"/>
  <c r="AV465" i="6" s="1"/>
  <c r="AU281" i="6"/>
  <c r="AU465" i="6" s="1"/>
  <c r="AT281" i="6"/>
  <c r="AT465" i="6" s="1"/>
  <c r="AS281" i="6"/>
  <c r="AS465" i="6" s="1"/>
  <c r="AR281" i="6"/>
  <c r="AR465" i="6" s="1"/>
  <c r="AQ281" i="6"/>
  <c r="AQ465" i="6" s="1"/>
  <c r="AP281" i="6"/>
  <c r="AP465" i="6" s="1"/>
  <c r="AO281" i="6"/>
  <c r="AO465" i="6" s="1"/>
  <c r="AN281" i="6"/>
  <c r="AN465" i="6" s="1"/>
  <c r="AM281" i="6"/>
  <c r="AM465" i="6" s="1"/>
  <c r="AL281" i="6"/>
  <c r="AL465" i="6" s="1"/>
  <c r="AK281" i="6"/>
  <c r="AK465" i="6" s="1"/>
  <c r="AJ281" i="6"/>
  <c r="AJ465" i="6" s="1"/>
  <c r="AI281" i="6"/>
  <c r="AI465" i="6" s="1"/>
  <c r="AH281" i="6"/>
  <c r="AH465" i="6" s="1"/>
  <c r="AG281" i="6"/>
  <c r="AG465" i="6" s="1"/>
  <c r="AF281" i="6"/>
  <c r="AF465" i="6" s="1"/>
  <c r="AE281" i="6"/>
  <c r="AE465" i="6" s="1"/>
  <c r="AD281" i="6"/>
  <c r="AD465" i="6" s="1"/>
  <c r="BD280" i="6"/>
  <c r="BD464" i="6" s="1"/>
  <c r="BC280" i="6"/>
  <c r="BC464" i="6" s="1"/>
  <c r="BB280" i="6"/>
  <c r="BB464" i="6" s="1"/>
  <c r="BA280" i="6"/>
  <c r="BA464" i="6" s="1"/>
  <c r="AZ280" i="6"/>
  <c r="AZ464" i="6" s="1"/>
  <c r="AY280" i="6"/>
  <c r="AY464" i="6" s="1"/>
  <c r="AX280" i="6"/>
  <c r="AX464" i="6" s="1"/>
  <c r="AW280" i="6"/>
  <c r="AW464" i="6" s="1"/>
  <c r="AV280" i="6"/>
  <c r="AV464" i="6" s="1"/>
  <c r="AU280" i="6"/>
  <c r="AU464" i="6" s="1"/>
  <c r="AT280" i="6"/>
  <c r="AT464" i="6" s="1"/>
  <c r="AS280" i="6"/>
  <c r="AS464" i="6" s="1"/>
  <c r="AR280" i="6"/>
  <c r="AR464" i="6" s="1"/>
  <c r="AQ280" i="6"/>
  <c r="AQ464" i="6" s="1"/>
  <c r="AP280" i="6"/>
  <c r="AP464" i="6" s="1"/>
  <c r="AO280" i="6"/>
  <c r="AO464" i="6" s="1"/>
  <c r="AN280" i="6"/>
  <c r="AN464" i="6" s="1"/>
  <c r="AM280" i="6"/>
  <c r="AM464" i="6" s="1"/>
  <c r="AL280" i="6"/>
  <c r="AL464" i="6" s="1"/>
  <c r="AK280" i="6"/>
  <c r="AK464" i="6" s="1"/>
  <c r="AJ280" i="6"/>
  <c r="AJ464" i="6" s="1"/>
  <c r="AI280" i="6"/>
  <c r="AI464" i="6" s="1"/>
  <c r="AH280" i="6"/>
  <c r="AH464" i="6" s="1"/>
  <c r="AG280" i="6"/>
  <c r="AG464" i="6" s="1"/>
  <c r="AF280" i="6"/>
  <c r="AF464" i="6" s="1"/>
  <c r="AE280" i="6"/>
  <c r="AE464" i="6" s="1"/>
  <c r="AD280" i="6"/>
  <c r="AD464" i="6" s="1"/>
  <c r="BD279" i="6"/>
  <c r="BD463" i="6" s="1"/>
  <c r="BC279" i="6"/>
  <c r="BC463" i="6" s="1"/>
  <c r="BB279" i="6"/>
  <c r="BB463" i="6" s="1"/>
  <c r="BA279" i="6"/>
  <c r="BA463" i="6" s="1"/>
  <c r="AZ279" i="6"/>
  <c r="AZ463" i="6" s="1"/>
  <c r="AY279" i="6"/>
  <c r="AY463" i="6" s="1"/>
  <c r="AX279" i="6"/>
  <c r="AX463" i="6" s="1"/>
  <c r="AW279" i="6"/>
  <c r="AW463" i="6" s="1"/>
  <c r="AV279" i="6"/>
  <c r="AV463" i="6" s="1"/>
  <c r="AU279" i="6"/>
  <c r="AU463" i="6" s="1"/>
  <c r="AT279" i="6"/>
  <c r="AT463" i="6" s="1"/>
  <c r="AS279" i="6"/>
  <c r="AS463" i="6" s="1"/>
  <c r="AR279" i="6"/>
  <c r="AR463" i="6" s="1"/>
  <c r="AQ279" i="6"/>
  <c r="AQ463" i="6" s="1"/>
  <c r="AP279" i="6"/>
  <c r="AP463" i="6" s="1"/>
  <c r="AO279" i="6"/>
  <c r="AO463" i="6" s="1"/>
  <c r="AN279" i="6"/>
  <c r="AN463" i="6" s="1"/>
  <c r="AM279" i="6"/>
  <c r="AM463" i="6" s="1"/>
  <c r="AL279" i="6"/>
  <c r="AL463" i="6" s="1"/>
  <c r="AK279" i="6"/>
  <c r="AK463" i="6" s="1"/>
  <c r="AJ279" i="6"/>
  <c r="AJ463" i="6" s="1"/>
  <c r="AI279" i="6"/>
  <c r="AI463" i="6" s="1"/>
  <c r="AH279" i="6"/>
  <c r="AH463" i="6" s="1"/>
  <c r="AG279" i="6"/>
  <c r="AG463" i="6" s="1"/>
  <c r="AE279" i="6"/>
  <c r="AE463" i="6" s="1"/>
  <c r="AD279" i="6"/>
  <c r="AD463" i="6" s="1"/>
  <c r="BD278" i="6"/>
  <c r="BD462" i="6" s="1"/>
  <c r="BC278" i="6"/>
  <c r="BC462" i="6" s="1"/>
  <c r="BB278" i="6"/>
  <c r="BB462" i="6" s="1"/>
  <c r="BA278" i="6"/>
  <c r="BA462" i="6" s="1"/>
  <c r="AZ278" i="6"/>
  <c r="AZ462" i="6" s="1"/>
  <c r="AY278" i="6"/>
  <c r="AY462" i="6" s="1"/>
  <c r="AX278" i="6"/>
  <c r="AX462" i="6" s="1"/>
  <c r="AW278" i="6"/>
  <c r="AW462" i="6" s="1"/>
  <c r="AV278" i="6"/>
  <c r="AV462" i="6" s="1"/>
  <c r="AU278" i="6"/>
  <c r="AU462" i="6" s="1"/>
  <c r="AT278" i="6"/>
  <c r="AT462" i="6" s="1"/>
  <c r="AS278" i="6"/>
  <c r="AS462" i="6" s="1"/>
  <c r="AR278" i="6"/>
  <c r="AR462" i="6" s="1"/>
  <c r="AQ278" i="6"/>
  <c r="AQ462" i="6" s="1"/>
  <c r="AP278" i="6"/>
  <c r="AP462" i="6" s="1"/>
  <c r="AO278" i="6"/>
  <c r="AO462" i="6" s="1"/>
  <c r="AN278" i="6"/>
  <c r="AN462" i="6" s="1"/>
  <c r="AM278" i="6"/>
  <c r="AM462" i="6" s="1"/>
  <c r="AL278" i="6"/>
  <c r="AL462" i="6" s="1"/>
  <c r="AK278" i="6"/>
  <c r="AK462" i="6" s="1"/>
  <c r="AJ278" i="6"/>
  <c r="AJ462" i="6" s="1"/>
  <c r="AI278" i="6"/>
  <c r="AI462" i="6" s="1"/>
  <c r="AH278" i="6"/>
  <c r="AH462" i="6" s="1"/>
  <c r="AG278" i="6"/>
  <c r="AG462" i="6" s="1"/>
  <c r="AF278" i="6"/>
  <c r="AF462" i="6" s="1"/>
  <c r="AE278" i="6"/>
  <c r="AE462" i="6" s="1"/>
  <c r="AD278" i="6"/>
  <c r="AD462" i="6" s="1"/>
  <c r="BD277" i="6"/>
  <c r="BD461" i="6" s="1"/>
  <c r="BC277" i="6"/>
  <c r="BC461" i="6" s="1"/>
  <c r="BB277" i="6"/>
  <c r="BB461" i="6" s="1"/>
  <c r="BA277" i="6"/>
  <c r="BA461" i="6" s="1"/>
  <c r="AZ277" i="6"/>
  <c r="AZ461" i="6" s="1"/>
  <c r="AY277" i="6"/>
  <c r="AY461" i="6" s="1"/>
  <c r="AX277" i="6"/>
  <c r="AX461" i="6" s="1"/>
  <c r="AW277" i="6"/>
  <c r="AW461" i="6" s="1"/>
  <c r="AU277" i="6"/>
  <c r="AU461" i="6" s="1"/>
  <c r="AT277" i="6"/>
  <c r="AT461" i="6" s="1"/>
  <c r="AS277" i="6"/>
  <c r="AS461" i="6" s="1"/>
  <c r="AR277" i="6"/>
  <c r="AR461" i="6" s="1"/>
  <c r="AQ277" i="6"/>
  <c r="AQ461" i="6" s="1"/>
  <c r="AP277" i="6"/>
  <c r="AP461" i="6" s="1"/>
  <c r="AN277" i="6"/>
  <c r="AN461" i="6" s="1"/>
  <c r="AM277" i="6"/>
  <c r="AM461" i="6" s="1"/>
  <c r="AK277" i="6"/>
  <c r="AK461" i="6" s="1"/>
  <c r="AJ277" i="6"/>
  <c r="AJ461" i="6" s="1"/>
  <c r="AI277" i="6"/>
  <c r="AI461" i="6" s="1"/>
  <c r="AH277" i="6"/>
  <c r="AH461" i="6" s="1"/>
  <c r="AG277" i="6"/>
  <c r="AG461" i="6" s="1"/>
  <c r="AF277" i="6"/>
  <c r="AF461" i="6" s="1"/>
  <c r="AE277" i="6"/>
  <c r="AE461" i="6" s="1"/>
  <c r="AD277" i="6"/>
  <c r="AD461" i="6" s="1"/>
  <c r="BD276" i="6"/>
  <c r="BD460" i="6" s="1"/>
  <c r="BC276" i="6"/>
  <c r="BC460" i="6" s="1"/>
  <c r="BB276" i="6"/>
  <c r="BB460" i="6" s="1"/>
  <c r="BA276" i="6"/>
  <c r="BA460" i="6" s="1"/>
  <c r="AZ276" i="6"/>
  <c r="AZ460" i="6" s="1"/>
  <c r="AY276" i="6"/>
  <c r="AY460" i="6" s="1"/>
  <c r="AX276" i="6"/>
  <c r="AX460" i="6" s="1"/>
  <c r="AW276" i="6"/>
  <c r="AW460" i="6" s="1"/>
  <c r="AV276" i="6"/>
  <c r="AV460" i="6" s="1"/>
  <c r="AU276" i="6"/>
  <c r="AU460" i="6" s="1"/>
  <c r="AT276" i="6"/>
  <c r="AT460" i="6" s="1"/>
  <c r="AS276" i="6"/>
  <c r="AS460" i="6" s="1"/>
  <c r="AR276" i="6"/>
  <c r="AR460" i="6" s="1"/>
  <c r="AQ276" i="6"/>
  <c r="AQ460" i="6" s="1"/>
  <c r="AP276" i="6"/>
  <c r="AP460" i="6" s="1"/>
  <c r="AO276" i="6"/>
  <c r="AO460" i="6" s="1"/>
  <c r="AN276" i="6"/>
  <c r="AN460" i="6" s="1"/>
  <c r="AM276" i="6"/>
  <c r="AM460" i="6" s="1"/>
  <c r="AL276" i="6"/>
  <c r="AL460" i="6" s="1"/>
  <c r="AK276" i="6"/>
  <c r="AK460" i="6" s="1"/>
  <c r="AJ276" i="6"/>
  <c r="AJ460" i="6" s="1"/>
  <c r="AI276" i="6"/>
  <c r="AI460" i="6" s="1"/>
  <c r="AH276" i="6"/>
  <c r="AH460" i="6" s="1"/>
  <c r="AG276" i="6"/>
  <c r="AG460" i="6" s="1"/>
  <c r="AF276" i="6"/>
  <c r="AF460" i="6" s="1"/>
  <c r="AE276" i="6"/>
  <c r="AE460" i="6" s="1"/>
  <c r="AD276" i="6"/>
  <c r="AD460" i="6" s="1"/>
  <c r="BD275" i="6"/>
  <c r="BD459" i="6" s="1"/>
  <c r="BC275" i="6"/>
  <c r="BC459" i="6" s="1"/>
  <c r="BB275" i="6"/>
  <c r="BB459" i="6" s="1"/>
  <c r="BA275" i="6"/>
  <c r="BA459" i="6" s="1"/>
  <c r="AZ275" i="6"/>
  <c r="AZ459" i="6" s="1"/>
  <c r="AY275" i="6"/>
  <c r="AY459" i="6" s="1"/>
  <c r="AU275" i="6"/>
  <c r="AU459" i="6" s="1"/>
  <c r="AT275" i="6"/>
  <c r="AT459" i="6" s="1"/>
  <c r="AS275" i="6"/>
  <c r="AS459" i="6" s="1"/>
  <c r="AR275" i="6"/>
  <c r="AR459" i="6" s="1"/>
  <c r="AQ275" i="6"/>
  <c r="AQ459" i="6" s="1"/>
  <c r="AP275" i="6"/>
  <c r="AP459" i="6" s="1"/>
  <c r="AO275" i="6"/>
  <c r="AO459" i="6" s="1"/>
  <c r="AN275" i="6"/>
  <c r="AN459" i="6" s="1"/>
  <c r="AM275" i="6"/>
  <c r="AM459" i="6" s="1"/>
  <c r="AL275" i="6"/>
  <c r="AL459" i="6" s="1"/>
  <c r="AK275" i="6"/>
  <c r="AK459" i="6" s="1"/>
  <c r="AJ275" i="6"/>
  <c r="AJ459" i="6" s="1"/>
  <c r="AI275" i="6"/>
  <c r="AI459" i="6" s="1"/>
  <c r="AH275" i="6"/>
  <c r="AH459" i="6" s="1"/>
  <c r="AG275" i="6"/>
  <c r="AG459" i="6" s="1"/>
  <c r="AF275" i="6"/>
  <c r="AF459" i="6" s="1"/>
  <c r="AE275" i="6"/>
  <c r="AE459" i="6" s="1"/>
  <c r="AD275" i="6"/>
  <c r="AD459" i="6" s="1"/>
  <c r="BD274" i="6"/>
  <c r="BD458" i="6" s="1"/>
  <c r="BC274" i="6"/>
  <c r="BC458" i="6" s="1"/>
  <c r="BB274" i="6"/>
  <c r="BB458" i="6" s="1"/>
  <c r="BA274" i="6"/>
  <c r="BA458" i="6" s="1"/>
  <c r="AZ274" i="6"/>
  <c r="AZ458" i="6" s="1"/>
  <c r="AY274" i="6"/>
  <c r="AY458" i="6" s="1"/>
  <c r="AU274" i="6"/>
  <c r="AU458" i="6" s="1"/>
  <c r="AT274" i="6"/>
  <c r="AT458" i="6" s="1"/>
  <c r="AS274" i="6"/>
  <c r="AS458" i="6" s="1"/>
  <c r="AP274" i="6"/>
  <c r="AP458" i="6" s="1"/>
  <c r="AO274" i="6"/>
  <c r="AO458" i="6" s="1"/>
  <c r="AN274" i="6"/>
  <c r="AN458" i="6" s="1"/>
  <c r="AM274" i="6"/>
  <c r="AM458" i="6" s="1"/>
  <c r="AL274" i="6"/>
  <c r="AL458" i="6" s="1"/>
  <c r="AK274" i="6"/>
  <c r="AK458" i="6" s="1"/>
  <c r="AJ274" i="6"/>
  <c r="AJ458" i="6" s="1"/>
  <c r="AI274" i="6"/>
  <c r="AI458" i="6" s="1"/>
  <c r="AH274" i="6"/>
  <c r="AH458" i="6" s="1"/>
  <c r="AG274" i="6"/>
  <c r="AG458" i="6" s="1"/>
  <c r="AF274" i="6"/>
  <c r="AF458" i="6" s="1"/>
  <c r="AE274" i="6"/>
  <c r="AE458" i="6" s="1"/>
  <c r="AD274" i="6"/>
  <c r="AD458" i="6" s="1"/>
  <c r="BD273" i="6"/>
  <c r="BD457" i="6" s="1"/>
  <c r="BC273" i="6"/>
  <c r="BC457" i="6" s="1"/>
  <c r="BB273" i="6"/>
  <c r="BB457" i="6" s="1"/>
  <c r="BA273" i="6"/>
  <c r="BA457" i="6" s="1"/>
  <c r="AZ273" i="6"/>
  <c r="AZ457" i="6" s="1"/>
  <c r="AY273" i="6"/>
  <c r="AY457" i="6" s="1"/>
  <c r="AX273" i="6"/>
  <c r="AX457" i="6" s="1"/>
  <c r="AW273" i="6"/>
  <c r="AW457" i="6" s="1"/>
  <c r="AV273" i="6"/>
  <c r="AV457" i="6" s="1"/>
  <c r="AU273" i="6"/>
  <c r="AU457" i="6" s="1"/>
  <c r="AT273" i="6"/>
  <c r="AT457" i="6" s="1"/>
  <c r="AS273" i="6"/>
  <c r="AS457" i="6" s="1"/>
  <c r="AP273" i="6"/>
  <c r="AP457" i="6" s="1"/>
  <c r="AO273" i="6"/>
  <c r="AO457" i="6" s="1"/>
  <c r="AN273" i="6"/>
  <c r="AN457" i="6" s="1"/>
  <c r="AM273" i="6"/>
  <c r="AM457" i="6" s="1"/>
  <c r="AL273" i="6"/>
  <c r="AL457" i="6" s="1"/>
  <c r="AK273" i="6"/>
  <c r="AK457" i="6" s="1"/>
  <c r="AJ273" i="6"/>
  <c r="AJ457" i="6" s="1"/>
  <c r="AI273" i="6"/>
  <c r="AI457" i="6" s="1"/>
  <c r="AH273" i="6"/>
  <c r="AH457" i="6" s="1"/>
  <c r="AG273" i="6"/>
  <c r="AG457" i="6" s="1"/>
  <c r="AF273" i="6"/>
  <c r="AF457" i="6" s="1"/>
  <c r="AE273" i="6"/>
  <c r="AE457" i="6" s="1"/>
  <c r="AD273" i="6"/>
  <c r="AD457" i="6" s="1"/>
  <c r="BD272" i="6"/>
  <c r="BD456" i="6" s="1"/>
  <c r="BC272" i="6"/>
  <c r="BC456" i="6" s="1"/>
  <c r="BB272" i="6"/>
  <c r="BB456" i="6" s="1"/>
  <c r="BA272" i="6"/>
  <c r="BA456" i="6" s="1"/>
  <c r="AZ272" i="6"/>
  <c r="AZ456" i="6" s="1"/>
  <c r="AY272" i="6"/>
  <c r="AY456" i="6" s="1"/>
  <c r="AU272" i="6"/>
  <c r="AU456" i="6" s="1"/>
  <c r="AT272" i="6"/>
  <c r="AT456" i="6" s="1"/>
  <c r="AS272" i="6"/>
  <c r="AS456" i="6" s="1"/>
  <c r="AQ272" i="6"/>
  <c r="AQ456" i="6" s="1"/>
  <c r="AN272" i="6"/>
  <c r="AN456" i="6" s="1"/>
  <c r="AM272" i="6"/>
  <c r="AM456" i="6" s="1"/>
  <c r="AL272" i="6"/>
  <c r="AL456" i="6" s="1"/>
  <c r="AK272" i="6"/>
  <c r="AK456" i="6" s="1"/>
  <c r="AJ272" i="6"/>
  <c r="AJ456" i="6" s="1"/>
  <c r="AI272" i="6"/>
  <c r="AI456" i="6" s="1"/>
  <c r="AH272" i="6"/>
  <c r="AH456" i="6" s="1"/>
  <c r="AG272" i="6"/>
  <c r="AG456" i="6" s="1"/>
  <c r="AF272" i="6"/>
  <c r="AF456" i="6" s="1"/>
  <c r="AE272" i="6"/>
  <c r="AE456" i="6" s="1"/>
  <c r="AD272" i="6"/>
  <c r="AD456" i="6" s="1"/>
  <c r="BD271" i="6"/>
  <c r="BD455" i="6" s="1"/>
  <c r="BC271" i="6"/>
  <c r="BC455" i="6" s="1"/>
  <c r="BB271" i="6"/>
  <c r="BB455" i="6" s="1"/>
  <c r="BA271" i="6"/>
  <c r="BA455" i="6" s="1"/>
  <c r="AZ271" i="6"/>
  <c r="AZ455" i="6" s="1"/>
  <c r="AY271" i="6"/>
  <c r="AY455" i="6" s="1"/>
  <c r="AU271" i="6"/>
  <c r="AU455" i="6" s="1"/>
  <c r="AT271" i="6"/>
  <c r="AT455" i="6" s="1"/>
  <c r="AS271" i="6"/>
  <c r="AS455" i="6" s="1"/>
  <c r="AQ271" i="6"/>
  <c r="AQ455" i="6" s="1"/>
  <c r="AP271" i="6"/>
  <c r="AP455" i="6" s="1"/>
  <c r="AM271" i="6"/>
  <c r="AM455" i="6" s="1"/>
  <c r="AL271" i="6"/>
  <c r="AL455" i="6" s="1"/>
  <c r="AK271" i="6"/>
  <c r="AK455" i="6" s="1"/>
  <c r="AJ271" i="6"/>
  <c r="AJ455" i="6" s="1"/>
  <c r="AI271" i="6"/>
  <c r="AI455" i="6" s="1"/>
  <c r="AH271" i="6"/>
  <c r="AH455" i="6" s="1"/>
  <c r="AG271" i="6"/>
  <c r="AG455" i="6" s="1"/>
  <c r="AF271" i="6"/>
  <c r="AF455" i="6" s="1"/>
  <c r="AE271" i="6"/>
  <c r="AE455" i="6" s="1"/>
  <c r="AD271" i="6"/>
  <c r="AD455" i="6" s="1"/>
  <c r="BD270" i="6"/>
  <c r="BD454" i="6" s="1"/>
  <c r="BC270" i="6"/>
  <c r="BC454" i="6" s="1"/>
  <c r="BB270" i="6"/>
  <c r="BB454" i="6" s="1"/>
  <c r="BA270" i="6"/>
  <c r="BA454" i="6" s="1"/>
  <c r="AZ270" i="6"/>
  <c r="AZ454" i="6" s="1"/>
  <c r="AY270" i="6"/>
  <c r="AY454" i="6" s="1"/>
  <c r="AX270" i="6"/>
  <c r="AX454" i="6" s="1"/>
  <c r="AW270" i="6"/>
  <c r="AW454" i="6" s="1"/>
  <c r="AV270" i="6"/>
  <c r="AV454" i="6" s="1"/>
  <c r="AU270" i="6"/>
  <c r="AU454" i="6" s="1"/>
  <c r="AT270" i="6"/>
  <c r="AT454" i="6" s="1"/>
  <c r="AS270" i="6"/>
  <c r="AS454" i="6" s="1"/>
  <c r="AQ270" i="6"/>
  <c r="AP270" i="6"/>
  <c r="AP454" i="6" s="1"/>
  <c r="AM270" i="6"/>
  <c r="AM454" i="6" s="1"/>
  <c r="AL270" i="6"/>
  <c r="AL454" i="6" s="1"/>
  <c r="AK270" i="6"/>
  <c r="AK454" i="6" s="1"/>
  <c r="AJ270" i="6"/>
  <c r="AJ454" i="6" s="1"/>
  <c r="AI270" i="6"/>
  <c r="AI454" i="6" s="1"/>
  <c r="AH270" i="6"/>
  <c r="AH454" i="6" s="1"/>
  <c r="AG270" i="6"/>
  <c r="AG454" i="6" s="1"/>
  <c r="AF270" i="6"/>
  <c r="AF454" i="6" s="1"/>
  <c r="AE270" i="6"/>
  <c r="AE454" i="6" s="1"/>
  <c r="AD270" i="6"/>
  <c r="AD454" i="6" s="1"/>
  <c r="BD269" i="6"/>
  <c r="BD453" i="6" s="1"/>
  <c r="BC269" i="6"/>
  <c r="BC453" i="6" s="1"/>
  <c r="BB269" i="6"/>
  <c r="BB453" i="6" s="1"/>
  <c r="BA269" i="6"/>
  <c r="BA453" i="6" s="1"/>
  <c r="AZ269" i="6"/>
  <c r="AZ453" i="6" s="1"/>
  <c r="AY269" i="6"/>
  <c r="AY453" i="6" s="1"/>
  <c r="AU269" i="6"/>
  <c r="AU453" i="6" s="1"/>
  <c r="AT269" i="6"/>
  <c r="AT453" i="6" s="1"/>
  <c r="AS269" i="6"/>
  <c r="AS453" i="6" s="1"/>
  <c r="AQ269" i="6"/>
  <c r="AP269" i="6"/>
  <c r="AP453" i="6" s="1"/>
  <c r="AN269" i="6"/>
  <c r="AN453" i="6" s="1"/>
  <c r="AK269" i="6"/>
  <c r="AK453" i="6" s="1"/>
  <c r="AJ269" i="6"/>
  <c r="AJ453" i="6" s="1"/>
  <c r="AI269" i="6"/>
  <c r="AI453" i="6" s="1"/>
  <c r="AH269" i="6"/>
  <c r="AH453" i="6" s="1"/>
  <c r="AG269" i="6"/>
  <c r="AG453" i="6" s="1"/>
  <c r="AF269" i="6"/>
  <c r="AF453" i="6" s="1"/>
  <c r="AE269" i="6"/>
  <c r="AE453" i="6" s="1"/>
  <c r="AD269" i="6"/>
  <c r="AD453" i="6" s="1"/>
  <c r="BD268" i="6"/>
  <c r="BD452" i="6" s="1"/>
  <c r="BC268" i="6"/>
  <c r="BC452" i="6" s="1"/>
  <c r="BB268" i="6"/>
  <c r="BB452" i="6" s="1"/>
  <c r="BA268" i="6"/>
  <c r="BA452" i="6" s="1"/>
  <c r="AZ268" i="6"/>
  <c r="AZ452" i="6" s="1"/>
  <c r="AY268" i="6"/>
  <c r="AY452" i="6" s="1"/>
  <c r="AU268" i="6"/>
  <c r="AU452" i="6" s="1"/>
  <c r="AT268" i="6"/>
  <c r="AT452" i="6" s="1"/>
  <c r="AS268" i="6"/>
  <c r="AS452" i="6" s="1"/>
  <c r="AR268" i="6"/>
  <c r="AR452" i="6" s="1"/>
  <c r="AQ268" i="6"/>
  <c r="AQ452" i="6" s="1"/>
  <c r="AP268" i="6"/>
  <c r="AP452" i="6" s="1"/>
  <c r="AN268" i="6"/>
  <c r="AN452" i="6" s="1"/>
  <c r="AM268" i="6"/>
  <c r="AM452" i="6" s="1"/>
  <c r="AL268" i="6"/>
  <c r="AL452" i="6" s="1"/>
  <c r="AK268" i="6"/>
  <c r="AK452" i="6" s="1"/>
  <c r="AJ268" i="6"/>
  <c r="AJ452" i="6" s="1"/>
  <c r="AI268" i="6"/>
  <c r="AI452" i="6" s="1"/>
  <c r="AH268" i="6"/>
  <c r="AH452" i="6" s="1"/>
  <c r="AG268" i="6"/>
  <c r="AG452" i="6" s="1"/>
  <c r="AF268" i="6"/>
  <c r="AF452" i="6" s="1"/>
  <c r="AE268" i="6"/>
  <c r="AE452" i="6" s="1"/>
  <c r="AD268" i="6"/>
  <c r="AD452" i="6" s="1"/>
  <c r="BD267" i="6"/>
  <c r="BD451" i="6" s="1"/>
  <c r="BC267" i="6"/>
  <c r="BC451" i="6" s="1"/>
  <c r="BB267" i="6"/>
  <c r="BB451" i="6" s="1"/>
  <c r="BA267" i="6"/>
  <c r="BA451" i="6" s="1"/>
  <c r="AZ267" i="6"/>
  <c r="AZ451" i="6" s="1"/>
  <c r="AY267" i="6"/>
  <c r="AY451" i="6" s="1"/>
  <c r="AX267" i="6"/>
  <c r="AX451" i="6" s="1"/>
  <c r="AW267" i="6"/>
  <c r="AW451" i="6" s="1"/>
  <c r="AV267" i="6"/>
  <c r="AV451" i="6" s="1"/>
  <c r="AU267" i="6"/>
  <c r="AU451" i="6" s="1"/>
  <c r="AT267" i="6"/>
  <c r="AT451" i="6" s="1"/>
  <c r="AS267" i="6"/>
  <c r="AS451" i="6" s="1"/>
  <c r="AR267" i="6"/>
  <c r="AR451" i="6" s="1"/>
  <c r="AQ267" i="6"/>
  <c r="AQ451" i="6" s="1"/>
  <c r="AP267" i="6"/>
  <c r="AP451" i="6" s="1"/>
  <c r="AO267" i="6"/>
  <c r="AO451" i="6" s="1"/>
  <c r="AN267" i="6"/>
  <c r="AN451" i="6" s="1"/>
  <c r="AM267" i="6"/>
  <c r="AM451" i="6" s="1"/>
  <c r="AL267" i="6"/>
  <c r="AL451" i="6" s="1"/>
  <c r="AK267" i="6"/>
  <c r="AK451" i="6" s="1"/>
  <c r="AJ267" i="6"/>
  <c r="AJ451" i="6" s="1"/>
  <c r="AI267" i="6"/>
  <c r="AI451" i="6" s="1"/>
  <c r="AH267" i="6"/>
  <c r="AH451" i="6" s="1"/>
  <c r="AG267" i="6"/>
  <c r="AG451" i="6" s="1"/>
  <c r="AF267" i="6"/>
  <c r="AF451" i="6" s="1"/>
  <c r="AE267" i="6"/>
  <c r="AE451" i="6" s="1"/>
  <c r="AD267" i="6"/>
  <c r="AD451" i="6" s="1"/>
  <c r="BD266" i="6"/>
  <c r="BD450" i="6" s="1"/>
  <c r="BC266" i="6"/>
  <c r="BC450" i="6" s="1"/>
  <c r="BB266" i="6"/>
  <c r="BB450" i="6" s="1"/>
  <c r="BA266" i="6"/>
  <c r="BA450" i="6" s="1"/>
  <c r="AZ266" i="6"/>
  <c r="AZ450" i="6" s="1"/>
  <c r="AY266" i="6"/>
  <c r="AY450" i="6" s="1"/>
  <c r="AV266" i="6"/>
  <c r="AV450" i="6" s="1"/>
  <c r="AU266" i="6"/>
  <c r="AU450" i="6" s="1"/>
  <c r="AT266" i="6"/>
  <c r="AT450" i="6" s="1"/>
  <c r="AS266" i="6"/>
  <c r="AS450" i="6" s="1"/>
  <c r="AR266" i="6"/>
  <c r="AR450" i="6" s="1"/>
  <c r="AQ266" i="6"/>
  <c r="AQ450" i="6" s="1"/>
  <c r="AP266" i="6"/>
  <c r="AP450" i="6" s="1"/>
  <c r="AO266" i="6"/>
  <c r="AO450" i="6" s="1"/>
  <c r="AN266" i="6"/>
  <c r="AN450" i="6" s="1"/>
  <c r="AM266" i="6"/>
  <c r="AM450" i="6" s="1"/>
  <c r="AL266" i="6"/>
  <c r="AL450" i="6" s="1"/>
  <c r="AK266" i="6"/>
  <c r="AK450" i="6" s="1"/>
  <c r="AJ266" i="6"/>
  <c r="AJ450" i="6" s="1"/>
  <c r="AI266" i="6"/>
  <c r="AI450" i="6" s="1"/>
  <c r="AH266" i="6"/>
  <c r="AH450" i="6" s="1"/>
  <c r="AG266" i="6"/>
  <c r="AG450" i="6" s="1"/>
  <c r="AF266" i="6"/>
  <c r="AF450" i="6" s="1"/>
  <c r="AE266" i="6"/>
  <c r="AE450" i="6" s="1"/>
  <c r="AD266" i="6"/>
  <c r="AD450" i="6" s="1"/>
  <c r="BD265" i="6"/>
  <c r="BD449" i="6" s="1"/>
  <c r="BC265" i="6"/>
  <c r="BC449" i="6" s="1"/>
  <c r="BB265" i="6"/>
  <c r="BB449" i="6" s="1"/>
  <c r="BA265" i="6"/>
  <c r="BA449" i="6" s="1"/>
  <c r="AZ265" i="6"/>
  <c r="AZ449" i="6" s="1"/>
  <c r="AY265" i="6"/>
  <c r="AY449" i="6" s="1"/>
  <c r="AX265" i="6"/>
  <c r="AX449" i="6" s="1"/>
  <c r="AW265" i="6"/>
  <c r="AW449" i="6" s="1"/>
  <c r="AV265" i="6"/>
  <c r="AV449" i="6" s="1"/>
  <c r="AU265" i="6"/>
  <c r="AU449" i="6" s="1"/>
  <c r="AT265" i="6"/>
  <c r="AT449" i="6" s="1"/>
  <c r="AS265" i="6"/>
  <c r="AS449" i="6" s="1"/>
  <c r="AR265" i="6"/>
  <c r="AR449" i="6" s="1"/>
  <c r="AQ265" i="6"/>
  <c r="AQ449" i="6" s="1"/>
  <c r="AO265" i="6"/>
  <c r="AO449" i="6" s="1"/>
  <c r="AN265" i="6"/>
  <c r="AN449" i="6" s="1"/>
  <c r="AM265" i="6"/>
  <c r="AM449" i="6" s="1"/>
  <c r="AI265" i="6"/>
  <c r="AI449" i="6" s="1"/>
  <c r="AH265" i="6"/>
  <c r="AH449" i="6" s="1"/>
  <c r="AG265" i="6"/>
  <c r="AG449" i="6" s="1"/>
  <c r="AF265" i="6"/>
  <c r="AF449" i="6" s="1"/>
  <c r="AE265" i="6"/>
  <c r="AE449" i="6" s="1"/>
  <c r="AD265" i="6"/>
  <c r="AD449" i="6" s="1"/>
  <c r="BD264" i="6"/>
  <c r="BD448" i="6" s="1"/>
  <c r="BC264" i="6"/>
  <c r="BC448" i="6" s="1"/>
  <c r="BB264" i="6"/>
  <c r="BB448" i="6" s="1"/>
  <c r="BA264" i="6"/>
  <c r="BA448" i="6" s="1"/>
  <c r="AZ264" i="6"/>
  <c r="AZ448" i="6" s="1"/>
  <c r="AY264" i="6"/>
  <c r="AY448" i="6" s="1"/>
  <c r="AX264" i="6"/>
  <c r="AX448" i="6" s="1"/>
  <c r="AW264" i="6"/>
  <c r="AW448" i="6" s="1"/>
  <c r="AV264" i="6"/>
  <c r="AV448" i="6" s="1"/>
  <c r="AU264" i="6"/>
  <c r="AU448" i="6" s="1"/>
  <c r="AT264" i="6"/>
  <c r="AT448" i="6" s="1"/>
  <c r="AS264" i="6"/>
  <c r="AS448" i="6" s="1"/>
  <c r="AR264" i="6"/>
  <c r="AR448" i="6" s="1"/>
  <c r="AQ264" i="6"/>
  <c r="AQ448" i="6" s="1"/>
  <c r="AP264" i="6"/>
  <c r="AP448" i="6" s="1"/>
  <c r="AO264" i="6"/>
  <c r="AO448" i="6" s="1"/>
  <c r="AN264" i="6"/>
  <c r="AN448" i="6" s="1"/>
  <c r="AM264" i="6"/>
  <c r="AM448" i="6" s="1"/>
  <c r="AJ448" i="6"/>
  <c r="AI264" i="6"/>
  <c r="AI448" i="6" s="1"/>
  <c r="AH264" i="6"/>
  <c r="AH448" i="6" s="1"/>
  <c r="AG264" i="6"/>
  <c r="AG448" i="6" s="1"/>
  <c r="AF264" i="6"/>
  <c r="AF448" i="6" s="1"/>
  <c r="AE264" i="6"/>
  <c r="AE448" i="6" s="1"/>
  <c r="AD264" i="6"/>
  <c r="AD448" i="6" s="1"/>
  <c r="BD263" i="6"/>
  <c r="BD447" i="6" s="1"/>
  <c r="BC263" i="6"/>
  <c r="BC447" i="6" s="1"/>
  <c r="BB263" i="6"/>
  <c r="BB447" i="6" s="1"/>
  <c r="BA263" i="6"/>
  <c r="BA447" i="6" s="1"/>
  <c r="AZ263" i="6"/>
  <c r="AZ447" i="6" s="1"/>
  <c r="AY263" i="6"/>
  <c r="AY447" i="6" s="1"/>
  <c r="AX263" i="6"/>
  <c r="AX447" i="6" s="1"/>
  <c r="AW263" i="6"/>
  <c r="AW447" i="6" s="1"/>
  <c r="AV263" i="6"/>
  <c r="AV447" i="6" s="1"/>
  <c r="AU263" i="6"/>
  <c r="AU447" i="6" s="1"/>
  <c r="AT263" i="6"/>
  <c r="AT447" i="6" s="1"/>
  <c r="AS263" i="6"/>
  <c r="AS447" i="6" s="1"/>
  <c r="AR263" i="6"/>
  <c r="AR447" i="6" s="1"/>
  <c r="AQ263" i="6"/>
  <c r="AQ447" i="6" s="1"/>
  <c r="AP263" i="6"/>
  <c r="AP447" i="6" s="1"/>
  <c r="AO263" i="6"/>
  <c r="AO447" i="6" s="1"/>
  <c r="AN263" i="6"/>
  <c r="AN447" i="6" s="1"/>
  <c r="AM263" i="6"/>
  <c r="AM447" i="6" s="1"/>
  <c r="AK263" i="6"/>
  <c r="AK447" i="6" s="1"/>
  <c r="AI447" i="6"/>
  <c r="AH447" i="6"/>
  <c r="AG263" i="6"/>
  <c r="AG447" i="6" s="1"/>
  <c r="AF263" i="6"/>
  <c r="AF447" i="6" s="1"/>
  <c r="AE263" i="6"/>
  <c r="AE447" i="6" s="1"/>
  <c r="AD263" i="6"/>
  <c r="AD447" i="6" s="1"/>
  <c r="BD262" i="6"/>
  <c r="BD446" i="6" s="1"/>
  <c r="BC262" i="6"/>
  <c r="BC446" i="6" s="1"/>
  <c r="AY262" i="6"/>
  <c r="AY446" i="6" s="1"/>
  <c r="AX262" i="6"/>
  <c r="AX446" i="6" s="1"/>
  <c r="AW262" i="6"/>
  <c r="AW446" i="6" s="1"/>
  <c r="AV262" i="6"/>
  <c r="AV446" i="6" s="1"/>
  <c r="AU262" i="6"/>
  <c r="AU446" i="6" s="1"/>
  <c r="AT262" i="6"/>
  <c r="AT446" i="6" s="1"/>
  <c r="AS262" i="6"/>
  <c r="AS446" i="6" s="1"/>
  <c r="AR262" i="6"/>
  <c r="AR446" i="6" s="1"/>
  <c r="AQ262" i="6"/>
  <c r="AQ446" i="6" s="1"/>
  <c r="AO262" i="6"/>
  <c r="AO446" i="6" s="1"/>
  <c r="AN262" i="6"/>
  <c r="AN446" i="6" s="1"/>
  <c r="AM262" i="6"/>
  <c r="AM446" i="6" s="1"/>
  <c r="AK262" i="6"/>
  <c r="AK446" i="6" s="1"/>
  <c r="AJ262" i="6"/>
  <c r="AJ446" i="6" s="1"/>
  <c r="AI262" i="6"/>
  <c r="AI446" i="6" s="1"/>
  <c r="AH262" i="6"/>
  <c r="AH446" i="6" s="1"/>
  <c r="AG262" i="6"/>
  <c r="AG446" i="6" s="1"/>
  <c r="AF262" i="6"/>
  <c r="AF446" i="6" s="1"/>
  <c r="AE262" i="6"/>
  <c r="AE446" i="6" s="1"/>
  <c r="AD262" i="6"/>
  <c r="AD446" i="6" s="1"/>
  <c r="BD261" i="6"/>
  <c r="BD445" i="6" s="1"/>
  <c r="BC261" i="6"/>
  <c r="BC445" i="6" s="1"/>
  <c r="AY261" i="6"/>
  <c r="AY445" i="6" s="1"/>
  <c r="AX261" i="6"/>
  <c r="AX445" i="6" s="1"/>
  <c r="AW261" i="6"/>
  <c r="AW445" i="6" s="1"/>
  <c r="AV261" i="6"/>
  <c r="AV445" i="6" s="1"/>
  <c r="AU261" i="6"/>
  <c r="AU445" i="6" s="1"/>
  <c r="AT261" i="6"/>
  <c r="AT445" i="6" s="1"/>
  <c r="AS261" i="6"/>
  <c r="AS445" i="6" s="1"/>
  <c r="AR261" i="6"/>
  <c r="AR445" i="6" s="1"/>
  <c r="AQ261" i="6"/>
  <c r="AQ445" i="6" s="1"/>
  <c r="AP261" i="6"/>
  <c r="AP445" i="6" s="1"/>
  <c r="AO261" i="6"/>
  <c r="AO445" i="6" s="1"/>
  <c r="AN261" i="6"/>
  <c r="AN445" i="6" s="1"/>
  <c r="AM261" i="6"/>
  <c r="AM445" i="6" s="1"/>
  <c r="AL261" i="6"/>
  <c r="AL445" i="6" s="1"/>
  <c r="AK261" i="6"/>
  <c r="AK445" i="6" s="1"/>
  <c r="AJ261" i="6"/>
  <c r="AJ445" i="6" s="1"/>
  <c r="AI261" i="6"/>
  <c r="AI445" i="6" s="1"/>
  <c r="AH261" i="6"/>
  <c r="AH445" i="6" s="1"/>
  <c r="AG261" i="6"/>
  <c r="AG445" i="6" s="1"/>
  <c r="AF261" i="6"/>
  <c r="AF445" i="6" s="1"/>
  <c r="AE261" i="6"/>
  <c r="AE445" i="6" s="1"/>
  <c r="AD261" i="6"/>
  <c r="AD445" i="6" s="1"/>
  <c r="BD260" i="6"/>
  <c r="BD444" i="6" s="1"/>
  <c r="BC260" i="6"/>
  <c r="BC444" i="6" s="1"/>
  <c r="AY260" i="6"/>
  <c r="AY444" i="6" s="1"/>
  <c r="AW260" i="6"/>
  <c r="AW444" i="6" s="1"/>
  <c r="AV260" i="6"/>
  <c r="AV444" i="6" s="1"/>
  <c r="AU260" i="6"/>
  <c r="AU444" i="6" s="1"/>
  <c r="AT260" i="6"/>
  <c r="AT444" i="6" s="1"/>
  <c r="AS260" i="6"/>
  <c r="AS444" i="6" s="1"/>
  <c r="AR260" i="6"/>
  <c r="AR444" i="6" s="1"/>
  <c r="AQ260" i="6"/>
  <c r="AQ444" i="6" s="1"/>
  <c r="AP260" i="6"/>
  <c r="AP444" i="6" s="1"/>
  <c r="AO260" i="6"/>
  <c r="AO444" i="6" s="1"/>
  <c r="AN260" i="6"/>
  <c r="AN444" i="6" s="1"/>
  <c r="AM260" i="6"/>
  <c r="AM444" i="6" s="1"/>
  <c r="AL260" i="6"/>
  <c r="AL444" i="6" s="1"/>
  <c r="AK260" i="6"/>
  <c r="AK444" i="6" s="1"/>
  <c r="AJ260" i="6"/>
  <c r="AJ444" i="6" s="1"/>
  <c r="AI260" i="6"/>
  <c r="AI444" i="6" s="1"/>
  <c r="AH260" i="6"/>
  <c r="AH444" i="6" s="1"/>
  <c r="AG260" i="6"/>
  <c r="AG444" i="6" s="1"/>
  <c r="AF260" i="6"/>
  <c r="AF444" i="6" s="1"/>
  <c r="AE260" i="6"/>
  <c r="AE444" i="6" s="1"/>
  <c r="AD260" i="6"/>
  <c r="AD444" i="6" s="1"/>
  <c r="BD259" i="6"/>
  <c r="BD443" i="6" s="1"/>
  <c r="BC259" i="6"/>
  <c r="BC443" i="6" s="1"/>
  <c r="AY259" i="6"/>
  <c r="AY443" i="6" s="1"/>
  <c r="AX259" i="6"/>
  <c r="AX443" i="6" s="1"/>
  <c r="AW259" i="6"/>
  <c r="AW443" i="6" s="1"/>
  <c r="AV259" i="6"/>
  <c r="AV443" i="6" s="1"/>
  <c r="AU259" i="6"/>
  <c r="AU443" i="6" s="1"/>
  <c r="AT259" i="6"/>
  <c r="AT443" i="6" s="1"/>
  <c r="AQ259" i="6"/>
  <c r="AQ443" i="6" s="1"/>
  <c r="AP259" i="6"/>
  <c r="AP443" i="6" s="1"/>
  <c r="AO259" i="6"/>
  <c r="AO443" i="6" s="1"/>
  <c r="AN259" i="6"/>
  <c r="AN443" i="6" s="1"/>
  <c r="AM259" i="6"/>
  <c r="AM443" i="6" s="1"/>
  <c r="AL259" i="6"/>
  <c r="AL443" i="6" s="1"/>
  <c r="AK259" i="6"/>
  <c r="AK443" i="6" s="1"/>
  <c r="AJ259" i="6"/>
  <c r="AJ443" i="6" s="1"/>
  <c r="AI259" i="6"/>
  <c r="AI443" i="6" s="1"/>
  <c r="AH259" i="6"/>
  <c r="AH443" i="6" s="1"/>
  <c r="AG259" i="6"/>
  <c r="AG443" i="6" s="1"/>
  <c r="AF259" i="6"/>
  <c r="AF443" i="6" s="1"/>
  <c r="AE259" i="6"/>
  <c r="AE443" i="6" s="1"/>
  <c r="AD259" i="6"/>
  <c r="AD443" i="6" s="1"/>
  <c r="BD258" i="6"/>
  <c r="BD442" i="6" s="1"/>
  <c r="BC258" i="6"/>
  <c r="BC442" i="6" s="1"/>
  <c r="AY258" i="6"/>
  <c r="AY442" i="6" s="1"/>
  <c r="AX258" i="6"/>
  <c r="AX442" i="6" s="1"/>
  <c r="AW258" i="6"/>
  <c r="AW442" i="6" s="1"/>
  <c r="AV258" i="6"/>
  <c r="AV442" i="6" s="1"/>
  <c r="AT258" i="6"/>
  <c r="AT442" i="6" s="1"/>
  <c r="AO258" i="6"/>
  <c r="AO442" i="6" s="1"/>
  <c r="AN258" i="6"/>
  <c r="AN442" i="6" s="1"/>
  <c r="AM258" i="6"/>
  <c r="AM442" i="6" s="1"/>
  <c r="AL258" i="6"/>
  <c r="AL442" i="6" s="1"/>
  <c r="AK258" i="6"/>
  <c r="AK442" i="6" s="1"/>
  <c r="AJ258" i="6"/>
  <c r="AJ442" i="6" s="1"/>
  <c r="AI258" i="6"/>
  <c r="AI442" i="6" s="1"/>
  <c r="AH258" i="6"/>
  <c r="AH442" i="6" s="1"/>
  <c r="AG258" i="6"/>
  <c r="AG442" i="6" s="1"/>
  <c r="AF258" i="6"/>
  <c r="AF442" i="6" s="1"/>
  <c r="AE258" i="6"/>
  <c r="AE442" i="6" s="1"/>
  <c r="AD258" i="6"/>
  <c r="AD442" i="6" s="1"/>
  <c r="BD257" i="6"/>
  <c r="BD441" i="6" s="1"/>
  <c r="BC257" i="6"/>
  <c r="BC441" i="6" s="1"/>
  <c r="AY257" i="6"/>
  <c r="AY441" i="6" s="1"/>
  <c r="AX257" i="6"/>
  <c r="AX441" i="6" s="1"/>
  <c r="AW257" i="6"/>
  <c r="AW441" i="6" s="1"/>
  <c r="AV257" i="6"/>
  <c r="AV441" i="6" s="1"/>
  <c r="AT257" i="6"/>
  <c r="AT441" i="6" s="1"/>
  <c r="AS257" i="6"/>
  <c r="AS441" i="6" s="1"/>
  <c r="AR257" i="6"/>
  <c r="AR441" i="6" s="1"/>
  <c r="AQ257" i="6"/>
  <c r="AQ441" i="6" s="1"/>
  <c r="AP257" i="6"/>
  <c r="AP441" i="6" s="1"/>
  <c r="AN257" i="6"/>
  <c r="AN441" i="6" s="1"/>
  <c r="AM257" i="6"/>
  <c r="AM441" i="6" s="1"/>
  <c r="AL257" i="6"/>
  <c r="AL441" i="6" s="1"/>
  <c r="AK257" i="6"/>
  <c r="AK441" i="6" s="1"/>
  <c r="AJ257" i="6"/>
  <c r="AJ441" i="6" s="1"/>
  <c r="AI257" i="6"/>
  <c r="AI441" i="6" s="1"/>
  <c r="AH257" i="6"/>
  <c r="AH441" i="6" s="1"/>
  <c r="AG257" i="6"/>
  <c r="AG441" i="6" s="1"/>
  <c r="AF257" i="6"/>
  <c r="AF441" i="6" s="1"/>
  <c r="AE257" i="6"/>
  <c r="AE441" i="6" s="1"/>
  <c r="AD257" i="6"/>
  <c r="AD441" i="6" s="1"/>
  <c r="BD256" i="6"/>
  <c r="BD440" i="6" s="1"/>
  <c r="BC256" i="6"/>
  <c r="BC440" i="6" s="1"/>
  <c r="AY256" i="6"/>
  <c r="AY440" i="6" s="1"/>
  <c r="AX256" i="6"/>
  <c r="AX440" i="6" s="1"/>
  <c r="AW256" i="6"/>
  <c r="AW440" i="6" s="1"/>
  <c r="AV256" i="6"/>
  <c r="AV440" i="6" s="1"/>
  <c r="AU256" i="6"/>
  <c r="AU440" i="6" s="1"/>
  <c r="AT256" i="6"/>
  <c r="AT440" i="6" s="1"/>
  <c r="AS256" i="6"/>
  <c r="AS440" i="6" s="1"/>
  <c r="AR256" i="6"/>
  <c r="AR440" i="6" s="1"/>
  <c r="AQ256" i="6"/>
  <c r="AQ440" i="6" s="1"/>
  <c r="AP256" i="6"/>
  <c r="AP440" i="6" s="1"/>
  <c r="AN256" i="6"/>
  <c r="AN440" i="6" s="1"/>
  <c r="AK256" i="6"/>
  <c r="AK440" i="6" s="1"/>
  <c r="AJ256" i="6"/>
  <c r="AJ440" i="6" s="1"/>
  <c r="AI256" i="6"/>
  <c r="AI440" i="6" s="1"/>
  <c r="AH256" i="6"/>
  <c r="AH440" i="6" s="1"/>
  <c r="AG256" i="6"/>
  <c r="AG440" i="6" s="1"/>
  <c r="AF256" i="6"/>
  <c r="AF440" i="6" s="1"/>
  <c r="AE256" i="6"/>
  <c r="AE440" i="6" s="1"/>
  <c r="AD256" i="6"/>
  <c r="AD440" i="6" s="1"/>
  <c r="BD255" i="6"/>
  <c r="BD439" i="6" s="1"/>
  <c r="BC255" i="6"/>
  <c r="BC439" i="6" s="1"/>
  <c r="AY255" i="6"/>
  <c r="AY439" i="6" s="1"/>
  <c r="AX255" i="6"/>
  <c r="AX439" i="6" s="1"/>
  <c r="AW255" i="6"/>
  <c r="AW439" i="6" s="1"/>
  <c r="AV255" i="6"/>
  <c r="AV439" i="6" s="1"/>
  <c r="AU255" i="6"/>
  <c r="AU439" i="6" s="1"/>
  <c r="AT255" i="6"/>
  <c r="AT439" i="6" s="1"/>
  <c r="AS255" i="6"/>
  <c r="AS439" i="6" s="1"/>
  <c r="AR255" i="6"/>
  <c r="AR439" i="6" s="1"/>
  <c r="AQ255" i="6"/>
  <c r="AQ439" i="6" s="1"/>
  <c r="AP255" i="6"/>
  <c r="AP439" i="6" s="1"/>
  <c r="AM255" i="6"/>
  <c r="AM439" i="6" s="1"/>
  <c r="AL255" i="6"/>
  <c r="AL439" i="6" s="1"/>
  <c r="AK255" i="6"/>
  <c r="AK439" i="6" s="1"/>
  <c r="AJ255" i="6"/>
  <c r="AJ439" i="6" s="1"/>
  <c r="AI255" i="6"/>
  <c r="AI439" i="6" s="1"/>
  <c r="AH255" i="6"/>
  <c r="AH439" i="6" s="1"/>
  <c r="AG255" i="6"/>
  <c r="AG439" i="6" s="1"/>
  <c r="AF255" i="6"/>
  <c r="AF439" i="6" s="1"/>
  <c r="AE255" i="6"/>
  <c r="AE439" i="6" s="1"/>
  <c r="AD255" i="6"/>
  <c r="AD439" i="6" s="1"/>
  <c r="BD254" i="6"/>
  <c r="BD438" i="6" s="1"/>
  <c r="BC254" i="6"/>
  <c r="BC438" i="6" s="1"/>
  <c r="AY254" i="6"/>
  <c r="AY438" i="6" s="1"/>
  <c r="AW254" i="6"/>
  <c r="AW438" i="6" s="1"/>
  <c r="AV254" i="6"/>
  <c r="AV438" i="6" s="1"/>
  <c r="AU254" i="6"/>
  <c r="AU438" i="6" s="1"/>
  <c r="AT254" i="6"/>
  <c r="AT438" i="6" s="1"/>
  <c r="AS254" i="6"/>
  <c r="AS438" i="6" s="1"/>
  <c r="AQ254" i="6"/>
  <c r="AP254" i="6"/>
  <c r="AP438" i="6" s="1"/>
  <c r="AM254" i="6"/>
  <c r="AM438" i="6" s="1"/>
  <c r="AL254" i="6"/>
  <c r="AL438" i="6" s="1"/>
  <c r="AK254" i="6"/>
  <c r="AK438" i="6" s="1"/>
  <c r="AJ254" i="6"/>
  <c r="AJ438" i="6" s="1"/>
  <c r="AI254" i="6"/>
  <c r="AI438" i="6" s="1"/>
  <c r="AH254" i="6"/>
  <c r="AH438" i="6" s="1"/>
  <c r="AG254" i="6"/>
  <c r="AG438" i="6" s="1"/>
  <c r="AF254" i="6"/>
  <c r="AF438" i="6" s="1"/>
  <c r="AE254" i="6"/>
  <c r="AE438" i="6" s="1"/>
  <c r="AD254" i="6"/>
  <c r="AD438" i="6" s="1"/>
  <c r="BD253" i="6"/>
  <c r="BD437" i="6" s="1"/>
  <c r="BC253" i="6"/>
  <c r="BC437" i="6" s="1"/>
  <c r="BB253" i="6"/>
  <c r="BB437" i="6" s="1"/>
  <c r="BA253" i="6"/>
  <c r="BA437" i="6" s="1"/>
  <c r="AZ253" i="6"/>
  <c r="AZ437" i="6" s="1"/>
  <c r="AY253" i="6"/>
  <c r="AY437" i="6" s="1"/>
  <c r="AX253" i="6"/>
  <c r="AX437" i="6" s="1"/>
  <c r="AW253" i="6"/>
  <c r="AW437" i="6" s="1"/>
  <c r="AV253" i="6"/>
  <c r="AV437" i="6" s="1"/>
  <c r="AU253" i="6"/>
  <c r="AU437" i="6" s="1"/>
  <c r="AT253" i="6"/>
  <c r="AT437" i="6" s="1"/>
  <c r="AS253" i="6"/>
  <c r="AS437" i="6" s="1"/>
  <c r="AQ253" i="6"/>
  <c r="AP253" i="6"/>
  <c r="AP437" i="6" s="1"/>
  <c r="AO253" i="6"/>
  <c r="AO437" i="6" s="1"/>
  <c r="AN253" i="6"/>
  <c r="AN437" i="6" s="1"/>
  <c r="AM253" i="6"/>
  <c r="AM437" i="6" s="1"/>
  <c r="AL253" i="6"/>
  <c r="AL437" i="6" s="1"/>
  <c r="AK253" i="6"/>
  <c r="AK437" i="6" s="1"/>
  <c r="AJ253" i="6"/>
  <c r="AJ437" i="6" s="1"/>
  <c r="AI253" i="6"/>
  <c r="AI437" i="6" s="1"/>
  <c r="AH253" i="6"/>
  <c r="AH437" i="6" s="1"/>
  <c r="AG253" i="6"/>
  <c r="AG437" i="6" s="1"/>
  <c r="AF253" i="6"/>
  <c r="AF437" i="6" s="1"/>
  <c r="AE253" i="6"/>
  <c r="AE437" i="6" s="1"/>
  <c r="AD253" i="6"/>
  <c r="AD437" i="6" s="1"/>
  <c r="BD252" i="6"/>
  <c r="BD436" i="6" s="1"/>
  <c r="BC252" i="6"/>
  <c r="BC436" i="6" s="1"/>
  <c r="AZ252" i="6"/>
  <c r="AZ436" i="6" s="1"/>
  <c r="AY252" i="6"/>
  <c r="AY436" i="6" s="1"/>
  <c r="AX252" i="6"/>
  <c r="AX436" i="6" s="1"/>
  <c r="AW252" i="6"/>
  <c r="AW436" i="6" s="1"/>
  <c r="AV252" i="6"/>
  <c r="AV436" i="6" s="1"/>
  <c r="AU252" i="6"/>
  <c r="AU436" i="6" s="1"/>
  <c r="AT252" i="6"/>
  <c r="AT436" i="6" s="1"/>
  <c r="AS252" i="6"/>
  <c r="AS436" i="6" s="1"/>
  <c r="AQ252" i="6"/>
  <c r="AQ436" i="6" s="1"/>
  <c r="AO252" i="6"/>
  <c r="AO436" i="6" s="1"/>
  <c r="AN252" i="6"/>
  <c r="AN436" i="6" s="1"/>
  <c r="AM252" i="6"/>
  <c r="AM436" i="6" s="1"/>
  <c r="AL252" i="6"/>
  <c r="AL436" i="6" s="1"/>
  <c r="AK252" i="6"/>
  <c r="AK436" i="6" s="1"/>
  <c r="AJ252" i="6"/>
  <c r="AJ436" i="6" s="1"/>
  <c r="AI252" i="6"/>
  <c r="AI436" i="6" s="1"/>
  <c r="AH252" i="6"/>
  <c r="AH436" i="6" s="1"/>
  <c r="AG252" i="6"/>
  <c r="AG436" i="6" s="1"/>
  <c r="AF252" i="6"/>
  <c r="AF436" i="6" s="1"/>
  <c r="AE252" i="6"/>
  <c r="AE436" i="6" s="1"/>
  <c r="AD252" i="6"/>
  <c r="AD436" i="6" s="1"/>
  <c r="BD251" i="6"/>
  <c r="BD435" i="6" s="1"/>
  <c r="BC251" i="6"/>
  <c r="BC435" i="6" s="1"/>
  <c r="BB251" i="6"/>
  <c r="BB435" i="6" s="1"/>
  <c r="BA251" i="6"/>
  <c r="BA435" i="6" s="1"/>
  <c r="AZ251" i="6"/>
  <c r="AZ435" i="6" s="1"/>
  <c r="AY251" i="6"/>
  <c r="AY435" i="6" s="1"/>
  <c r="AX251" i="6"/>
  <c r="AX435" i="6" s="1"/>
  <c r="AW251" i="6"/>
  <c r="AW435" i="6" s="1"/>
  <c r="AV251" i="6"/>
  <c r="AV435" i="6" s="1"/>
  <c r="AU251" i="6"/>
  <c r="AU435" i="6" s="1"/>
  <c r="AT251" i="6"/>
  <c r="AT435" i="6" s="1"/>
  <c r="AS251" i="6"/>
  <c r="AS435" i="6" s="1"/>
  <c r="AQ251" i="6"/>
  <c r="AQ435" i="6" s="1"/>
  <c r="AK251" i="6"/>
  <c r="AK435" i="6" s="1"/>
  <c r="AJ251" i="6"/>
  <c r="AJ435" i="6" s="1"/>
  <c r="AI251" i="6"/>
  <c r="AI435" i="6" s="1"/>
  <c r="AH251" i="6"/>
  <c r="AH435" i="6" s="1"/>
  <c r="AG251" i="6"/>
  <c r="AG435" i="6" s="1"/>
  <c r="AF251" i="6"/>
  <c r="AF435" i="6" s="1"/>
  <c r="AE251" i="6"/>
  <c r="AE435" i="6" s="1"/>
  <c r="AD251" i="6"/>
  <c r="AD435" i="6" s="1"/>
  <c r="BD250" i="6"/>
  <c r="BD434" i="6" s="1"/>
  <c r="BC250" i="6"/>
  <c r="BC434" i="6" s="1"/>
  <c r="AY250" i="6"/>
  <c r="AY434" i="6" s="1"/>
  <c r="AX250" i="6"/>
  <c r="AX434" i="6" s="1"/>
  <c r="AW250" i="6"/>
  <c r="AW434" i="6" s="1"/>
  <c r="AV250" i="6"/>
  <c r="AV434" i="6" s="1"/>
  <c r="AU250" i="6"/>
  <c r="AU434" i="6" s="1"/>
  <c r="AT250" i="6"/>
  <c r="AT434" i="6" s="1"/>
  <c r="AS250" i="6"/>
  <c r="AS434" i="6" s="1"/>
  <c r="AP250" i="6"/>
  <c r="AP434" i="6" s="1"/>
  <c r="AO250" i="6"/>
  <c r="AO434" i="6" s="1"/>
  <c r="AN250" i="6"/>
  <c r="AN434" i="6" s="1"/>
  <c r="AM250" i="6"/>
  <c r="AM434" i="6" s="1"/>
  <c r="AL250" i="6"/>
  <c r="AL434" i="6" s="1"/>
  <c r="AK250" i="6"/>
  <c r="AK434" i="6" s="1"/>
  <c r="AJ250" i="6"/>
  <c r="AJ434" i="6" s="1"/>
  <c r="AI250" i="6"/>
  <c r="AI434" i="6" s="1"/>
  <c r="AH250" i="6"/>
  <c r="AH434" i="6" s="1"/>
  <c r="AG250" i="6"/>
  <c r="AG434" i="6" s="1"/>
  <c r="AF250" i="6"/>
  <c r="AF434" i="6" s="1"/>
  <c r="AE250" i="6"/>
  <c r="AE434" i="6" s="1"/>
  <c r="AD250" i="6"/>
  <c r="AD434" i="6" s="1"/>
  <c r="BD249" i="6"/>
  <c r="BD433" i="6" s="1"/>
  <c r="BC249" i="6"/>
  <c r="BC433" i="6" s="1"/>
  <c r="AY249" i="6"/>
  <c r="AY433" i="6" s="1"/>
  <c r="AV249" i="6"/>
  <c r="AV433" i="6" s="1"/>
  <c r="AU249" i="6"/>
  <c r="AU433" i="6" s="1"/>
  <c r="AT249" i="6"/>
  <c r="AT433" i="6" s="1"/>
  <c r="AS249" i="6"/>
  <c r="AS433" i="6" s="1"/>
  <c r="AP249" i="6"/>
  <c r="AP433" i="6" s="1"/>
  <c r="AO249" i="6"/>
  <c r="AO433" i="6" s="1"/>
  <c r="AN249" i="6"/>
  <c r="AN433" i="6" s="1"/>
  <c r="AM249" i="6"/>
  <c r="AM433" i="6" s="1"/>
  <c r="AL249" i="6"/>
  <c r="AL433" i="6" s="1"/>
  <c r="AK249" i="6"/>
  <c r="AK433" i="6" s="1"/>
  <c r="AJ249" i="6"/>
  <c r="AJ433" i="6" s="1"/>
  <c r="AI249" i="6"/>
  <c r="AI433" i="6" s="1"/>
  <c r="AH249" i="6"/>
  <c r="AH433" i="6" s="1"/>
  <c r="AG249" i="6"/>
  <c r="AG433" i="6" s="1"/>
  <c r="AF249" i="6"/>
  <c r="AF433" i="6" s="1"/>
  <c r="AE249" i="6"/>
  <c r="AE433" i="6" s="1"/>
  <c r="AD249" i="6"/>
  <c r="AD433" i="6" s="1"/>
  <c r="BD248" i="6"/>
  <c r="BD432" i="6" s="1"/>
  <c r="BC248" i="6"/>
  <c r="BC432" i="6" s="1"/>
  <c r="BB248" i="6"/>
  <c r="BB432" i="6" s="1"/>
  <c r="BA248" i="6"/>
  <c r="BA432" i="6" s="1"/>
  <c r="AZ248" i="6"/>
  <c r="AZ432" i="6" s="1"/>
  <c r="AY248" i="6"/>
  <c r="AY432" i="6" s="1"/>
  <c r="AX248" i="6"/>
  <c r="AX432" i="6" s="1"/>
  <c r="AW248" i="6"/>
  <c r="AW432" i="6" s="1"/>
  <c r="AV248" i="6"/>
  <c r="AV432" i="6" s="1"/>
  <c r="AU248" i="6"/>
  <c r="AU432" i="6" s="1"/>
  <c r="AT248" i="6"/>
  <c r="AT432" i="6" s="1"/>
  <c r="AS248" i="6"/>
  <c r="AS432" i="6" s="1"/>
  <c r="AR248" i="6"/>
  <c r="AR432" i="6" s="1"/>
  <c r="AQ248" i="6"/>
  <c r="AQ432" i="6" s="1"/>
  <c r="AP248" i="6"/>
  <c r="AP432" i="6" s="1"/>
  <c r="AO248" i="6"/>
  <c r="AO432" i="6" s="1"/>
  <c r="AN248" i="6"/>
  <c r="AN432" i="6" s="1"/>
  <c r="AM248" i="6"/>
  <c r="AM432" i="6" s="1"/>
  <c r="AL248" i="6"/>
  <c r="AL432" i="6" s="1"/>
  <c r="AK248" i="6"/>
  <c r="AK432" i="6" s="1"/>
  <c r="AJ248" i="6"/>
  <c r="AJ432" i="6" s="1"/>
  <c r="AI248" i="6"/>
  <c r="AI432" i="6" s="1"/>
  <c r="AH248" i="6"/>
  <c r="AH432" i="6" s="1"/>
  <c r="AG248" i="6"/>
  <c r="AG432" i="6" s="1"/>
  <c r="AF248" i="6"/>
  <c r="AF432" i="6" s="1"/>
  <c r="AE248" i="6"/>
  <c r="AE432" i="6" s="1"/>
  <c r="AD248" i="6"/>
  <c r="AD432" i="6" s="1"/>
  <c r="BD247" i="6"/>
  <c r="BD431" i="6" s="1"/>
  <c r="BC247" i="6"/>
  <c r="BC431" i="6" s="1"/>
  <c r="AY247" i="6"/>
  <c r="AY431" i="6" s="1"/>
  <c r="AX247" i="6"/>
  <c r="AX431" i="6" s="1"/>
  <c r="AW247" i="6"/>
  <c r="AW431" i="6" s="1"/>
  <c r="AV247" i="6"/>
  <c r="AV431" i="6" s="1"/>
  <c r="AT247" i="6"/>
  <c r="AT431" i="6" s="1"/>
  <c r="AS247" i="6"/>
  <c r="AS431" i="6" s="1"/>
  <c r="AR247" i="6"/>
  <c r="AR431" i="6" s="1"/>
  <c r="AQ247" i="6"/>
  <c r="AQ431" i="6" s="1"/>
  <c r="AP247" i="6"/>
  <c r="AP431" i="6" s="1"/>
  <c r="AO247" i="6"/>
  <c r="AO431" i="6" s="1"/>
  <c r="AN247" i="6"/>
  <c r="AN431" i="6" s="1"/>
  <c r="AM247" i="6"/>
  <c r="AM431" i="6" s="1"/>
  <c r="AL247" i="6"/>
  <c r="AL431" i="6" s="1"/>
  <c r="AK247" i="6"/>
  <c r="AK431" i="6" s="1"/>
  <c r="AJ247" i="6"/>
  <c r="AJ431" i="6" s="1"/>
  <c r="AI247" i="6"/>
  <c r="AI431" i="6" s="1"/>
  <c r="AH247" i="6"/>
  <c r="AH431" i="6" s="1"/>
  <c r="AG247" i="6"/>
  <c r="AG431" i="6" s="1"/>
  <c r="AF247" i="6"/>
  <c r="AF431" i="6" s="1"/>
  <c r="AE247" i="6"/>
  <c r="AE431" i="6" s="1"/>
  <c r="AD247" i="6"/>
  <c r="AD431" i="6" s="1"/>
  <c r="BD246" i="6"/>
  <c r="BD430" i="6" s="1"/>
  <c r="BC246" i="6"/>
  <c r="BC430" i="6" s="1"/>
  <c r="AY246" i="6"/>
  <c r="AY430" i="6" s="1"/>
  <c r="AW246" i="6"/>
  <c r="AW430" i="6" s="1"/>
  <c r="AV246" i="6"/>
  <c r="AV430" i="6" s="1"/>
  <c r="AT246" i="6"/>
  <c r="AT430" i="6" s="1"/>
  <c r="AR246" i="6"/>
  <c r="AR430" i="6" s="1"/>
  <c r="AQ246" i="6"/>
  <c r="AQ430" i="6" s="1"/>
  <c r="AP246" i="6"/>
  <c r="AP430" i="6" s="1"/>
  <c r="AO246" i="6"/>
  <c r="AO430" i="6" s="1"/>
  <c r="AN246" i="6"/>
  <c r="AN430" i="6" s="1"/>
  <c r="AM246" i="6"/>
  <c r="AM430" i="6" s="1"/>
  <c r="AL246" i="6"/>
  <c r="AL430" i="6" s="1"/>
  <c r="AK246" i="6"/>
  <c r="AK430" i="6" s="1"/>
  <c r="AJ246" i="6"/>
  <c r="AJ430" i="6" s="1"/>
  <c r="AI246" i="6"/>
  <c r="AI430" i="6" s="1"/>
  <c r="AH246" i="6"/>
  <c r="AH430" i="6" s="1"/>
  <c r="AG246" i="6"/>
  <c r="AG430" i="6" s="1"/>
  <c r="AF246" i="6"/>
  <c r="AF430" i="6" s="1"/>
  <c r="AE246" i="6"/>
  <c r="AE430" i="6" s="1"/>
  <c r="AD246" i="6"/>
  <c r="AD430" i="6" s="1"/>
  <c r="BD245" i="6"/>
  <c r="BD429" i="6" s="1"/>
  <c r="BC245" i="6"/>
  <c r="BC429" i="6" s="1"/>
  <c r="BB245" i="6"/>
  <c r="BB429" i="6" s="1"/>
  <c r="BA245" i="6"/>
  <c r="BA429" i="6" s="1"/>
  <c r="AZ245" i="6"/>
  <c r="AZ429" i="6" s="1"/>
  <c r="AY245" i="6"/>
  <c r="AY429" i="6" s="1"/>
  <c r="AX245" i="6"/>
  <c r="AX429" i="6" s="1"/>
  <c r="AW245" i="6"/>
  <c r="AW429" i="6" s="1"/>
  <c r="AV245" i="6"/>
  <c r="AV429" i="6" s="1"/>
  <c r="AR245" i="6"/>
  <c r="AR429" i="6" s="1"/>
  <c r="AQ245" i="6"/>
  <c r="AQ429" i="6" s="1"/>
  <c r="AP245" i="6"/>
  <c r="AP429" i="6" s="1"/>
  <c r="AO245" i="6"/>
  <c r="AO429" i="6" s="1"/>
  <c r="AN245" i="6"/>
  <c r="AN429" i="6" s="1"/>
  <c r="AM245" i="6"/>
  <c r="AM429" i="6" s="1"/>
  <c r="AL245" i="6"/>
  <c r="AL429" i="6" s="1"/>
  <c r="AK245" i="6"/>
  <c r="AK429" i="6" s="1"/>
  <c r="AJ245" i="6"/>
  <c r="AJ429" i="6" s="1"/>
  <c r="AI245" i="6"/>
  <c r="AI429" i="6" s="1"/>
  <c r="AH245" i="6"/>
  <c r="AH429" i="6" s="1"/>
  <c r="AG245" i="6"/>
  <c r="AG429" i="6" s="1"/>
  <c r="AF245" i="6"/>
  <c r="AF429" i="6" s="1"/>
  <c r="AE245" i="6"/>
  <c r="AE429" i="6" s="1"/>
  <c r="AD245" i="6"/>
  <c r="AD429" i="6" s="1"/>
  <c r="BD244" i="6"/>
  <c r="BD428" i="6" s="1"/>
  <c r="BC244" i="6"/>
  <c r="BC428" i="6" s="1"/>
  <c r="AY244" i="6"/>
  <c r="AY428" i="6" s="1"/>
  <c r="AX244" i="6"/>
  <c r="AX428" i="6" s="1"/>
  <c r="AW244" i="6"/>
  <c r="AW428" i="6" s="1"/>
  <c r="AV244" i="6"/>
  <c r="AV428" i="6" s="1"/>
  <c r="AR244" i="6"/>
  <c r="AR428" i="6" s="1"/>
  <c r="AQ244" i="6"/>
  <c r="AQ428" i="6" s="1"/>
  <c r="AP244" i="6"/>
  <c r="AP428" i="6" s="1"/>
  <c r="AO244" i="6"/>
  <c r="AO428" i="6" s="1"/>
  <c r="AN244" i="6"/>
  <c r="AN428" i="6" s="1"/>
  <c r="AM244" i="6"/>
  <c r="AM428" i="6" s="1"/>
  <c r="AL244" i="6"/>
  <c r="AL428" i="6" s="1"/>
  <c r="AK244" i="6"/>
  <c r="AK428" i="6" s="1"/>
  <c r="AJ244" i="6"/>
  <c r="AJ428" i="6" s="1"/>
  <c r="AI244" i="6"/>
  <c r="AI428" i="6" s="1"/>
  <c r="AH244" i="6"/>
  <c r="AH428" i="6" s="1"/>
  <c r="AG244" i="6"/>
  <c r="AG428" i="6" s="1"/>
  <c r="AF244" i="6"/>
  <c r="AF428" i="6" s="1"/>
  <c r="AE244" i="6"/>
  <c r="AE428" i="6" s="1"/>
  <c r="AD244" i="6"/>
  <c r="AD428" i="6" s="1"/>
  <c r="BD243" i="6"/>
  <c r="BD427" i="6" s="1"/>
  <c r="BC243" i="6"/>
  <c r="BC427" i="6" s="1"/>
  <c r="AY243" i="6"/>
  <c r="AY427" i="6" s="1"/>
  <c r="AV243" i="6"/>
  <c r="AV427" i="6" s="1"/>
  <c r="AU243" i="6"/>
  <c r="AU427" i="6" s="1"/>
  <c r="AT243" i="6"/>
  <c r="AT427" i="6" s="1"/>
  <c r="AS243" i="6"/>
  <c r="AS427" i="6" s="1"/>
  <c r="AR243" i="6"/>
  <c r="AR427" i="6" s="1"/>
  <c r="AQ243" i="6"/>
  <c r="AQ427" i="6" s="1"/>
  <c r="AP243" i="6"/>
  <c r="AP427" i="6" s="1"/>
  <c r="AO243" i="6"/>
  <c r="AO427" i="6" s="1"/>
  <c r="AN243" i="6"/>
  <c r="AN427" i="6" s="1"/>
  <c r="AM243" i="6"/>
  <c r="AM427" i="6" s="1"/>
  <c r="AL243" i="6"/>
  <c r="AL427" i="6" s="1"/>
  <c r="AK243" i="6"/>
  <c r="AK427" i="6" s="1"/>
  <c r="AJ243" i="6"/>
  <c r="AJ427" i="6" s="1"/>
  <c r="AI243" i="6"/>
  <c r="AI427" i="6" s="1"/>
  <c r="AH243" i="6"/>
  <c r="AH427" i="6" s="1"/>
  <c r="AG243" i="6"/>
  <c r="AG427" i="6" s="1"/>
  <c r="AF243" i="6"/>
  <c r="AF427" i="6" s="1"/>
  <c r="AE243" i="6"/>
  <c r="AE427" i="6" s="1"/>
  <c r="AD243" i="6"/>
  <c r="AD427" i="6" s="1"/>
  <c r="BD242" i="6"/>
  <c r="BD426" i="6" s="1"/>
  <c r="BC242" i="6"/>
  <c r="BC426" i="6" s="1"/>
  <c r="BB242" i="6"/>
  <c r="BB426" i="6" s="1"/>
  <c r="BA242" i="6"/>
  <c r="BA426" i="6" s="1"/>
  <c r="AZ242" i="6"/>
  <c r="AZ426" i="6" s="1"/>
  <c r="AY242" i="6"/>
  <c r="AY426" i="6" s="1"/>
  <c r="AX242" i="6"/>
  <c r="AX426" i="6" s="1"/>
  <c r="AW242" i="6"/>
  <c r="AW426" i="6" s="1"/>
  <c r="AV242" i="6"/>
  <c r="AV426" i="6" s="1"/>
  <c r="AU242" i="6"/>
  <c r="AU426" i="6" s="1"/>
  <c r="AT242" i="6"/>
  <c r="AT426" i="6" s="1"/>
  <c r="AS242" i="6"/>
  <c r="AS426" i="6" s="1"/>
  <c r="AR242" i="6"/>
  <c r="AR426" i="6" s="1"/>
  <c r="AQ242" i="6"/>
  <c r="AQ426" i="6" s="1"/>
  <c r="AP242" i="6"/>
  <c r="AP426" i="6" s="1"/>
  <c r="AO242" i="6"/>
  <c r="AO426" i="6" s="1"/>
  <c r="AN242" i="6"/>
  <c r="AN426" i="6" s="1"/>
  <c r="AM242" i="6"/>
  <c r="AM426" i="6" s="1"/>
  <c r="AL242" i="6"/>
  <c r="AL426" i="6" s="1"/>
  <c r="AK242" i="6"/>
  <c r="AK426" i="6" s="1"/>
  <c r="AJ242" i="6"/>
  <c r="AJ426" i="6" s="1"/>
  <c r="AI242" i="6"/>
  <c r="AI426" i="6" s="1"/>
  <c r="AH242" i="6"/>
  <c r="AH426" i="6" s="1"/>
  <c r="AG242" i="6"/>
  <c r="AG426" i="6" s="1"/>
  <c r="AF242" i="6"/>
  <c r="AF426" i="6" s="1"/>
  <c r="AE242" i="6"/>
  <c r="AE426" i="6" s="1"/>
  <c r="AD242" i="6"/>
  <c r="AD426" i="6" s="1"/>
  <c r="BD241" i="6"/>
  <c r="BD425" i="6" s="1"/>
  <c r="BC241" i="6"/>
  <c r="BC425" i="6" s="1"/>
  <c r="AZ241" i="6"/>
  <c r="AZ425" i="6" s="1"/>
  <c r="AY241" i="6"/>
  <c r="AY425" i="6" s="1"/>
  <c r="AX241" i="6"/>
  <c r="AX425" i="6" s="1"/>
  <c r="AW241" i="6"/>
  <c r="AW425" i="6" s="1"/>
  <c r="AV241" i="6"/>
  <c r="AV425" i="6" s="1"/>
  <c r="AU241" i="6"/>
  <c r="AU425" i="6" s="1"/>
  <c r="AT241" i="6"/>
  <c r="AT425" i="6" s="1"/>
  <c r="AS241" i="6"/>
  <c r="AS425" i="6" s="1"/>
  <c r="AR241" i="6"/>
  <c r="AR425" i="6" s="1"/>
  <c r="AQ241" i="6"/>
  <c r="AQ425" i="6" s="1"/>
  <c r="AP241" i="6"/>
  <c r="AP425" i="6" s="1"/>
  <c r="AO241" i="6"/>
  <c r="AO425" i="6" s="1"/>
  <c r="AN241" i="6"/>
  <c r="AN425" i="6" s="1"/>
  <c r="AM241" i="6"/>
  <c r="AM425" i="6" s="1"/>
  <c r="AL241" i="6"/>
  <c r="AL425" i="6" s="1"/>
  <c r="AK241" i="6"/>
  <c r="AK425" i="6" s="1"/>
  <c r="AJ241" i="6"/>
  <c r="AJ425" i="6" s="1"/>
  <c r="AI241" i="6"/>
  <c r="AH241" i="6"/>
  <c r="AG241" i="6"/>
  <c r="AG425" i="6" s="1"/>
  <c r="AF241" i="6"/>
  <c r="AF425" i="6" s="1"/>
  <c r="AE241" i="6"/>
  <c r="AE425" i="6" s="1"/>
  <c r="AD241" i="6"/>
  <c r="AD425" i="6" s="1"/>
  <c r="BD240" i="6"/>
  <c r="BD424" i="6" s="1"/>
  <c r="BC240" i="6"/>
  <c r="BC424" i="6" s="1"/>
  <c r="BB240" i="6"/>
  <c r="BB424" i="6" s="1"/>
  <c r="BA240" i="6"/>
  <c r="BA424" i="6" s="1"/>
  <c r="AY240" i="6"/>
  <c r="AY424" i="6" s="1"/>
  <c r="AX240" i="6"/>
  <c r="AX424" i="6" s="1"/>
  <c r="AW240" i="6"/>
  <c r="AW424" i="6" s="1"/>
  <c r="AV240" i="6"/>
  <c r="AV424" i="6" s="1"/>
  <c r="AU240" i="6"/>
  <c r="AU424" i="6" s="1"/>
  <c r="AT240" i="6"/>
  <c r="AT424" i="6" s="1"/>
  <c r="AS240" i="6"/>
  <c r="AS424" i="6" s="1"/>
  <c r="AR240" i="6"/>
  <c r="AR424" i="6" s="1"/>
  <c r="AQ240" i="6"/>
  <c r="AQ424" i="6" s="1"/>
  <c r="AP240" i="6"/>
  <c r="AP424" i="6" s="1"/>
  <c r="AO240" i="6"/>
  <c r="AO424" i="6" s="1"/>
  <c r="AN240" i="6"/>
  <c r="AN424" i="6" s="1"/>
  <c r="AM240" i="6"/>
  <c r="AM424" i="6" s="1"/>
  <c r="AL240" i="6"/>
  <c r="AL424" i="6" s="1"/>
  <c r="AK240" i="6"/>
  <c r="AK424" i="6" s="1"/>
  <c r="AJ240" i="6"/>
  <c r="AJ424" i="6" s="1"/>
  <c r="AG240" i="6"/>
  <c r="AG424" i="6" s="1"/>
  <c r="AF240" i="6"/>
  <c r="AF424" i="6" s="1"/>
  <c r="AE240" i="6"/>
  <c r="AE424" i="6" s="1"/>
  <c r="AD240" i="6"/>
  <c r="AD424" i="6" s="1"/>
  <c r="BD239" i="6"/>
  <c r="BD423" i="6" s="1"/>
  <c r="BC239" i="6"/>
  <c r="BC423" i="6" s="1"/>
  <c r="BB239" i="6"/>
  <c r="BB423" i="6" s="1"/>
  <c r="BA239" i="6"/>
  <c r="BA423" i="6" s="1"/>
  <c r="AY239" i="6"/>
  <c r="AY423" i="6" s="1"/>
  <c r="AX239" i="6"/>
  <c r="AX423" i="6" s="1"/>
  <c r="AW239" i="6"/>
  <c r="AW423" i="6" s="1"/>
  <c r="AV239" i="6"/>
  <c r="AV423" i="6" s="1"/>
  <c r="AT239" i="6"/>
  <c r="AT423" i="6" s="1"/>
  <c r="AS239" i="6"/>
  <c r="AS423" i="6" s="1"/>
  <c r="AR239" i="6"/>
  <c r="AR423" i="6" s="1"/>
  <c r="AQ239" i="6"/>
  <c r="AQ423" i="6" s="1"/>
  <c r="AP239" i="6"/>
  <c r="AP423" i="6" s="1"/>
  <c r="AN239" i="6"/>
  <c r="AN423" i="6" s="1"/>
  <c r="AM239" i="6"/>
  <c r="AM423" i="6" s="1"/>
  <c r="AL239" i="6"/>
  <c r="AL423" i="6" s="1"/>
  <c r="AK239" i="6"/>
  <c r="AK423" i="6" s="1"/>
  <c r="AJ239" i="6"/>
  <c r="AJ423" i="6" s="1"/>
  <c r="AG239" i="6"/>
  <c r="AG423" i="6" s="1"/>
  <c r="AF239" i="6"/>
  <c r="AF423" i="6" s="1"/>
  <c r="AE239" i="6"/>
  <c r="AE423" i="6" s="1"/>
  <c r="AD239" i="6"/>
  <c r="AD423" i="6" s="1"/>
  <c r="BD238" i="6"/>
  <c r="BD422" i="6" s="1"/>
  <c r="BC238" i="6"/>
  <c r="BC422" i="6" s="1"/>
  <c r="BB238" i="6"/>
  <c r="BB422" i="6" s="1"/>
  <c r="BA238" i="6"/>
  <c r="BA422" i="6" s="1"/>
  <c r="AZ238" i="6"/>
  <c r="AZ422" i="6" s="1"/>
  <c r="AY238" i="6"/>
  <c r="AY422" i="6" s="1"/>
  <c r="AX238" i="6"/>
  <c r="AX422" i="6" s="1"/>
  <c r="AW238" i="6"/>
  <c r="AW422" i="6" s="1"/>
  <c r="AV238" i="6"/>
  <c r="AV422" i="6" s="1"/>
  <c r="AU238" i="6"/>
  <c r="AU422" i="6" s="1"/>
  <c r="AT238" i="6"/>
  <c r="AT422" i="6" s="1"/>
  <c r="AS238" i="6"/>
  <c r="AS422" i="6" s="1"/>
  <c r="AR238" i="6"/>
  <c r="AR422" i="6" s="1"/>
  <c r="AQ238" i="6"/>
  <c r="AQ422" i="6" s="1"/>
  <c r="AP238" i="6"/>
  <c r="AP422" i="6" s="1"/>
  <c r="AO238" i="6"/>
  <c r="AO422" i="6" s="1"/>
  <c r="AN238" i="6"/>
  <c r="AN422" i="6" s="1"/>
  <c r="AM238" i="6"/>
  <c r="AM422" i="6" s="1"/>
  <c r="AL238" i="6"/>
  <c r="AL422" i="6" s="1"/>
  <c r="AK238" i="6"/>
  <c r="AK422" i="6" s="1"/>
  <c r="AJ238" i="6"/>
  <c r="AJ422" i="6" s="1"/>
  <c r="AH238" i="6"/>
  <c r="AH422" i="6" s="1"/>
  <c r="AG238" i="6"/>
  <c r="AG422" i="6" s="1"/>
  <c r="AF238" i="6"/>
  <c r="AF422" i="6" s="1"/>
  <c r="AE238" i="6"/>
  <c r="AE422" i="6" s="1"/>
  <c r="AD238" i="6"/>
  <c r="AD422" i="6" s="1"/>
  <c r="BD237" i="6"/>
  <c r="BD421" i="6" s="1"/>
  <c r="BC237" i="6"/>
  <c r="BC421" i="6" s="1"/>
  <c r="BB237" i="6"/>
  <c r="BB421" i="6" s="1"/>
  <c r="BA237" i="6"/>
  <c r="BA421" i="6" s="1"/>
  <c r="AZ237" i="6"/>
  <c r="AZ421" i="6" s="1"/>
  <c r="AY237" i="6"/>
  <c r="AY421" i="6" s="1"/>
  <c r="AX237" i="6"/>
  <c r="AX421" i="6" s="1"/>
  <c r="AW237" i="6"/>
  <c r="AW421" i="6" s="1"/>
  <c r="AV237" i="6"/>
  <c r="AV421" i="6" s="1"/>
  <c r="AU237" i="6"/>
  <c r="AU421" i="6" s="1"/>
  <c r="AT237" i="6"/>
  <c r="AT421" i="6" s="1"/>
  <c r="AS237" i="6"/>
  <c r="AS421" i="6" s="1"/>
  <c r="AR237" i="6"/>
  <c r="AR421" i="6" s="1"/>
  <c r="AQ237" i="6"/>
  <c r="AQ421" i="6" s="1"/>
  <c r="AP237" i="6"/>
  <c r="AP421" i="6" s="1"/>
  <c r="AO237" i="6"/>
  <c r="AO421" i="6" s="1"/>
  <c r="AN237" i="6"/>
  <c r="AN421" i="6" s="1"/>
  <c r="AM237" i="6"/>
  <c r="AM421" i="6" s="1"/>
  <c r="AL237" i="6"/>
  <c r="AL421" i="6" s="1"/>
  <c r="AK237" i="6"/>
  <c r="AK421" i="6" s="1"/>
  <c r="AJ237" i="6"/>
  <c r="AJ421" i="6" s="1"/>
  <c r="AG237" i="6"/>
  <c r="AG421" i="6" s="1"/>
  <c r="AF237" i="6"/>
  <c r="AF421" i="6" s="1"/>
  <c r="AE237" i="6"/>
  <c r="AE421" i="6" s="1"/>
  <c r="AD237" i="6"/>
  <c r="AD421" i="6" s="1"/>
  <c r="BD236" i="6"/>
  <c r="BD420" i="6" s="1"/>
  <c r="BC236" i="6"/>
  <c r="BC420" i="6" s="1"/>
  <c r="BB236" i="6"/>
  <c r="BB420" i="6" s="1"/>
  <c r="BA236" i="6"/>
  <c r="BA420" i="6" s="1"/>
  <c r="AZ236" i="6"/>
  <c r="AZ420" i="6" s="1"/>
  <c r="AY236" i="6"/>
  <c r="AY420" i="6" s="1"/>
  <c r="AX236" i="6"/>
  <c r="AX420" i="6" s="1"/>
  <c r="AW236" i="6"/>
  <c r="AW420" i="6" s="1"/>
  <c r="AV236" i="6"/>
  <c r="AV420" i="6" s="1"/>
  <c r="AU236" i="6"/>
  <c r="AU420" i="6" s="1"/>
  <c r="AT236" i="6"/>
  <c r="AT420" i="6" s="1"/>
  <c r="AS236" i="6"/>
  <c r="AS420" i="6" s="1"/>
  <c r="AR236" i="6"/>
  <c r="AR420" i="6" s="1"/>
  <c r="AQ236" i="6"/>
  <c r="AQ420" i="6" s="1"/>
  <c r="AP236" i="6"/>
  <c r="AP420" i="6" s="1"/>
  <c r="AO236" i="6"/>
  <c r="AO420" i="6" s="1"/>
  <c r="AN236" i="6"/>
  <c r="AN420" i="6" s="1"/>
  <c r="AM236" i="6"/>
  <c r="AM420" i="6" s="1"/>
  <c r="AL236" i="6"/>
  <c r="AL420" i="6" s="1"/>
  <c r="AK236" i="6"/>
  <c r="AK420" i="6" s="1"/>
  <c r="AJ236" i="6"/>
  <c r="AJ420" i="6" s="1"/>
  <c r="AG236" i="6"/>
  <c r="AG420" i="6" s="1"/>
  <c r="AF236" i="6"/>
  <c r="AF420" i="6" s="1"/>
  <c r="AE236" i="6"/>
  <c r="AE420" i="6" s="1"/>
  <c r="AD236" i="6"/>
  <c r="AD420" i="6" s="1"/>
  <c r="BD235" i="6"/>
  <c r="BD419" i="6" s="1"/>
  <c r="BC235" i="6"/>
  <c r="BC419" i="6" s="1"/>
  <c r="BB235" i="6"/>
  <c r="BB419" i="6" s="1"/>
  <c r="BA235" i="6"/>
  <c r="BA419" i="6" s="1"/>
  <c r="AZ235" i="6"/>
  <c r="AZ419" i="6" s="1"/>
  <c r="AY235" i="6"/>
  <c r="AY419" i="6" s="1"/>
  <c r="AX235" i="6"/>
  <c r="AX419" i="6" s="1"/>
  <c r="AW235" i="6"/>
  <c r="AW419" i="6" s="1"/>
  <c r="AV235" i="6"/>
  <c r="AV419" i="6" s="1"/>
  <c r="AU235" i="6"/>
  <c r="AU419" i="6" s="1"/>
  <c r="AT235" i="6"/>
  <c r="AT419" i="6" s="1"/>
  <c r="AS235" i="6"/>
  <c r="AS419" i="6" s="1"/>
  <c r="AR235" i="6"/>
  <c r="AR419" i="6" s="1"/>
  <c r="AQ235" i="6"/>
  <c r="AQ419" i="6" s="1"/>
  <c r="AP235" i="6"/>
  <c r="AP419" i="6" s="1"/>
  <c r="AO235" i="6"/>
  <c r="AO419" i="6" s="1"/>
  <c r="AN235" i="6"/>
  <c r="AN419" i="6" s="1"/>
  <c r="AM235" i="6"/>
  <c r="AM419" i="6" s="1"/>
  <c r="AL235" i="6"/>
  <c r="AL419" i="6" s="1"/>
  <c r="AK235" i="6"/>
  <c r="AK419" i="6" s="1"/>
  <c r="AJ235" i="6"/>
  <c r="AJ419" i="6" s="1"/>
  <c r="AG235" i="6"/>
  <c r="AG419" i="6" s="1"/>
  <c r="AF235" i="6"/>
  <c r="AF419" i="6" s="1"/>
  <c r="AE235" i="6"/>
  <c r="AE419" i="6" s="1"/>
  <c r="AD235" i="6"/>
  <c r="AD419" i="6" s="1"/>
  <c r="BD234" i="6"/>
  <c r="BD418" i="6" s="1"/>
  <c r="BC234" i="6"/>
  <c r="BC418" i="6" s="1"/>
  <c r="BB234" i="6"/>
  <c r="BB418" i="6" s="1"/>
  <c r="BA234" i="6"/>
  <c r="BA418" i="6" s="1"/>
  <c r="AY234" i="6"/>
  <c r="AY418" i="6" s="1"/>
  <c r="AX234" i="6"/>
  <c r="AX418" i="6" s="1"/>
  <c r="AW234" i="6"/>
  <c r="AW418" i="6" s="1"/>
  <c r="AU234" i="6"/>
  <c r="AU418" i="6" s="1"/>
  <c r="AT234" i="6"/>
  <c r="AT418" i="6" s="1"/>
  <c r="AS234" i="6"/>
  <c r="AS418" i="6" s="1"/>
  <c r="AR234" i="6"/>
  <c r="AR418" i="6" s="1"/>
  <c r="AQ234" i="6"/>
  <c r="AQ418" i="6" s="1"/>
  <c r="AP234" i="6"/>
  <c r="AP418" i="6" s="1"/>
  <c r="AO234" i="6"/>
  <c r="AO418" i="6" s="1"/>
  <c r="AN234" i="6"/>
  <c r="AN418" i="6" s="1"/>
  <c r="AM234" i="6"/>
  <c r="AM418" i="6" s="1"/>
  <c r="AL234" i="6"/>
  <c r="AL418" i="6" s="1"/>
  <c r="AK234" i="6"/>
  <c r="AK418" i="6" s="1"/>
  <c r="AJ234" i="6"/>
  <c r="AJ418" i="6" s="1"/>
  <c r="AI234" i="6"/>
  <c r="AI418" i="6" s="1"/>
  <c r="AH234" i="6"/>
  <c r="AH418" i="6" s="1"/>
  <c r="AG234" i="6"/>
  <c r="AG418" i="6" s="1"/>
  <c r="AF234" i="6"/>
  <c r="AF418" i="6" s="1"/>
  <c r="AE234" i="6"/>
  <c r="AE418" i="6" s="1"/>
  <c r="AD234" i="6"/>
  <c r="AD418" i="6" s="1"/>
  <c r="BD233" i="6"/>
  <c r="BD417" i="6" s="1"/>
  <c r="BC233" i="6"/>
  <c r="BC417" i="6" s="1"/>
  <c r="BB233" i="6"/>
  <c r="BB417" i="6" s="1"/>
  <c r="BA233" i="6"/>
  <c r="BA417" i="6" s="1"/>
  <c r="AZ233" i="6"/>
  <c r="AZ417" i="6" s="1"/>
  <c r="AY233" i="6"/>
  <c r="AY417" i="6" s="1"/>
  <c r="AX233" i="6"/>
  <c r="AX417" i="6" s="1"/>
  <c r="AW233" i="6"/>
  <c r="AW417" i="6" s="1"/>
  <c r="AV233" i="6"/>
  <c r="AV417" i="6" s="1"/>
  <c r="AU233" i="6"/>
  <c r="AU417" i="6" s="1"/>
  <c r="AT233" i="6"/>
  <c r="AT417" i="6" s="1"/>
  <c r="AS233" i="6"/>
  <c r="AS417" i="6" s="1"/>
  <c r="AR233" i="6"/>
  <c r="AR417" i="6" s="1"/>
  <c r="AQ233" i="6"/>
  <c r="AQ417" i="6" s="1"/>
  <c r="AP233" i="6"/>
  <c r="AP417" i="6" s="1"/>
  <c r="AO233" i="6"/>
  <c r="AO417" i="6" s="1"/>
  <c r="AN233" i="6"/>
  <c r="AN417" i="6" s="1"/>
  <c r="AM233" i="6"/>
  <c r="AM417" i="6" s="1"/>
  <c r="AL233" i="6"/>
  <c r="AL417" i="6" s="1"/>
  <c r="AK233" i="6"/>
  <c r="AK417" i="6" s="1"/>
  <c r="AJ233" i="6"/>
  <c r="AJ417" i="6" s="1"/>
  <c r="AI233" i="6"/>
  <c r="AI417" i="6" s="1"/>
  <c r="AH233" i="6"/>
  <c r="AH417" i="6" s="1"/>
  <c r="AG233" i="6"/>
  <c r="AG417" i="6" s="1"/>
  <c r="AF233" i="6"/>
  <c r="AF417" i="6" s="1"/>
  <c r="AE233" i="6"/>
  <c r="AE417" i="6" s="1"/>
  <c r="AD233" i="6"/>
  <c r="AD417" i="6" s="1"/>
  <c r="BD232" i="6"/>
  <c r="BD416" i="6" s="1"/>
  <c r="BC232" i="6"/>
  <c r="BC416" i="6" s="1"/>
  <c r="BB232" i="6"/>
  <c r="BB416" i="6" s="1"/>
  <c r="BA232" i="6"/>
  <c r="BA416" i="6" s="1"/>
  <c r="AZ232" i="6"/>
  <c r="AZ416" i="6" s="1"/>
  <c r="AY232" i="6"/>
  <c r="AY416" i="6" s="1"/>
  <c r="AU232" i="6"/>
  <c r="AU416" i="6" s="1"/>
  <c r="AT232" i="6"/>
  <c r="AT416" i="6" s="1"/>
  <c r="AS232" i="6"/>
  <c r="AS416" i="6" s="1"/>
  <c r="AR232" i="6"/>
  <c r="AR416" i="6" s="1"/>
  <c r="AQ232" i="6"/>
  <c r="AQ416" i="6" s="1"/>
  <c r="AP232" i="6"/>
  <c r="AP416" i="6" s="1"/>
  <c r="AO232" i="6"/>
  <c r="AO416" i="6" s="1"/>
  <c r="AN232" i="6"/>
  <c r="AN416" i="6" s="1"/>
  <c r="AM232" i="6"/>
  <c r="AM416" i="6" s="1"/>
  <c r="AL232" i="6"/>
  <c r="AL416" i="6" s="1"/>
  <c r="AK232" i="6"/>
  <c r="AK416" i="6" s="1"/>
  <c r="AJ232" i="6"/>
  <c r="AJ416" i="6" s="1"/>
  <c r="AI232" i="6"/>
  <c r="AI416" i="6" s="1"/>
  <c r="AH232" i="6"/>
  <c r="AH416" i="6" s="1"/>
  <c r="AG232" i="6"/>
  <c r="AG416" i="6" s="1"/>
  <c r="AF232" i="6"/>
  <c r="AF416" i="6" s="1"/>
  <c r="AE232" i="6"/>
  <c r="AE416" i="6" s="1"/>
  <c r="AD232" i="6"/>
  <c r="AD416" i="6" s="1"/>
  <c r="BD231" i="6"/>
  <c r="BD415" i="6" s="1"/>
  <c r="BC231" i="6"/>
  <c r="BC415" i="6" s="1"/>
  <c r="BB231" i="6"/>
  <c r="BB415" i="6" s="1"/>
  <c r="BA231" i="6"/>
  <c r="BA415" i="6" s="1"/>
  <c r="AZ231" i="6"/>
  <c r="AZ415" i="6" s="1"/>
  <c r="AY231" i="6"/>
  <c r="AY415" i="6" s="1"/>
  <c r="AU231" i="6"/>
  <c r="AU415" i="6" s="1"/>
  <c r="AT231" i="6"/>
  <c r="AT415" i="6" s="1"/>
  <c r="AS231" i="6"/>
  <c r="AS415" i="6" s="1"/>
  <c r="AP231" i="6"/>
  <c r="AP415" i="6" s="1"/>
  <c r="AO231" i="6"/>
  <c r="AO415" i="6" s="1"/>
  <c r="AN231" i="6"/>
  <c r="AN415" i="6" s="1"/>
  <c r="AM231" i="6"/>
  <c r="AM415" i="6" s="1"/>
  <c r="AL231" i="6"/>
  <c r="AL415" i="6" s="1"/>
  <c r="AK231" i="6"/>
  <c r="AK415" i="6" s="1"/>
  <c r="AJ231" i="6"/>
  <c r="AJ415" i="6" s="1"/>
  <c r="AI231" i="6"/>
  <c r="AI415" i="6" s="1"/>
  <c r="AH231" i="6"/>
  <c r="AH415" i="6" s="1"/>
  <c r="AG231" i="6"/>
  <c r="AG415" i="6" s="1"/>
  <c r="AF231" i="6"/>
  <c r="AF415" i="6" s="1"/>
  <c r="AE231" i="6"/>
  <c r="AE415" i="6" s="1"/>
  <c r="AD231" i="6"/>
  <c r="AD415" i="6" s="1"/>
  <c r="BD230" i="6"/>
  <c r="BD414" i="6" s="1"/>
  <c r="BC230" i="6"/>
  <c r="BC414" i="6" s="1"/>
  <c r="BB230" i="6"/>
  <c r="BB414" i="6" s="1"/>
  <c r="BA230" i="6"/>
  <c r="BA414" i="6" s="1"/>
  <c r="AZ230" i="6"/>
  <c r="AZ414" i="6" s="1"/>
  <c r="AY230" i="6"/>
  <c r="AY414" i="6" s="1"/>
  <c r="AX230" i="6"/>
  <c r="AX414" i="6" s="1"/>
  <c r="AW230" i="6"/>
  <c r="AW414" i="6" s="1"/>
  <c r="AV230" i="6"/>
  <c r="AV414" i="6" s="1"/>
  <c r="AU230" i="6"/>
  <c r="AU414" i="6" s="1"/>
  <c r="AT230" i="6"/>
  <c r="AT414" i="6" s="1"/>
  <c r="AS230" i="6"/>
  <c r="AS414" i="6" s="1"/>
  <c r="AP230" i="6"/>
  <c r="AP414" i="6" s="1"/>
  <c r="AO230" i="6"/>
  <c r="AO414" i="6" s="1"/>
  <c r="AN230" i="6"/>
  <c r="AN414" i="6" s="1"/>
  <c r="AM230" i="6"/>
  <c r="AM414" i="6" s="1"/>
  <c r="AL230" i="6"/>
  <c r="AL414" i="6" s="1"/>
  <c r="AK230" i="6"/>
  <c r="AK414" i="6" s="1"/>
  <c r="AJ230" i="6"/>
  <c r="AJ414" i="6" s="1"/>
  <c r="AI230" i="6"/>
  <c r="AI414" i="6" s="1"/>
  <c r="AH230" i="6"/>
  <c r="AH414" i="6" s="1"/>
  <c r="AG230" i="6"/>
  <c r="AG414" i="6" s="1"/>
  <c r="AF230" i="6"/>
  <c r="AF414" i="6" s="1"/>
  <c r="AE230" i="6"/>
  <c r="AE414" i="6" s="1"/>
  <c r="AD230" i="6"/>
  <c r="AD414" i="6" s="1"/>
  <c r="BD229" i="6"/>
  <c r="BD413" i="6" s="1"/>
  <c r="BC229" i="6"/>
  <c r="BC413" i="6" s="1"/>
  <c r="BB229" i="6"/>
  <c r="BB413" i="6" s="1"/>
  <c r="BA229" i="6"/>
  <c r="BA413" i="6" s="1"/>
  <c r="AZ229" i="6"/>
  <c r="AZ413" i="6" s="1"/>
  <c r="AY229" i="6"/>
  <c r="AY413" i="6" s="1"/>
  <c r="AU229" i="6"/>
  <c r="AU413" i="6" s="1"/>
  <c r="AT229" i="6"/>
  <c r="AT413" i="6" s="1"/>
  <c r="AS229" i="6"/>
  <c r="AS413" i="6" s="1"/>
  <c r="AQ229" i="6"/>
  <c r="AQ413" i="6" s="1"/>
  <c r="AN229" i="6"/>
  <c r="AN413" i="6" s="1"/>
  <c r="AM229" i="6"/>
  <c r="AM413" i="6" s="1"/>
  <c r="AL229" i="6"/>
  <c r="AL413" i="6" s="1"/>
  <c r="AK229" i="6"/>
  <c r="AK413" i="6" s="1"/>
  <c r="AJ229" i="6"/>
  <c r="AJ413" i="6" s="1"/>
  <c r="AI229" i="6"/>
  <c r="AI413" i="6" s="1"/>
  <c r="AH229" i="6"/>
  <c r="AH413" i="6" s="1"/>
  <c r="AG229" i="6"/>
  <c r="AG413" i="6" s="1"/>
  <c r="AF229" i="6"/>
  <c r="AF413" i="6" s="1"/>
  <c r="AE229" i="6"/>
  <c r="AE413" i="6" s="1"/>
  <c r="AD229" i="6"/>
  <c r="AD413" i="6" s="1"/>
  <c r="BD228" i="6"/>
  <c r="BD412" i="6" s="1"/>
  <c r="BC228" i="6"/>
  <c r="BC412" i="6" s="1"/>
  <c r="BB228" i="6"/>
  <c r="BB412" i="6" s="1"/>
  <c r="BA228" i="6"/>
  <c r="BA412" i="6" s="1"/>
  <c r="AZ228" i="6"/>
  <c r="AZ412" i="6" s="1"/>
  <c r="AY228" i="6"/>
  <c r="AY412" i="6" s="1"/>
  <c r="AU228" i="6"/>
  <c r="AU412" i="6" s="1"/>
  <c r="AT228" i="6"/>
  <c r="AT412" i="6" s="1"/>
  <c r="AS228" i="6"/>
  <c r="AS412" i="6" s="1"/>
  <c r="AQ228" i="6"/>
  <c r="AQ412" i="6" s="1"/>
  <c r="AP228" i="6"/>
  <c r="AP412" i="6" s="1"/>
  <c r="AM228" i="6"/>
  <c r="AM412" i="6" s="1"/>
  <c r="AL228" i="6"/>
  <c r="AL412" i="6" s="1"/>
  <c r="AK228" i="6"/>
  <c r="AK412" i="6" s="1"/>
  <c r="AJ228" i="6"/>
  <c r="AJ412" i="6" s="1"/>
  <c r="AI228" i="6"/>
  <c r="AI412" i="6" s="1"/>
  <c r="AH228" i="6"/>
  <c r="AH412" i="6" s="1"/>
  <c r="AG228" i="6"/>
  <c r="AG412" i="6" s="1"/>
  <c r="AF228" i="6"/>
  <c r="AF412" i="6" s="1"/>
  <c r="AE228" i="6"/>
  <c r="AE412" i="6" s="1"/>
  <c r="AD228" i="6"/>
  <c r="AD412" i="6" s="1"/>
  <c r="BD227" i="6"/>
  <c r="BD411" i="6" s="1"/>
  <c r="BC227" i="6"/>
  <c r="BC411" i="6" s="1"/>
  <c r="BB227" i="6"/>
  <c r="BB411" i="6" s="1"/>
  <c r="BA227" i="6"/>
  <c r="BA411" i="6" s="1"/>
  <c r="AZ227" i="6"/>
  <c r="AZ411" i="6" s="1"/>
  <c r="AY227" i="6"/>
  <c r="AY411" i="6" s="1"/>
  <c r="AX227" i="6"/>
  <c r="AX411" i="6" s="1"/>
  <c r="AW227" i="6"/>
  <c r="AW411" i="6" s="1"/>
  <c r="AV227" i="6"/>
  <c r="AV411" i="6" s="1"/>
  <c r="AU227" i="6"/>
  <c r="AU411" i="6" s="1"/>
  <c r="AT227" i="6"/>
  <c r="AT411" i="6" s="1"/>
  <c r="AS227" i="6"/>
  <c r="AS411" i="6" s="1"/>
  <c r="AQ227" i="6"/>
  <c r="AP227" i="6"/>
  <c r="AP411" i="6" s="1"/>
  <c r="AM227" i="6"/>
  <c r="AM411" i="6" s="1"/>
  <c r="AL227" i="6"/>
  <c r="AL411" i="6" s="1"/>
  <c r="AK227" i="6"/>
  <c r="AK411" i="6" s="1"/>
  <c r="AJ227" i="6"/>
  <c r="AJ411" i="6" s="1"/>
  <c r="AI227" i="6"/>
  <c r="AI411" i="6" s="1"/>
  <c r="AH227" i="6"/>
  <c r="AH411" i="6" s="1"/>
  <c r="AG227" i="6"/>
  <c r="AG411" i="6" s="1"/>
  <c r="AF227" i="6"/>
  <c r="AF411" i="6" s="1"/>
  <c r="AE227" i="6"/>
  <c r="AE411" i="6" s="1"/>
  <c r="AD227" i="6"/>
  <c r="AD411" i="6" s="1"/>
  <c r="BD226" i="6"/>
  <c r="BD410" i="6" s="1"/>
  <c r="BC226" i="6"/>
  <c r="BC410" i="6" s="1"/>
  <c r="BB226" i="6"/>
  <c r="BB410" i="6" s="1"/>
  <c r="BA226" i="6"/>
  <c r="BA410" i="6" s="1"/>
  <c r="AZ226" i="6"/>
  <c r="AZ410" i="6" s="1"/>
  <c r="AY226" i="6"/>
  <c r="AY410" i="6" s="1"/>
  <c r="AU226" i="6"/>
  <c r="AU410" i="6" s="1"/>
  <c r="AT226" i="6"/>
  <c r="AT410" i="6" s="1"/>
  <c r="AS226" i="6"/>
  <c r="AS410" i="6" s="1"/>
  <c r="AQ226" i="6"/>
  <c r="AP226" i="6"/>
  <c r="AP410" i="6" s="1"/>
  <c r="AN226" i="6"/>
  <c r="AN410" i="6" s="1"/>
  <c r="AJ226" i="6"/>
  <c r="AJ410" i="6" s="1"/>
  <c r="AI226" i="6"/>
  <c r="AI410" i="6" s="1"/>
  <c r="AH226" i="6"/>
  <c r="AH410" i="6" s="1"/>
  <c r="AG226" i="6"/>
  <c r="AG410" i="6" s="1"/>
  <c r="AF226" i="6"/>
  <c r="AF410" i="6" s="1"/>
  <c r="AE226" i="6"/>
  <c r="AE410" i="6" s="1"/>
  <c r="AD226" i="6"/>
  <c r="AD410" i="6" s="1"/>
  <c r="BD225" i="6"/>
  <c r="BD409" i="6" s="1"/>
  <c r="BC225" i="6"/>
  <c r="BC409" i="6" s="1"/>
  <c r="BB225" i="6"/>
  <c r="BB409" i="6" s="1"/>
  <c r="BA225" i="6"/>
  <c r="BA409" i="6" s="1"/>
  <c r="AZ225" i="6"/>
  <c r="AZ409" i="6" s="1"/>
  <c r="AY225" i="6"/>
  <c r="AY409" i="6" s="1"/>
  <c r="AU225" i="6"/>
  <c r="AU409" i="6" s="1"/>
  <c r="AT225" i="6"/>
  <c r="AT409" i="6" s="1"/>
  <c r="AS225" i="6"/>
  <c r="AS409" i="6" s="1"/>
  <c r="AR225" i="6"/>
  <c r="AR409" i="6" s="1"/>
  <c r="AQ225" i="6"/>
  <c r="AQ409" i="6" s="1"/>
  <c r="AP225" i="6"/>
  <c r="AP409" i="6" s="1"/>
  <c r="AN225" i="6"/>
  <c r="AN409" i="6" s="1"/>
  <c r="AM225" i="6"/>
  <c r="AM409" i="6" s="1"/>
  <c r="AL225" i="6"/>
  <c r="AL409" i="6" s="1"/>
  <c r="AK225" i="6"/>
  <c r="AK409" i="6" s="1"/>
  <c r="AJ225" i="6"/>
  <c r="AJ409" i="6" s="1"/>
  <c r="AI225" i="6"/>
  <c r="AI409" i="6" s="1"/>
  <c r="AH225" i="6"/>
  <c r="AH409" i="6" s="1"/>
  <c r="AG225" i="6"/>
  <c r="AG409" i="6" s="1"/>
  <c r="AF225" i="6"/>
  <c r="AF409" i="6" s="1"/>
  <c r="AE225" i="6"/>
  <c r="AE409" i="6" s="1"/>
  <c r="AD225" i="6"/>
  <c r="AD409" i="6" s="1"/>
  <c r="BD224" i="6"/>
  <c r="BD408" i="6" s="1"/>
  <c r="BC224" i="6"/>
  <c r="BC408" i="6" s="1"/>
  <c r="BB224" i="6"/>
  <c r="BB408" i="6" s="1"/>
  <c r="BA224" i="6"/>
  <c r="BA408" i="6" s="1"/>
  <c r="AZ224" i="6"/>
  <c r="AZ408" i="6" s="1"/>
  <c r="AY224" i="6"/>
  <c r="AY408" i="6" s="1"/>
  <c r="AX224" i="6"/>
  <c r="AX408" i="6" s="1"/>
  <c r="AW224" i="6"/>
  <c r="AW408" i="6" s="1"/>
  <c r="AV224" i="6"/>
  <c r="AV408" i="6" s="1"/>
  <c r="AU224" i="6"/>
  <c r="AU408" i="6" s="1"/>
  <c r="AT224" i="6"/>
  <c r="AT408" i="6" s="1"/>
  <c r="AS224" i="6"/>
  <c r="AS408" i="6" s="1"/>
  <c r="AR224" i="6"/>
  <c r="AR408" i="6" s="1"/>
  <c r="AQ224" i="6"/>
  <c r="AQ408" i="6" s="1"/>
  <c r="AP224" i="6"/>
  <c r="AP408" i="6" s="1"/>
  <c r="AO224" i="6"/>
  <c r="AO408" i="6" s="1"/>
  <c r="AN224" i="6"/>
  <c r="AN408" i="6" s="1"/>
  <c r="AM224" i="6"/>
  <c r="AM408" i="6" s="1"/>
  <c r="AL224" i="6"/>
  <c r="AL408" i="6" s="1"/>
  <c r="AK224" i="6"/>
  <c r="AK408" i="6" s="1"/>
  <c r="AJ224" i="6"/>
  <c r="AJ408" i="6" s="1"/>
  <c r="AI224" i="6"/>
  <c r="AI408" i="6" s="1"/>
  <c r="AH224" i="6"/>
  <c r="AH408" i="6" s="1"/>
  <c r="AG224" i="6"/>
  <c r="AG408" i="6" s="1"/>
  <c r="AF224" i="6"/>
  <c r="AF408" i="6" s="1"/>
  <c r="AE224" i="6"/>
  <c r="AE408" i="6" s="1"/>
  <c r="AD224" i="6"/>
  <c r="AD408" i="6" s="1"/>
  <c r="BD223" i="6"/>
  <c r="BD407" i="6" s="1"/>
  <c r="BC223" i="6"/>
  <c r="BC407" i="6" s="1"/>
  <c r="AY223" i="6"/>
  <c r="AY407" i="6" s="1"/>
  <c r="AV223" i="6"/>
  <c r="AV407" i="6" s="1"/>
  <c r="AU223" i="6"/>
  <c r="AU407" i="6" s="1"/>
  <c r="AT223" i="6"/>
  <c r="AT407" i="6" s="1"/>
  <c r="AS223" i="6"/>
  <c r="AS407" i="6" s="1"/>
  <c r="AR223" i="6"/>
  <c r="AR407" i="6" s="1"/>
  <c r="AQ223" i="6"/>
  <c r="AQ407" i="6" s="1"/>
  <c r="AO223" i="6"/>
  <c r="AO407" i="6" s="1"/>
  <c r="AN223" i="6"/>
  <c r="AN407" i="6" s="1"/>
  <c r="AM223" i="6"/>
  <c r="AM407" i="6" s="1"/>
  <c r="AL223" i="6"/>
  <c r="AL407" i="6" s="1"/>
  <c r="AK223" i="6"/>
  <c r="AK407" i="6" s="1"/>
  <c r="AJ223" i="6"/>
  <c r="AJ407" i="6" s="1"/>
  <c r="AI223" i="6"/>
  <c r="AI407" i="6" s="1"/>
  <c r="AH223" i="6"/>
  <c r="AH407" i="6" s="1"/>
  <c r="AG223" i="6"/>
  <c r="AG407" i="6" s="1"/>
  <c r="AF223" i="6"/>
  <c r="AF407" i="6" s="1"/>
  <c r="AE223" i="6"/>
  <c r="AE407" i="6" s="1"/>
  <c r="AD223" i="6"/>
  <c r="AD407" i="6" s="1"/>
  <c r="BD222" i="6"/>
  <c r="BD406" i="6" s="1"/>
  <c r="BC222" i="6"/>
  <c r="BC406" i="6" s="1"/>
  <c r="AY222" i="6"/>
  <c r="AY406" i="6" s="1"/>
  <c r="AW222" i="6"/>
  <c r="AW406" i="6" s="1"/>
  <c r="AT222" i="6"/>
  <c r="AT406" i="6" s="1"/>
  <c r="AS222" i="6"/>
  <c r="AS406" i="6" s="1"/>
  <c r="AR222" i="6"/>
  <c r="AR406" i="6" s="1"/>
  <c r="AQ222" i="6"/>
  <c r="AQ406" i="6" s="1"/>
  <c r="AP222" i="6"/>
  <c r="AP406" i="6" s="1"/>
  <c r="AO222" i="6"/>
  <c r="AO406" i="6" s="1"/>
  <c r="AN222" i="6"/>
  <c r="AN406" i="6" s="1"/>
  <c r="AM222" i="6"/>
  <c r="AM406" i="6" s="1"/>
  <c r="AL222" i="6"/>
  <c r="AL406" i="6" s="1"/>
  <c r="AK222" i="6"/>
  <c r="AK406" i="6" s="1"/>
  <c r="AJ222" i="6"/>
  <c r="AJ406" i="6" s="1"/>
  <c r="AI222" i="6"/>
  <c r="AI406" i="6" s="1"/>
  <c r="AH222" i="6"/>
  <c r="AH406" i="6" s="1"/>
  <c r="AG222" i="6"/>
  <c r="AG406" i="6" s="1"/>
  <c r="AF222" i="6"/>
  <c r="AF406" i="6" s="1"/>
  <c r="AE222" i="6"/>
  <c r="AE406" i="6" s="1"/>
  <c r="AD222" i="6"/>
  <c r="AD406" i="6" s="1"/>
  <c r="BD221" i="6"/>
  <c r="BD405" i="6" s="1"/>
  <c r="BC221" i="6"/>
  <c r="BC405" i="6" s="1"/>
  <c r="BB221" i="6"/>
  <c r="BB405" i="6" s="1"/>
  <c r="BA221" i="6"/>
  <c r="BA405" i="6" s="1"/>
  <c r="AZ221" i="6"/>
  <c r="AZ405" i="6" s="1"/>
  <c r="AY221" i="6"/>
  <c r="AY405" i="6" s="1"/>
  <c r="AX221" i="6"/>
  <c r="AX405" i="6" s="1"/>
  <c r="AW221" i="6"/>
  <c r="AW405" i="6" s="1"/>
  <c r="AT221" i="6"/>
  <c r="AT405" i="6" s="1"/>
  <c r="AS221" i="6"/>
  <c r="AS405" i="6" s="1"/>
  <c r="AR221" i="6"/>
  <c r="AR405" i="6" s="1"/>
  <c r="AQ221" i="6"/>
  <c r="AQ405" i="6" s="1"/>
  <c r="AP221" i="6"/>
  <c r="AP405" i="6" s="1"/>
  <c r="AO221" i="6"/>
  <c r="AO405" i="6" s="1"/>
  <c r="AN221" i="6"/>
  <c r="AN405" i="6" s="1"/>
  <c r="AM221" i="6"/>
  <c r="AM405" i="6" s="1"/>
  <c r="AL221" i="6"/>
  <c r="AL405" i="6" s="1"/>
  <c r="AK221" i="6"/>
  <c r="AK405" i="6" s="1"/>
  <c r="AJ221" i="6"/>
  <c r="AJ405" i="6" s="1"/>
  <c r="AI221" i="6"/>
  <c r="AI405" i="6" s="1"/>
  <c r="AH221" i="6"/>
  <c r="AH405" i="6" s="1"/>
  <c r="AG221" i="6"/>
  <c r="AG405" i="6" s="1"/>
  <c r="AF221" i="6"/>
  <c r="AF405" i="6" s="1"/>
  <c r="AE221" i="6"/>
  <c r="AE405" i="6" s="1"/>
  <c r="AD221" i="6"/>
  <c r="AD405" i="6" s="1"/>
  <c r="BD220" i="6"/>
  <c r="BD404" i="6" s="1"/>
  <c r="BC220" i="6"/>
  <c r="BC404" i="6" s="1"/>
  <c r="AY220" i="6"/>
  <c r="AY404" i="6" s="1"/>
  <c r="AX220" i="6"/>
  <c r="AX404" i="6" s="1"/>
  <c r="AW220" i="6"/>
  <c r="AW404" i="6" s="1"/>
  <c r="AU220" i="6"/>
  <c r="AU404" i="6" s="1"/>
  <c r="AR220" i="6"/>
  <c r="AR404" i="6" s="1"/>
  <c r="AQ220" i="6"/>
  <c r="AQ404" i="6" s="1"/>
  <c r="AP220" i="6"/>
  <c r="AP404" i="6" s="1"/>
  <c r="AO220" i="6"/>
  <c r="AO404" i="6" s="1"/>
  <c r="AN220" i="6"/>
  <c r="AN404" i="6" s="1"/>
  <c r="AM220" i="6"/>
  <c r="AM404" i="6" s="1"/>
  <c r="AL220" i="6"/>
  <c r="AL404" i="6" s="1"/>
  <c r="AK220" i="6"/>
  <c r="AK404" i="6" s="1"/>
  <c r="AJ220" i="6"/>
  <c r="AJ404" i="6" s="1"/>
  <c r="AI220" i="6"/>
  <c r="AI404" i="6" s="1"/>
  <c r="AH220" i="6"/>
  <c r="AH404" i="6" s="1"/>
  <c r="AG220" i="6"/>
  <c r="AG404" i="6" s="1"/>
  <c r="AF220" i="6"/>
  <c r="AF404" i="6" s="1"/>
  <c r="AE220" i="6"/>
  <c r="AE404" i="6" s="1"/>
  <c r="AD220" i="6"/>
  <c r="AD404" i="6" s="1"/>
  <c r="BD219" i="6"/>
  <c r="BD403" i="6" s="1"/>
  <c r="BC219" i="6"/>
  <c r="BC403" i="6" s="1"/>
  <c r="AY219" i="6"/>
  <c r="AY403" i="6" s="1"/>
  <c r="AX219" i="6"/>
  <c r="AX403" i="6" s="1"/>
  <c r="AW219" i="6"/>
  <c r="AW403" i="6" s="1"/>
  <c r="AU219" i="6"/>
  <c r="AU403" i="6" s="1"/>
  <c r="AT219" i="6"/>
  <c r="AT403" i="6" s="1"/>
  <c r="AS219" i="6"/>
  <c r="AS403" i="6" s="1"/>
  <c r="AR219" i="6"/>
  <c r="AR403" i="6" s="1"/>
  <c r="AN219" i="6"/>
  <c r="AN403" i="6" s="1"/>
  <c r="AM219" i="6"/>
  <c r="AM403" i="6" s="1"/>
  <c r="AL219" i="6"/>
  <c r="AL403" i="6" s="1"/>
  <c r="AK219" i="6"/>
  <c r="AK403" i="6" s="1"/>
  <c r="AJ219" i="6"/>
  <c r="AJ403" i="6" s="1"/>
  <c r="AI219" i="6"/>
  <c r="AI403" i="6" s="1"/>
  <c r="AH219" i="6"/>
  <c r="AH403" i="6" s="1"/>
  <c r="AG219" i="6"/>
  <c r="AG403" i="6" s="1"/>
  <c r="AF219" i="6"/>
  <c r="AF403" i="6" s="1"/>
  <c r="AE219" i="6"/>
  <c r="AE403" i="6" s="1"/>
  <c r="AD219" i="6"/>
  <c r="AD403" i="6" s="1"/>
  <c r="BD218" i="6"/>
  <c r="BD402" i="6" s="1"/>
  <c r="BC218" i="6"/>
  <c r="BC402" i="6" s="1"/>
  <c r="BB218" i="6"/>
  <c r="BB402" i="6" s="1"/>
  <c r="BA218" i="6"/>
  <c r="BA402" i="6" s="1"/>
  <c r="AZ218" i="6"/>
  <c r="AZ402" i="6" s="1"/>
  <c r="AY218" i="6"/>
  <c r="AY402" i="6" s="1"/>
  <c r="AX218" i="6"/>
  <c r="AX402" i="6" s="1"/>
  <c r="AW218" i="6"/>
  <c r="AW402" i="6" s="1"/>
  <c r="AU218" i="6"/>
  <c r="AU402" i="6" s="1"/>
  <c r="AT218" i="6"/>
  <c r="AT402" i="6" s="1"/>
  <c r="AS218" i="6"/>
  <c r="AS402" i="6" s="1"/>
  <c r="AR218" i="6"/>
  <c r="AR402" i="6" s="1"/>
  <c r="AN218" i="6"/>
  <c r="AN402" i="6" s="1"/>
  <c r="AM218" i="6"/>
  <c r="AM402" i="6" s="1"/>
  <c r="AL218" i="6"/>
  <c r="AL402" i="6" s="1"/>
  <c r="AK218" i="6"/>
  <c r="AK402" i="6" s="1"/>
  <c r="AJ218" i="6"/>
  <c r="AJ402" i="6" s="1"/>
  <c r="AI218" i="6"/>
  <c r="AI402" i="6" s="1"/>
  <c r="AH218" i="6"/>
  <c r="AH402" i="6" s="1"/>
  <c r="AG218" i="6"/>
  <c r="AG402" i="6" s="1"/>
  <c r="AF218" i="6"/>
  <c r="AF402" i="6" s="1"/>
  <c r="AE218" i="6"/>
  <c r="AE402" i="6" s="1"/>
  <c r="AD218" i="6"/>
  <c r="AD402" i="6" s="1"/>
  <c r="BD217" i="6"/>
  <c r="BD401" i="6" s="1"/>
  <c r="BC217" i="6"/>
  <c r="BC401" i="6" s="1"/>
  <c r="AY217" i="6"/>
  <c r="AY401" i="6" s="1"/>
  <c r="AX217" i="6"/>
  <c r="AX401" i="6" s="1"/>
  <c r="AW217" i="6"/>
  <c r="AW401" i="6" s="1"/>
  <c r="AU217" i="6"/>
  <c r="AU401" i="6" s="1"/>
  <c r="AT217" i="6"/>
  <c r="AT401" i="6" s="1"/>
  <c r="AS217" i="6"/>
  <c r="AS401" i="6" s="1"/>
  <c r="AR217" i="6"/>
  <c r="AR401" i="6" s="1"/>
  <c r="AP217" i="6"/>
  <c r="AP401" i="6" s="1"/>
  <c r="AN217" i="6"/>
  <c r="AN401" i="6" s="1"/>
  <c r="AM217" i="6"/>
  <c r="AM401" i="6" s="1"/>
  <c r="AL217" i="6"/>
  <c r="AL401" i="6" s="1"/>
  <c r="AK217" i="6"/>
  <c r="AK401" i="6" s="1"/>
  <c r="AJ217" i="6"/>
  <c r="AJ401" i="6" s="1"/>
  <c r="AI217" i="6"/>
  <c r="AI401" i="6" s="1"/>
  <c r="AH217" i="6"/>
  <c r="AH401" i="6" s="1"/>
  <c r="AG217" i="6"/>
  <c r="AG401" i="6" s="1"/>
  <c r="AF217" i="6"/>
  <c r="AF401" i="6" s="1"/>
  <c r="AE217" i="6"/>
  <c r="AE401" i="6" s="1"/>
  <c r="AD217" i="6"/>
  <c r="AD401" i="6" s="1"/>
  <c r="BD216" i="6"/>
  <c r="BD400" i="6" s="1"/>
  <c r="BC216" i="6"/>
  <c r="BC400" i="6" s="1"/>
  <c r="AY216" i="6"/>
  <c r="AY400" i="6" s="1"/>
  <c r="AW216" i="6"/>
  <c r="AW400" i="6" s="1"/>
  <c r="AV216" i="6"/>
  <c r="AV400" i="6" s="1"/>
  <c r="AU216" i="6"/>
  <c r="AU400" i="6" s="1"/>
  <c r="AT216" i="6"/>
  <c r="AT400" i="6" s="1"/>
  <c r="AS216" i="6"/>
  <c r="AS400" i="6" s="1"/>
  <c r="AR216" i="6"/>
  <c r="AR400" i="6" s="1"/>
  <c r="AP216" i="6"/>
  <c r="AP400" i="6" s="1"/>
  <c r="AO216" i="6"/>
  <c r="AO400" i="6" s="1"/>
  <c r="AN216" i="6"/>
  <c r="AN400" i="6" s="1"/>
  <c r="AM216" i="6"/>
  <c r="AM400" i="6" s="1"/>
  <c r="AL216" i="6"/>
  <c r="AL400" i="6" s="1"/>
  <c r="AK216" i="6"/>
  <c r="AK400" i="6" s="1"/>
  <c r="AJ216" i="6"/>
  <c r="AJ400" i="6" s="1"/>
  <c r="AI216" i="6"/>
  <c r="AI400" i="6" s="1"/>
  <c r="AH216" i="6"/>
  <c r="AH400" i="6" s="1"/>
  <c r="AG216" i="6"/>
  <c r="AG400" i="6" s="1"/>
  <c r="AF216" i="6"/>
  <c r="AF400" i="6" s="1"/>
  <c r="AE216" i="6"/>
  <c r="AE400" i="6" s="1"/>
  <c r="AD216" i="6"/>
  <c r="AD400" i="6" s="1"/>
  <c r="BD215" i="6"/>
  <c r="BD399" i="6" s="1"/>
  <c r="BC215" i="6"/>
  <c r="BC399" i="6" s="1"/>
  <c r="BB215" i="6"/>
  <c r="BB399" i="6" s="1"/>
  <c r="BA215" i="6"/>
  <c r="BA399" i="6" s="1"/>
  <c r="AZ215" i="6"/>
  <c r="AZ399" i="6" s="1"/>
  <c r="AY215" i="6"/>
  <c r="AY399" i="6" s="1"/>
  <c r="AX215" i="6"/>
  <c r="AX399" i="6" s="1"/>
  <c r="AW215" i="6"/>
  <c r="AW399" i="6" s="1"/>
  <c r="AV215" i="6"/>
  <c r="AV399" i="6" s="1"/>
  <c r="AU215" i="6"/>
  <c r="AU399" i="6" s="1"/>
  <c r="AT215" i="6"/>
  <c r="AT399" i="6" s="1"/>
  <c r="AS215" i="6"/>
  <c r="AS399" i="6" s="1"/>
  <c r="AR215" i="6"/>
  <c r="AR399" i="6" s="1"/>
  <c r="AQ215" i="6"/>
  <c r="AP215" i="6"/>
  <c r="AO215" i="6"/>
  <c r="AO399" i="6" s="1"/>
  <c r="AN215" i="6"/>
  <c r="AN399" i="6" s="1"/>
  <c r="AM215" i="6"/>
  <c r="AM399" i="6" s="1"/>
  <c r="AK215" i="6"/>
  <c r="AK399" i="6" s="1"/>
  <c r="AJ215" i="6"/>
  <c r="AJ399" i="6" s="1"/>
  <c r="AI215" i="6"/>
  <c r="AI399" i="6" s="1"/>
  <c r="AH215" i="6"/>
  <c r="AH399" i="6" s="1"/>
  <c r="AG215" i="6"/>
  <c r="AG399" i="6" s="1"/>
  <c r="AF215" i="6"/>
  <c r="AF399" i="6" s="1"/>
  <c r="AE215" i="6"/>
  <c r="AE399" i="6" s="1"/>
  <c r="AD215" i="6"/>
  <c r="AD399" i="6" s="1"/>
  <c r="BD214" i="6"/>
  <c r="BD398" i="6" s="1"/>
  <c r="BC214" i="6"/>
  <c r="BC398" i="6" s="1"/>
  <c r="AZ214" i="6"/>
  <c r="AZ398" i="6" s="1"/>
  <c r="AY214" i="6"/>
  <c r="AY398" i="6" s="1"/>
  <c r="AX214" i="6"/>
  <c r="AX398" i="6" s="1"/>
  <c r="AW214" i="6"/>
  <c r="AW398" i="6" s="1"/>
  <c r="AV214" i="6"/>
  <c r="AV398" i="6" s="1"/>
  <c r="AU214" i="6"/>
  <c r="AU398" i="6" s="1"/>
  <c r="AT214" i="6"/>
  <c r="AT398" i="6" s="1"/>
  <c r="AS214" i="6"/>
  <c r="AS398" i="6" s="1"/>
  <c r="AR214" i="6"/>
  <c r="AR398" i="6" s="1"/>
  <c r="AQ214" i="6"/>
  <c r="AP214" i="6"/>
  <c r="AO214" i="6"/>
  <c r="AO398" i="6" s="1"/>
  <c r="AN214" i="6"/>
  <c r="AN398" i="6" s="1"/>
  <c r="AM214" i="6"/>
  <c r="AM398" i="6" s="1"/>
  <c r="AK214" i="6"/>
  <c r="AK398" i="6" s="1"/>
  <c r="AI214" i="6"/>
  <c r="AI398" i="6" s="1"/>
  <c r="AH214" i="6"/>
  <c r="AH398" i="6" s="1"/>
  <c r="AG214" i="6"/>
  <c r="AG398" i="6" s="1"/>
  <c r="AF214" i="6"/>
  <c r="AF398" i="6" s="1"/>
  <c r="AE214" i="6"/>
  <c r="AE398" i="6" s="1"/>
  <c r="AD214" i="6"/>
  <c r="AD398" i="6" s="1"/>
  <c r="BD213" i="6"/>
  <c r="BD397" i="6" s="1"/>
  <c r="BC213" i="6"/>
  <c r="BC397" i="6" s="1"/>
  <c r="BB213" i="6"/>
  <c r="BB397" i="6" s="1"/>
  <c r="BA213" i="6"/>
  <c r="BA397" i="6" s="1"/>
  <c r="AZ213" i="6"/>
  <c r="AZ397" i="6" s="1"/>
  <c r="AY213" i="6"/>
  <c r="AY397" i="6" s="1"/>
  <c r="AX213" i="6"/>
  <c r="AX397" i="6" s="1"/>
  <c r="AW213" i="6"/>
  <c r="AW397" i="6" s="1"/>
  <c r="AV213" i="6"/>
  <c r="AV397" i="6" s="1"/>
  <c r="AU213" i="6"/>
  <c r="AU397" i="6" s="1"/>
  <c r="AT213" i="6"/>
  <c r="AT397" i="6" s="1"/>
  <c r="AS213" i="6"/>
  <c r="AS397" i="6" s="1"/>
  <c r="AR213" i="6"/>
  <c r="AR397" i="6" s="1"/>
  <c r="AQ213" i="6"/>
  <c r="AQ397" i="6" s="1"/>
  <c r="AP213" i="6"/>
  <c r="AP397" i="6" s="1"/>
  <c r="AO213" i="6"/>
  <c r="AO397" i="6" s="1"/>
  <c r="AN213" i="6"/>
  <c r="AN397" i="6" s="1"/>
  <c r="AM213" i="6"/>
  <c r="AM397" i="6" s="1"/>
  <c r="AI213" i="6"/>
  <c r="AI397" i="6" s="1"/>
  <c r="AH213" i="6"/>
  <c r="AH397" i="6" s="1"/>
  <c r="AG213" i="6"/>
  <c r="AG397" i="6" s="1"/>
  <c r="AF213" i="6"/>
  <c r="AF397" i="6" s="1"/>
  <c r="AE213" i="6"/>
  <c r="AE397" i="6" s="1"/>
  <c r="AD213" i="6"/>
  <c r="AD397" i="6" s="1"/>
  <c r="BD212" i="6"/>
  <c r="BD396" i="6" s="1"/>
  <c r="BC212" i="6"/>
  <c r="BC396" i="6" s="1"/>
  <c r="BB212" i="6"/>
  <c r="BB396" i="6" s="1"/>
  <c r="BA212" i="6"/>
  <c r="BA396" i="6" s="1"/>
  <c r="AZ212" i="6"/>
  <c r="AZ396" i="6" s="1"/>
  <c r="AY212" i="6"/>
  <c r="AY396" i="6" s="1"/>
  <c r="AX212" i="6"/>
  <c r="AX396" i="6" s="1"/>
  <c r="AW212" i="6"/>
  <c r="AW396" i="6" s="1"/>
  <c r="AV212" i="6"/>
  <c r="AV396" i="6" s="1"/>
  <c r="AU212" i="6"/>
  <c r="AU396" i="6" s="1"/>
  <c r="AT212" i="6"/>
  <c r="AT396" i="6" s="1"/>
  <c r="AS212" i="6"/>
  <c r="AS396" i="6" s="1"/>
  <c r="AR212" i="6"/>
  <c r="AR396" i="6" s="1"/>
  <c r="AQ212" i="6"/>
  <c r="AQ396" i="6" s="1"/>
  <c r="AP212" i="6"/>
  <c r="AP396" i="6" s="1"/>
  <c r="AO212" i="6"/>
  <c r="AO396" i="6" s="1"/>
  <c r="AN212" i="6"/>
  <c r="AN396" i="6" s="1"/>
  <c r="AM212" i="6"/>
  <c r="AM396" i="6" s="1"/>
  <c r="AJ396" i="6"/>
  <c r="AI212" i="6"/>
  <c r="AI396" i="6" s="1"/>
  <c r="AH212" i="6"/>
  <c r="AH396" i="6" s="1"/>
  <c r="AG212" i="6"/>
  <c r="AG396" i="6" s="1"/>
  <c r="AF212" i="6"/>
  <c r="AF396" i="6" s="1"/>
  <c r="AE212" i="6"/>
  <c r="AE396" i="6" s="1"/>
  <c r="AD212" i="6"/>
  <c r="AD396" i="6" s="1"/>
  <c r="BD211" i="6"/>
  <c r="BD395" i="6" s="1"/>
  <c r="BC211" i="6"/>
  <c r="BC395" i="6" s="1"/>
  <c r="BB211" i="6"/>
  <c r="BB395" i="6" s="1"/>
  <c r="BA211" i="6"/>
  <c r="BA395" i="6" s="1"/>
  <c r="AY211" i="6"/>
  <c r="AY395" i="6" s="1"/>
  <c r="AX211" i="6"/>
  <c r="AX395" i="6" s="1"/>
  <c r="AW211" i="6"/>
  <c r="AW395" i="6" s="1"/>
  <c r="AV211" i="6"/>
  <c r="AV395" i="6" s="1"/>
  <c r="AU211" i="6"/>
  <c r="AU395" i="6" s="1"/>
  <c r="AT211" i="6"/>
  <c r="AT395" i="6" s="1"/>
  <c r="AS211" i="6"/>
  <c r="AS395" i="6" s="1"/>
  <c r="AR211" i="6"/>
  <c r="AR395" i="6" s="1"/>
  <c r="AQ211" i="6"/>
  <c r="AQ395" i="6" s="1"/>
  <c r="AP211" i="6"/>
  <c r="AP395" i="6" s="1"/>
  <c r="AO211" i="6"/>
  <c r="AO395" i="6" s="1"/>
  <c r="AN211" i="6"/>
  <c r="AN395" i="6" s="1"/>
  <c r="AM211" i="6"/>
  <c r="AM395" i="6" s="1"/>
  <c r="AL211" i="6"/>
  <c r="AL395" i="6" s="1"/>
  <c r="AK211" i="6"/>
  <c r="AK395" i="6" s="1"/>
  <c r="AJ211" i="6"/>
  <c r="AJ395" i="6" s="1"/>
  <c r="AI211" i="6"/>
  <c r="AI395" i="6" s="1"/>
  <c r="AH211" i="6"/>
  <c r="AH395" i="6" s="1"/>
  <c r="AG211" i="6"/>
  <c r="AG395" i="6" s="1"/>
  <c r="AF211" i="6"/>
  <c r="AF395" i="6" s="1"/>
  <c r="AE211" i="6"/>
  <c r="AE395" i="6" s="1"/>
  <c r="AD211" i="6"/>
  <c r="AD395" i="6" s="1"/>
  <c r="BD210" i="6"/>
  <c r="BD394" i="6" s="1"/>
  <c r="BC210" i="6"/>
  <c r="BC394" i="6" s="1"/>
  <c r="BB210" i="6"/>
  <c r="BB394" i="6" s="1"/>
  <c r="BA210" i="6"/>
  <c r="BA394" i="6" s="1"/>
  <c r="AY210" i="6"/>
  <c r="AY394" i="6" s="1"/>
  <c r="AX210" i="6"/>
  <c r="AX394" i="6" s="1"/>
  <c r="AW210" i="6"/>
  <c r="AW394" i="6" s="1"/>
  <c r="AV210" i="6"/>
  <c r="AV394" i="6" s="1"/>
  <c r="AU210" i="6"/>
  <c r="AU394" i="6" s="1"/>
  <c r="AT210" i="6"/>
  <c r="AT394" i="6" s="1"/>
  <c r="AS210" i="6"/>
  <c r="AS394" i="6" s="1"/>
  <c r="AR210" i="6"/>
  <c r="AR394" i="6" s="1"/>
  <c r="AQ210" i="6"/>
  <c r="AQ394" i="6" s="1"/>
  <c r="AP210" i="6"/>
  <c r="AP394" i="6" s="1"/>
  <c r="AO210" i="6"/>
  <c r="AO394" i="6" s="1"/>
  <c r="AN210" i="6"/>
  <c r="AN394" i="6" s="1"/>
  <c r="AM210" i="6"/>
  <c r="AM394" i="6" s="1"/>
  <c r="AL210" i="6"/>
  <c r="AL394" i="6" s="1"/>
  <c r="AK210" i="6"/>
  <c r="AK394" i="6" s="1"/>
  <c r="AJ210" i="6"/>
  <c r="AJ394" i="6" s="1"/>
  <c r="AI210" i="6"/>
  <c r="AI394" i="6" s="1"/>
  <c r="AH210" i="6"/>
  <c r="AH394" i="6" s="1"/>
  <c r="AG210" i="6"/>
  <c r="AG394" i="6" s="1"/>
  <c r="AF210" i="6"/>
  <c r="AF394" i="6" s="1"/>
  <c r="AE210" i="6"/>
  <c r="AE394" i="6" s="1"/>
  <c r="AD210" i="6"/>
  <c r="AD394" i="6" s="1"/>
  <c r="BD209" i="6"/>
  <c r="BD393" i="6" s="1"/>
  <c r="BC209" i="6"/>
  <c r="BC393" i="6" s="1"/>
  <c r="BB209" i="6"/>
  <c r="BB393" i="6" s="1"/>
  <c r="BA209" i="6"/>
  <c r="BA393" i="6" s="1"/>
  <c r="AZ209" i="6"/>
  <c r="AZ393" i="6" s="1"/>
  <c r="AY209" i="6"/>
  <c r="AY393" i="6" s="1"/>
  <c r="AX209" i="6"/>
  <c r="AX393" i="6" s="1"/>
  <c r="AW209" i="6"/>
  <c r="AW393" i="6" s="1"/>
  <c r="AV209" i="6"/>
  <c r="AV393" i="6" s="1"/>
  <c r="AU209" i="6"/>
  <c r="AU393" i="6" s="1"/>
  <c r="AT209" i="6"/>
  <c r="AT393" i="6" s="1"/>
  <c r="AS209" i="6"/>
  <c r="AS393" i="6" s="1"/>
  <c r="AR209" i="6"/>
  <c r="AR393" i="6" s="1"/>
  <c r="AQ209" i="6"/>
  <c r="AQ393" i="6" s="1"/>
  <c r="AP209" i="6"/>
  <c r="AP393" i="6" s="1"/>
  <c r="AO209" i="6"/>
  <c r="AO393" i="6" s="1"/>
  <c r="AN209" i="6"/>
  <c r="AN393" i="6" s="1"/>
  <c r="AM209" i="6"/>
  <c r="AM393" i="6" s="1"/>
  <c r="AL209" i="6"/>
  <c r="AL393" i="6" s="1"/>
  <c r="AK209" i="6"/>
  <c r="AK393" i="6" s="1"/>
  <c r="AJ209" i="6"/>
  <c r="AJ393" i="6" s="1"/>
  <c r="AI209" i="6"/>
  <c r="AI393" i="6" s="1"/>
  <c r="AH209" i="6"/>
  <c r="AH393" i="6" s="1"/>
  <c r="AG209" i="6"/>
  <c r="AG393" i="6" s="1"/>
  <c r="AF209" i="6"/>
  <c r="AF393" i="6" s="1"/>
  <c r="AE209" i="6"/>
  <c r="AE393" i="6" s="1"/>
  <c r="AD209" i="6"/>
  <c r="AD393" i="6" s="1"/>
  <c r="BD208" i="6"/>
  <c r="BD392" i="6" s="1"/>
  <c r="BC208" i="6"/>
  <c r="BC392" i="6" s="1"/>
  <c r="BB208" i="6"/>
  <c r="BB392" i="6" s="1"/>
  <c r="BA208" i="6"/>
  <c r="BA392" i="6" s="1"/>
  <c r="AZ208" i="6"/>
  <c r="AZ392" i="6" s="1"/>
  <c r="AY208" i="6"/>
  <c r="AY392" i="6" s="1"/>
  <c r="AX208" i="6"/>
  <c r="AX392" i="6" s="1"/>
  <c r="AW208" i="6"/>
  <c r="AW392" i="6" s="1"/>
  <c r="AV208" i="6"/>
  <c r="AV392" i="6" s="1"/>
  <c r="AU208" i="6"/>
  <c r="AU392" i="6" s="1"/>
  <c r="AT208" i="6"/>
  <c r="AT392" i="6" s="1"/>
  <c r="AS208" i="6"/>
  <c r="AS392" i="6" s="1"/>
  <c r="AR208" i="6"/>
  <c r="AR392" i="6" s="1"/>
  <c r="AQ208" i="6"/>
  <c r="AQ392" i="6" s="1"/>
  <c r="AP208" i="6"/>
  <c r="AP392" i="6" s="1"/>
  <c r="AO208" i="6"/>
  <c r="AO392" i="6" s="1"/>
  <c r="AN208" i="6"/>
  <c r="AN392" i="6" s="1"/>
  <c r="AM208" i="6"/>
  <c r="AM392" i="6" s="1"/>
  <c r="AL208" i="6"/>
  <c r="AL392" i="6" s="1"/>
  <c r="AK208" i="6"/>
  <c r="AK392" i="6" s="1"/>
  <c r="AJ208" i="6"/>
  <c r="AJ392" i="6" s="1"/>
  <c r="AI208" i="6"/>
  <c r="AI392" i="6" s="1"/>
  <c r="AH208" i="6"/>
  <c r="AH392" i="6" s="1"/>
  <c r="AG208" i="6"/>
  <c r="AG392" i="6" s="1"/>
  <c r="AF208" i="6"/>
  <c r="AF392" i="6" s="1"/>
  <c r="AE208" i="6"/>
  <c r="AE392" i="6" s="1"/>
  <c r="AD208" i="6"/>
  <c r="AD392" i="6" s="1"/>
  <c r="BD207" i="6"/>
  <c r="BD391" i="6" s="1"/>
  <c r="BC207" i="6"/>
  <c r="BC391" i="6" s="1"/>
  <c r="AY207" i="6"/>
  <c r="AY391" i="6" s="1"/>
  <c r="AX207" i="6"/>
  <c r="AX391" i="6" s="1"/>
  <c r="AW207" i="6"/>
  <c r="AW391" i="6" s="1"/>
  <c r="AT207" i="6"/>
  <c r="AT391" i="6" s="1"/>
  <c r="AS207" i="6"/>
  <c r="AS391" i="6" s="1"/>
  <c r="AR207" i="6"/>
  <c r="AR391" i="6" s="1"/>
  <c r="AQ207" i="6"/>
  <c r="AQ391" i="6" s="1"/>
  <c r="AP207" i="6"/>
  <c r="AP391" i="6" s="1"/>
  <c r="AN207" i="6"/>
  <c r="AN391" i="6" s="1"/>
  <c r="AM207" i="6"/>
  <c r="AM391" i="6" s="1"/>
  <c r="AL207" i="6"/>
  <c r="AL391" i="6" s="1"/>
  <c r="AK207" i="6"/>
  <c r="AK391" i="6" s="1"/>
  <c r="AJ207" i="6"/>
  <c r="AJ391" i="6" s="1"/>
  <c r="AI207" i="6"/>
  <c r="AI391" i="6" s="1"/>
  <c r="AH207" i="6"/>
  <c r="AH391" i="6" s="1"/>
  <c r="AG207" i="6"/>
  <c r="AG391" i="6" s="1"/>
  <c r="AF207" i="6"/>
  <c r="AF391" i="6" s="1"/>
  <c r="AE207" i="6"/>
  <c r="AE391" i="6" s="1"/>
  <c r="AD207" i="6"/>
  <c r="AD391" i="6" s="1"/>
  <c r="BD206" i="6"/>
  <c r="BD390" i="6" s="1"/>
  <c r="BC206" i="6"/>
  <c r="BC390" i="6" s="1"/>
  <c r="AY206" i="6"/>
  <c r="AY390" i="6" s="1"/>
  <c r="AW206" i="6"/>
  <c r="AW390" i="6" s="1"/>
  <c r="AT206" i="6"/>
  <c r="AT390" i="6" s="1"/>
  <c r="AS206" i="6"/>
  <c r="AS390" i="6" s="1"/>
  <c r="AR206" i="6"/>
  <c r="AR390" i="6" s="1"/>
  <c r="AQ206" i="6"/>
  <c r="AQ390" i="6" s="1"/>
  <c r="AP206" i="6"/>
  <c r="AP390" i="6" s="1"/>
  <c r="AN206" i="6"/>
  <c r="AN390" i="6" s="1"/>
  <c r="AK206" i="6"/>
  <c r="AK390" i="6" s="1"/>
  <c r="AJ206" i="6"/>
  <c r="AJ390" i="6" s="1"/>
  <c r="AI206" i="6"/>
  <c r="AI390" i="6" s="1"/>
  <c r="AH206" i="6"/>
  <c r="AH390" i="6" s="1"/>
  <c r="AG206" i="6"/>
  <c r="AG390" i="6" s="1"/>
  <c r="AF206" i="6"/>
  <c r="AF390" i="6" s="1"/>
  <c r="AE206" i="6"/>
  <c r="AE390" i="6" s="1"/>
  <c r="AD206" i="6"/>
  <c r="AD390" i="6" s="1"/>
  <c r="BD205" i="6"/>
  <c r="BD389" i="6" s="1"/>
  <c r="BC205" i="6"/>
  <c r="BC389" i="6" s="1"/>
  <c r="BB205" i="6"/>
  <c r="BB389" i="6" s="1"/>
  <c r="BA205" i="6"/>
  <c r="BA389" i="6" s="1"/>
  <c r="AZ205" i="6"/>
  <c r="AZ389" i="6" s="1"/>
  <c r="AY205" i="6"/>
  <c r="AY389" i="6" s="1"/>
  <c r="AX205" i="6"/>
  <c r="AX389" i="6" s="1"/>
  <c r="AW205" i="6"/>
  <c r="AW389" i="6" s="1"/>
  <c r="AV205" i="6"/>
  <c r="AV389" i="6" s="1"/>
  <c r="AU205" i="6"/>
  <c r="AU389" i="6" s="1"/>
  <c r="AQ205" i="6"/>
  <c r="AQ389" i="6" s="1"/>
  <c r="AP205" i="6"/>
  <c r="AP389" i="6" s="1"/>
  <c r="AM205" i="6"/>
  <c r="AL205" i="6"/>
  <c r="AL389" i="6" s="1"/>
  <c r="AK205" i="6"/>
  <c r="AK389" i="6" s="1"/>
  <c r="AJ205" i="6"/>
  <c r="AJ389" i="6" s="1"/>
  <c r="AI205" i="6"/>
  <c r="AI389" i="6" s="1"/>
  <c r="AH205" i="6"/>
  <c r="AH389" i="6" s="1"/>
  <c r="AG205" i="6"/>
  <c r="AG389" i="6" s="1"/>
  <c r="AF205" i="6"/>
  <c r="AF389" i="6" s="1"/>
  <c r="AE205" i="6"/>
  <c r="AE389" i="6" s="1"/>
  <c r="AD205" i="6"/>
  <c r="AD389" i="6" s="1"/>
  <c r="BD204" i="6"/>
  <c r="BD388" i="6" s="1"/>
  <c r="BC204" i="6"/>
  <c r="BC388" i="6" s="1"/>
  <c r="AY204" i="6"/>
  <c r="AY388" i="6" s="1"/>
  <c r="AX204" i="6"/>
  <c r="AX388" i="6" s="1"/>
  <c r="AW204" i="6"/>
  <c r="AW388" i="6" s="1"/>
  <c r="AU204" i="6"/>
  <c r="AU388" i="6" s="1"/>
  <c r="AP204" i="6"/>
  <c r="AP388" i="6" s="1"/>
  <c r="AM204" i="6"/>
  <c r="AL204" i="6"/>
  <c r="AL388" i="6" s="1"/>
  <c r="AK204" i="6"/>
  <c r="AK388" i="6" s="1"/>
  <c r="AJ204" i="6"/>
  <c r="AJ388" i="6" s="1"/>
  <c r="AI204" i="6"/>
  <c r="AI388" i="6" s="1"/>
  <c r="AH204" i="6"/>
  <c r="AH388" i="6" s="1"/>
  <c r="AG204" i="6"/>
  <c r="AG388" i="6" s="1"/>
  <c r="AF204" i="6"/>
  <c r="AF388" i="6" s="1"/>
  <c r="AE204" i="6"/>
  <c r="AE388" i="6" s="1"/>
  <c r="AD204" i="6"/>
  <c r="AD388" i="6" s="1"/>
  <c r="BD203" i="6"/>
  <c r="BD387" i="6" s="1"/>
  <c r="BC203" i="6"/>
  <c r="BC387" i="6" s="1"/>
  <c r="AY203" i="6"/>
  <c r="AY387" i="6" s="1"/>
  <c r="AX203" i="6"/>
  <c r="AX387" i="6" s="1"/>
  <c r="AW203" i="6"/>
  <c r="AW387" i="6" s="1"/>
  <c r="AU203" i="6"/>
  <c r="AU387" i="6" s="1"/>
  <c r="AT203" i="6"/>
  <c r="AT387" i="6" s="1"/>
  <c r="AS203" i="6"/>
  <c r="AS387" i="6" s="1"/>
  <c r="AR203" i="6"/>
  <c r="AR387" i="6" s="1"/>
  <c r="AQ203" i="6"/>
  <c r="AQ387" i="6" s="1"/>
  <c r="AP203" i="6"/>
  <c r="AP387" i="6" s="1"/>
  <c r="AO203" i="6"/>
  <c r="AO387" i="6" s="1"/>
  <c r="AN203" i="6"/>
  <c r="AN387" i="6" s="1"/>
  <c r="AM203" i="6"/>
  <c r="AM387" i="6" s="1"/>
  <c r="AL203" i="6"/>
  <c r="AL387" i="6" s="1"/>
  <c r="AK203" i="6"/>
  <c r="AK387" i="6" s="1"/>
  <c r="AJ203" i="6"/>
  <c r="AJ387" i="6" s="1"/>
  <c r="AI203" i="6"/>
  <c r="AI387" i="6" s="1"/>
  <c r="AH203" i="6"/>
  <c r="AH387" i="6" s="1"/>
  <c r="AG203" i="6"/>
  <c r="AG387" i="6" s="1"/>
  <c r="AF203" i="6"/>
  <c r="AF387" i="6" s="1"/>
  <c r="AE203" i="6"/>
  <c r="AE387" i="6" s="1"/>
  <c r="AD203" i="6"/>
  <c r="AD387" i="6" s="1"/>
  <c r="BD202" i="6"/>
  <c r="BD386" i="6" s="1"/>
  <c r="BC202" i="6"/>
  <c r="BC386" i="6" s="1"/>
  <c r="BB202" i="6"/>
  <c r="BB386" i="6" s="1"/>
  <c r="BA202" i="6"/>
  <c r="BA386" i="6" s="1"/>
  <c r="AZ202" i="6"/>
  <c r="AZ386" i="6" s="1"/>
  <c r="AY202" i="6"/>
  <c r="AY386" i="6" s="1"/>
  <c r="AX202" i="6"/>
  <c r="AX386" i="6" s="1"/>
  <c r="AW202" i="6"/>
  <c r="AW386" i="6" s="1"/>
  <c r="AU202" i="6"/>
  <c r="AU386" i="6" s="1"/>
  <c r="AT202" i="6"/>
  <c r="AT386" i="6" s="1"/>
  <c r="AS202" i="6"/>
  <c r="AS386" i="6" s="1"/>
  <c r="AR202" i="6"/>
  <c r="AR386" i="6" s="1"/>
  <c r="AQ202" i="6"/>
  <c r="AQ386" i="6" s="1"/>
  <c r="AP202" i="6"/>
  <c r="AP386" i="6" s="1"/>
  <c r="AO202" i="6"/>
  <c r="AO386" i="6" s="1"/>
  <c r="AN202" i="6"/>
  <c r="AN386" i="6" s="1"/>
  <c r="AM202" i="6"/>
  <c r="AM386" i="6" s="1"/>
  <c r="AL202" i="6"/>
  <c r="AL386" i="6" s="1"/>
  <c r="AK202" i="6"/>
  <c r="AK386" i="6" s="1"/>
  <c r="AJ202" i="6"/>
  <c r="AJ386" i="6" s="1"/>
  <c r="AI202" i="6"/>
  <c r="AI386" i="6" s="1"/>
  <c r="AH202" i="6"/>
  <c r="AH386" i="6" s="1"/>
  <c r="AG202" i="6"/>
  <c r="AG386" i="6" s="1"/>
  <c r="AF202" i="6"/>
  <c r="AF386" i="6" s="1"/>
  <c r="AE202" i="6"/>
  <c r="AE386" i="6" s="1"/>
  <c r="AD202" i="6"/>
  <c r="AD386" i="6" s="1"/>
  <c r="BD201" i="6"/>
  <c r="BD385" i="6" s="1"/>
  <c r="BC201" i="6"/>
  <c r="BC385" i="6" s="1"/>
  <c r="AY201" i="6"/>
  <c r="AY385" i="6" s="1"/>
  <c r="AX201" i="6"/>
  <c r="AX385" i="6" s="1"/>
  <c r="AW201" i="6"/>
  <c r="AW385" i="6" s="1"/>
  <c r="AU201" i="6"/>
  <c r="AU385" i="6" s="1"/>
  <c r="AT201" i="6"/>
  <c r="AT385" i="6" s="1"/>
  <c r="AS201" i="6"/>
  <c r="AS385" i="6" s="1"/>
  <c r="AR201" i="6"/>
  <c r="AR385" i="6" s="1"/>
  <c r="AQ201" i="6"/>
  <c r="AP201" i="6"/>
  <c r="AO201" i="6"/>
  <c r="AO385" i="6" s="1"/>
  <c r="AN201" i="6"/>
  <c r="AN385" i="6" s="1"/>
  <c r="AM201" i="6"/>
  <c r="AM385" i="6" s="1"/>
  <c r="AL201" i="6"/>
  <c r="AL385" i="6" s="1"/>
  <c r="AK201" i="6"/>
  <c r="AK385" i="6" s="1"/>
  <c r="AJ201" i="6"/>
  <c r="AJ385" i="6" s="1"/>
  <c r="AI201" i="6"/>
  <c r="AI385" i="6" s="1"/>
  <c r="AH201" i="6"/>
  <c r="AH385" i="6" s="1"/>
  <c r="AG201" i="6"/>
  <c r="AG385" i="6" s="1"/>
  <c r="AF201" i="6"/>
  <c r="AF385" i="6" s="1"/>
  <c r="AE201" i="6"/>
  <c r="AE385" i="6" s="1"/>
  <c r="AD201" i="6"/>
  <c r="AD385" i="6" s="1"/>
  <c r="BD200" i="6"/>
  <c r="BD384" i="6" s="1"/>
  <c r="BC200" i="6"/>
  <c r="BC384" i="6" s="1"/>
  <c r="AY200" i="6"/>
  <c r="AY384" i="6" s="1"/>
  <c r="AW200" i="6"/>
  <c r="AW384" i="6" s="1"/>
  <c r="AV200" i="6"/>
  <c r="AV384" i="6" s="1"/>
  <c r="AU200" i="6"/>
  <c r="AU384" i="6" s="1"/>
  <c r="AT200" i="6"/>
  <c r="AT384" i="6" s="1"/>
  <c r="AS200" i="6"/>
  <c r="AS384" i="6" s="1"/>
  <c r="AR200" i="6"/>
  <c r="AR384" i="6" s="1"/>
  <c r="AQ200" i="6"/>
  <c r="AP200" i="6"/>
  <c r="AO200" i="6"/>
  <c r="AO384" i="6" s="1"/>
  <c r="AN200" i="6"/>
  <c r="AN384" i="6" s="1"/>
  <c r="AM200" i="6"/>
  <c r="AM384" i="6" s="1"/>
  <c r="AL200" i="6"/>
  <c r="AL384" i="6" s="1"/>
  <c r="AK200" i="6"/>
  <c r="AK384" i="6" s="1"/>
  <c r="AJ200" i="6"/>
  <c r="AJ384" i="6" s="1"/>
  <c r="AI200" i="6"/>
  <c r="AI384" i="6" s="1"/>
  <c r="AH200" i="6"/>
  <c r="AH384" i="6" s="1"/>
  <c r="AG200" i="6"/>
  <c r="AG384" i="6" s="1"/>
  <c r="AF200" i="6"/>
  <c r="AF384" i="6" s="1"/>
  <c r="AE200" i="6"/>
  <c r="AE384" i="6" s="1"/>
  <c r="AD200" i="6"/>
  <c r="AD384" i="6" s="1"/>
  <c r="BD199" i="6"/>
  <c r="BD383" i="6" s="1"/>
  <c r="BC199" i="6"/>
  <c r="BC383" i="6" s="1"/>
  <c r="BB199" i="6"/>
  <c r="BA199" i="6"/>
  <c r="AZ199" i="6"/>
  <c r="AZ383" i="6" s="1"/>
  <c r="AT199" i="6"/>
  <c r="AT383" i="6" s="1"/>
  <c r="AS199" i="6"/>
  <c r="AS383" i="6" s="1"/>
  <c r="AR199" i="6"/>
  <c r="AR383" i="6" s="1"/>
  <c r="AP199" i="6"/>
  <c r="AP383" i="6" s="1"/>
  <c r="AO199" i="6"/>
  <c r="AO383" i="6" s="1"/>
  <c r="AN199" i="6"/>
  <c r="AN383" i="6" s="1"/>
  <c r="AM199" i="6"/>
  <c r="AM383" i="6" s="1"/>
  <c r="AL199" i="6"/>
  <c r="AL383" i="6" s="1"/>
  <c r="AK199" i="6"/>
  <c r="AK383" i="6" s="1"/>
  <c r="AJ199" i="6"/>
  <c r="AJ383" i="6" s="1"/>
  <c r="AI199" i="6"/>
  <c r="AI383" i="6" s="1"/>
  <c r="AH199" i="6"/>
  <c r="AH383" i="6" s="1"/>
  <c r="AG199" i="6"/>
  <c r="AG383" i="6" s="1"/>
  <c r="AF199" i="6"/>
  <c r="AF383" i="6" s="1"/>
  <c r="AE199" i="6"/>
  <c r="AE383" i="6" s="1"/>
  <c r="AD199" i="6"/>
  <c r="AD383" i="6" s="1"/>
  <c r="BD198" i="6"/>
  <c r="BD382" i="6" s="1"/>
  <c r="BC198" i="6"/>
  <c r="BC382" i="6" s="1"/>
  <c r="AZ198" i="6"/>
  <c r="AZ382" i="6" s="1"/>
  <c r="AY198" i="6"/>
  <c r="AY382" i="6" s="1"/>
  <c r="AX198" i="6"/>
  <c r="AX382" i="6" s="1"/>
  <c r="AW198" i="6"/>
  <c r="AW382" i="6" s="1"/>
  <c r="AV198" i="6"/>
  <c r="AV382" i="6" s="1"/>
  <c r="AU198" i="6"/>
  <c r="AU382" i="6" s="1"/>
  <c r="AT198" i="6"/>
  <c r="AT382" i="6" s="1"/>
  <c r="AS198" i="6"/>
  <c r="AS382" i="6" s="1"/>
  <c r="AR198" i="6"/>
  <c r="AR382" i="6" s="1"/>
  <c r="AP198" i="6"/>
  <c r="AP382" i="6" s="1"/>
  <c r="AN198" i="6"/>
  <c r="AN382" i="6" s="1"/>
  <c r="AM198" i="6"/>
  <c r="AM382" i="6" s="1"/>
  <c r="AL198" i="6"/>
  <c r="AL382" i="6" s="1"/>
  <c r="AK198" i="6"/>
  <c r="AK382" i="6" s="1"/>
  <c r="AJ198" i="6"/>
  <c r="AJ382" i="6" s="1"/>
  <c r="AI198" i="6"/>
  <c r="AI382" i="6" s="1"/>
  <c r="AH198" i="6"/>
  <c r="AH382" i="6" s="1"/>
  <c r="AG198" i="6"/>
  <c r="AG382" i="6" s="1"/>
  <c r="AF198" i="6"/>
  <c r="AF382" i="6" s="1"/>
  <c r="AE198" i="6"/>
  <c r="AE382" i="6" s="1"/>
  <c r="AD198" i="6"/>
  <c r="AD382" i="6" s="1"/>
  <c r="BD197" i="6"/>
  <c r="BD381" i="6" s="1"/>
  <c r="BC197" i="6"/>
  <c r="BC381" i="6" s="1"/>
  <c r="BB197" i="6"/>
  <c r="BB381" i="6" s="1"/>
  <c r="BA197" i="6"/>
  <c r="BA381" i="6" s="1"/>
  <c r="AZ197" i="6"/>
  <c r="AZ381" i="6" s="1"/>
  <c r="AY197" i="6"/>
  <c r="AY381" i="6" s="1"/>
  <c r="AX197" i="6"/>
  <c r="AX381" i="6" s="1"/>
  <c r="AW197" i="6"/>
  <c r="AW381" i="6" s="1"/>
  <c r="AV197" i="6"/>
  <c r="AV381" i="6" s="1"/>
  <c r="AU197" i="6"/>
  <c r="AU381" i="6" s="1"/>
  <c r="AT197" i="6"/>
  <c r="AT381" i="6" s="1"/>
  <c r="AS197" i="6"/>
  <c r="AS381" i="6" s="1"/>
  <c r="AR197" i="6"/>
  <c r="AR381" i="6" s="1"/>
  <c r="AN197" i="6"/>
  <c r="AN381" i="6" s="1"/>
  <c r="AM197" i="6"/>
  <c r="AM381" i="6" s="1"/>
  <c r="AL197" i="6"/>
  <c r="AL381" i="6" s="1"/>
  <c r="AK197" i="6"/>
  <c r="AK381" i="6" s="1"/>
  <c r="AJ197" i="6"/>
  <c r="AJ381" i="6" s="1"/>
  <c r="AI197" i="6"/>
  <c r="AI381" i="6" s="1"/>
  <c r="AH197" i="6"/>
  <c r="AH381" i="6" s="1"/>
  <c r="AG197" i="6"/>
  <c r="AG381" i="6" s="1"/>
  <c r="AF197" i="6"/>
  <c r="AF381" i="6" s="1"/>
  <c r="AE197" i="6"/>
  <c r="AE381" i="6" s="1"/>
  <c r="AD197" i="6"/>
  <c r="AD381" i="6" s="1"/>
  <c r="BD196" i="6"/>
  <c r="BD380" i="6" s="1"/>
  <c r="AZ196" i="6"/>
  <c r="AZ380" i="6" s="1"/>
  <c r="AY196" i="6"/>
  <c r="AY380" i="6" s="1"/>
  <c r="AX196" i="6"/>
  <c r="AX380" i="6" s="1"/>
  <c r="AW196" i="6"/>
  <c r="AW380" i="6" s="1"/>
  <c r="AV196" i="6"/>
  <c r="AV380" i="6" s="1"/>
  <c r="AU196" i="6"/>
  <c r="AU380" i="6" s="1"/>
  <c r="AT196" i="6"/>
  <c r="AT380" i="6" s="1"/>
  <c r="AS196" i="6"/>
  <c r="AS380" i="6" s="1"/>
  <c r="AR196" i="6"/>
  <c r="AR380" i="6" s="1"/>
  <c r="AN196" i="6"/>
  <c r="AN380" i="6" s="1"/>
  <c r="AM196" i="6"/>
  <c r="AM380" i="6" s="1"/>
  <c r="AL196" i="6"/>
  <c r="AL380" i="6" s="1"/>
  <c r="AK196" i="6"/>
  <c r="AK380" i="6" s="1"/>
  <c r="AJ196" i="6"/>
  <c r="AJ380" i="6" s="1"/>
  <c r="AI196" i="6"/>
  <c r="AI380" i="6" s="1"/>
  <c r="AH196" i="6"/>
  <c r="AH380" i="6" s="1"/>
  <c r="AG196" i="6"/>
  <c r="AG380" i="6" s="1"/>
  <c r="AF196" i="6"/>
  <c r="AF380" i="6" s="1"/>
  <c r="AE196" i="6"/>
  <c r="AE380" i="6" s="1"/>
  <c r="AD196" i="6"/>
  <c r="AD380" i="6" s="1"/>
  <c r="BD195" i="6"/>
  <c r="BD379" i="6" s="1"/>
  <c r="AZ195" i="6"/>
  <c r="AZ379" i="6" s="1"/>
  <c r="AW195" i="6"/>
  <c r="AW379" i="6" s="1"/>
  <c r="AU195" i="6"/>
  <c r="AU379" i="6" s="1"/>
  <c r="AT195" i="6"/>
  <c r="AT379" i="6" s="1"/>
  <c r="AS195" i="6"/>
  <c r="AS379" i="6" s="1"/>
  <c r="AR195" i="6"/>
  <c r="AR379" i="6" s="1"/>
  <c r="AQ195" i="6"/>
  <c r="AQ379" i="6" s="1"/>
  <c r="AP195" i="6"/>
  <c r="AP379" i="6" s="1"/>
  <c r="AO195" i="6"/>
  <c r="AO379" i="6" s="1"/>
  <c r="AN195" i="6"/>
  <c r="AN379" i="6" s="1"/>
  <c r="AM195" i="6"/>
  <c r="AM379" i="6" s="1"/>
  <c r="AL195" i="6"/>
  <c r="AL379" i="6" s="1"/>
  <c r="AK195" i="6"/>
  <c r="AK379" i="6" s="1"/>
  <c r="AJ195" i="6"/>
  <c r="AJ379" i="6" s="1"/>
  <c r="AI195" i="6"/>
  <c r="AI379" i="6" s="1"/>
  <c r="AH195" i="6"/>
  <c r="AH379" i="6" s="1"/>
  <c r="AG195" i="6"/>
  <c r="AG379" i="6" s="1"/>
  <c r="AF195" i="6"/>
  <c r="AF379" i="6" s="1"/>
  <c r="AE195" i="6"/>
  <c r="AE379" i="6" s="1"/>
  <c r="AD195" i="6"/>
  <c r="AD379" i="6" s="1"/>
  <c r="BD194" i="6"/>
  <c r="BD378" i="6" s="1"/>
  <c r="BC194" i="6"/>
  <c r="BC378" i="6" s="1"/>
  <c r="BB194" i="6"/>
  <c r="BB378" i="6" s="1"/>
  <c r="BA194" i="6"/>
  <c r="BA378" i="6" s="1"/>
  <c r="AZ194" i="6"/>
  <c r="AZ378" i="6" s="1"/>
  <c r="AY194" i="6"/>
  <c r="AY378" i="6" s="1"/>
  <c r="AX194" i="6"/>
  <c r="AX378" i="6" s="1"/>
  <c r="AW194" i="6"/>
  <c r="AW378" i="6" s="1"/>
  <c r="AU194" i="6"/>
  <c r="AU378" i="6" s="1"/>
  <c r="AT194" i="6"/>
  <c r="AT378" i="6" s="1"/>
  <c r="AS194" i="6"/>
  <c r="AS378" i="6" s="1"/>
  <c r="AR194" i="6"/>
  <c r="AR378" i="6" s="1"/>
  <c r="AQ194" i="6"/>
  <c r="AQ378" i="6" s="1"/>
  <c r="AP194" i="6"/>
  <c r="AP378" i="6" s="1"/>
  <c r="AO194" i="6"/>
  <c r="AO378" i="6" s="1"/>
  <c r="AN194" i="6"/>
  <c r="AN378" i="6" s="1"/>
  <c r="AM194" i="6"/>
  <c r="AM378" i="6" s="1"/>
  <c r="AL194" i="6"/>
  <c r="AL378" i="6" s="1"/>
  <c r="AK194" i="6"/>
  <c r="AK378" i="6" s="1"/>
  <c r="AJ194" i="6"/>
  <c r="AJ378" i="6" s="1"/>
  <c r="AI194" i="6"/>
  <c r="AI378" i="6" s="1"/>
  <c r="AH194" i="6"/>
  <c r="AH378" i="6" s="1"/>
  <c r="AG194" i="6"/>
  <c r="AG378" i="6" s="1"/>
  <c r="AF194" i="6"/>
  <c r="AF378" i="6" s="1"/>
  <c r="AE194" i="6"/>
  <c r="AE378" i="6" s="1"/>
  <c r="AD194" i="6"/>
  <c r="AD378" i="6" s="1"/>
  <c r="BD193" i="6"/>
  <c r="BD377" i="6" s="1"/>
  <c r="AZ193" i="6"/>
  <c r="AZ377" i="6" s="1"/>
  <c r="AY193" i="6"/>
  <c r="AY377" i="6" s="1"/>
  <c r="AX193" i="6"/>
  <c r="AX377" i="6" s="1"/>
  <c r="AW193" i="6"/>
  <c r="AW377" i="6" s="1"/>
  <c r="AU193" i="6"/>
  <c r="AU377" i="6" s="1"/>
  <c r="AT193" i="6"/>
  <c r="AT377" i="6" s="1"/>
  <c r="AS193" i="6"/>
  <c r="AS377" i="6" s="1"/>
  <c r="AR193" i="6"/>
  <c r="AR377" i="6" s="1"/>
  <c r="AQ193" i="6"/>
  <c r="AQ377" i="6" s="1"/>
  <c r="AP193" i="6"/>
  <c r="AP377" i="6" s="1"/>
  <c r="AO193" i="6"/>
  <c r="AO377" i="6" s="1"/>
  <c r="AN193" i="6"/>
  <c r="AN377" i="6" s="1"/>
  <c r="AM193" i="6"/>
  <c r="AM377" i="6" s="1"/>
  <c r="AL193" i="6"/>
  <c r="AL377" i="6" s="1"/>
  <c r="AK193" i="6"/>
  <c r="AK377" i="6" s="1"/>
  <c r="AJ193" i="6"/>
  <c r="AJ377" i="6" s="1"/>
  <c r="AI193" i="6"/>
  <c r="AI377" i="6" s="1"/>
  <c r="AH193" i="6"/>
  <c r="AH377" i="6" s="1"/>
  <c r="AG193" i="6"/>
  <c r="AG377" i="6" s="1"/>
  <c r="AF193" i="6"/>
  <c r="AF377" i="6" s="1"/>
  <c r="AE193" i="6"/>
  <c r="AE377" i="6" s="1"/>
  <c r="AD193" i="6"/>
  <c r="AD377" i="6" s="1"/>
  <c r="BD192" i="6"/>
  <c r="BD376" i="6" s="1"/>
  <c r="AZ192" i="6"/>
  <c r="AZ376" i="6" s="1"/>
  <c r="AX192" i="6"/>
  <c r="AX376" i="6" s="1"/>
  <c r="AW192" i="6"/>
  <c r="AW376" i="6" s="1"/>
  <c r="AJ192" i="6"/>
  <c r="AI192" i="6"/>
  <c r="AI376" i="6" s="1"/>
  <c r="AH192" i="6"/>
  <c r="AH376" i="6" s="1"/>
  <c r="AG192" i="6"/>
  <c r="AG376" i="6" s="1"/>
  <c r="AF192" i="6"/>
  <c r="AF376" i="6" s="1"/>
  <c r="AE192" i="6"/>
  <c r="AE376" i="6" s="1"/>
  <c r="AD192" i="6"/>
  <c r="AD376" i="6" s="1"/>
  <c r="BD191" i="6"/>
  <c r="BD375" i="6" s="1"/>
  <c r="BC191" i="6"/>
  <c r="BC375" i="6" s="1"/>
  <c r="BB191" i="6"/>
  <c r="BB375" i="6" s="1"/>
  <c r="BA191" i="6"/>
  <c r="BA375" i="6" s="1"/>
  <c r="AZ191" i="6"/>
  <c r="AZ375" i="6" s="1"/>
  <c r="AY191" i="6"/>
  <c r="AY375" i="6" s="1"/>
  <c r="AX191" i="6"/>
  <c r="AX375" i="6" s="1"/>
  <c r="AW191" i="6"/>
  <c r="AW375" i="6" s="1"/>
  <c r="AT191" i="6"/>
  <c r="AT375" i="6" s="1"/>
  <c r="AS191" i="6"/>
  <c r="AS375" i="6" s="1"/>
  <c r="AR191" i="6"/>
  <c r="AR375" i="6" s="1"/>
  <c r="AQ191" i="6"/>
  <c r="AQ375" i="6" s="1"/>
  <c r="AP191" i="6"/>
  <c r="AP375" i="6" s="1"/>
  <c r="AO191" i="6"/>
  <c r="AO375" i="6" s="1"/>
  <c r="AN191" i="6"/>
  <c r="AN375" i="6" s="1"/>
  <c r="AM191" i="6"/>
  <c r="AM375" i="6" s="1"/>
  <c r="AL191" i="6"/>
  <c r="AL375" i="6" s="1"/>
  <c r="AK191" i="6"/>
  <c r="AK375" i="6" s="1"/>
  <c r="AJ191" i="6"/>
  <c r="AJ375" i="6" s="1"/>
  <c r="AI191" i="6"/>
  <c r="AI375" i="6" s="1"/>
  <c r="AH191" i="6"/>
  <c r="AH375" i="6" s="1"/>
  <c r="AG191" i="6"/>
  <c r="AG375" i="6" s="1"/>
  <c r="AF191" i="6"/>
  <c r="AF375" i="6" s="1"/>
  <c r="AE191" i="6"/>
  <c r="AE375" i="6" s="1"/>
  <c r="AD191" i="6"/>
  <c r="AD375" i="6" s="1"/>
  <c r="BD190" i="6"/>
  <c r="BD374" i="6" s="1"/>
  <c r="AZ190" i="6"/>
  <c r="AZ374" i="6" s="1"/>
  <c r="AY190" i="6"/>
  <c r="AY374" i="6" s="1"/>
  <c r="AX190" i="6"/>
  <c r="AX374" i="6" s="1"/>
  <c r="AW190" i="6"/>
  <c r="AW374" i="6" s="1"/>
  <c r="AT190" i="6"/>
  <c r="AT374" i="6" s="1"/>
  <c r="AS190" i="6"/>
  <c r="AS374" i="6" s="1"/>
  <c r="AR190" i="6"/>
  <c r="AR374" i="6" s="1"/>
  <c r="AQ190" i="6"/>
  <c r="AQ374" i="6" s="1"/>
  <c r="AP190" i="6"/>
  <c r="AP374" i="6" s="1"/>
  <c r="AO190" i="6"/>
  <c r="AO374" i="6" s="1"/>
  <c r="AN190" i="6"/>
  <c r="AN374" i="6" s="1"/>
  <c r="AM190" i="6"/>
  <c r="AM374" i="6" s="1"/>
  <c r="AL190" i="6"/>
  <c r="AL374" i="6" s="1"/>
  <c r="AK190" i="6"/>
  <c r="AK374" i="6" s="1"/>
  <c r="AJ190" i="6"/>
  <c r="AJ374" i="6" s="1"/>
  <c r="AI190" i="6"/>
  <c r="AI374" i="6" s="1"/>
  <c r="AH190" i="6"/>
  <c r="AH374" i="6" s="1"/>
  <c r="AG190" i="6"/>
  <c r="AG374" i="6" s="1"/>
  <c r="AF190" i="6"/>
  <c r="AF374" i="6" s="1"/>
  <c r="AE190" i="6"/>
  <c r="AE374" i="6" s="1"/>
  <c r="AD190" i="6"/>
  <c r="AD374" i="6" s="1"/>
  <c r="BD189" i="6"/>
  <c r="BD373" i="6" s="1"/>
  <c r="AZ189" i="6"/>
  <c r="AZ373" i="6" s="1"/>
  <c r="AW189" i="6"/>
  <c r="AW373" i="6" s="1"/>
  <c r="AV189" i="6"/>
  <c r="AV373" i="6" s="1"/>
  <c r="AU189" i="6"/>
  <c r="AU373" i="6" s="1"/>
  <c r="AT189" i="6"/>
  <c r="AT373" i="6" s="1"/>
  <c r="AS189" i="6"/>
  <c r="AS373" i="6" s="1"/>
  <c r="AR189" i="6"/>
  <c r="AR373" i="6" s="1"/>
  <c r="AQ189" i="6"/>
  <c r="AQ373" i="6" s="1"/>
  <c r="AP189" i="6"/>
  <c r="AP373" i="6" s="1"/>
  <c r="AO189" i="6"/>
  <c r="AO373" i="6" s="1"/>
  <c r="AN189" i="6"/>
  <c r="AN373" i="6" s="1"/>
  <c r="AM189" i="6"/>
  <c r="AM373" i="6" s="1"/>
  <c r="AL189" i="6"/>
  <c r="AL373" i="6" s="1"/>
  <c r="AK189" i="6"/>
  <c r="AK373" i="6" s="1"/>
  <c r="AJ189" i="6"/>
  <c r="AJ373" i="6" s="1"/>
  <c r="AI189" i="6"/>
  <c r="AI373" i="6" s="1"/>
  <c r="AH189" i="6"/>
  <c r="AH373" i="6" s="1"/>
  <c r="AG189" i="6"/>
  <c r="AG373" i="6" s="1"/>
  <c r="AF189" i="6"/>
  <c r="AF373" i="6" s="1"/>
  <c r="AE189" i="6"/>
  <c r="AE373" i="6" s="1"/>
  <c r="AD189" i="6"/>
  <c r="AD373" i="6" s="1"/>
  <c r="BD188" i="6"/>
  <c r="BD372" i="6" s="1"/>
  <c r="BC188" i="6"/>
  <c r="BC372" i="6" s="1"/>
  <c r="BB188" i="6"/>
  <c r="BB372" i="6" s="1"/>
  <c r="BA188" i="6"/>
  <c r="BA372" i="6" s="1"/>
  <c r="AZ188" i="6"/>
  <c r="AZ372" i="6" s="1"/>
  <c r="AY188" i="6"/>
  <c r="AY372" i="6" s="1"/>
  <c r="AX188" i="6"/>
  <c r="AX372" i="6" s="1"/>
  <c r="AW188" i="6"/>
  <c r="AW372" i="6" s="1"/>
  <c r="AV188" i="6"/>
  <c r="AV372" i="6" s="1"/>
  <c r="AU188" i="6"/>
  <c r="AU372" i="6" s="1"/>
  <c r="AT188" i="6"/>
  <c r="AT372" i="6" s="1"/>
  <c r="AS188" i="6"/>
  <c r="AS372" i="6" s="1"/>
  <c r="AR188" i="6"/>
  <c r="AR372" i="6" s="1"/>
  <c r="AQ188" i="6"/>
  <c r="AQ372" i="6" s="1"/>
  <c r="AP188" i="6"/>
  <c r="AP372" i="6" s="1"/>
  <c r="AO188" i="6"/>
  <c r="AO372" i="6" s="1"/>
  <c r="AN188" i="6"/>
  <c r="AN372" i="6" s="1"/>
  <c r="AM188" i="6"/>
  <c r="AM372" i="6" s="1"/>
  <c r="AL188" i="6"/>
  <c r="AL372" i="6" s="1"/>
  <c r="AK188" i="6"/>
  <c r="AK372" i="6" s="1"/>
  <c r="AJ188" i="6"/>
  <c r="AJ372" i="6" s="1"/>
  <c r="AI188" i="6"/>
  <c r="AI372" i="6" s="1"/>
  <c r="AH188" i="6"/>
  <c r="AH372" i="6" s="1"/>
  <c r="AG188" i="6"/>
  <c r="AG372" i="6" s="1"/>
  <c r="AF188" i="6"/>
  <c r="AF372" i="6" s="1"/>
  <c r="AE188" i="6"/>
  <c r="AE372" i="6" s="1"/>
  <c r="AD188" i="6"/>
  <c r="AD372" i="6" s="1"/>
  <c r="BD187" i="6"/>
  <c r="BD371" i="6" s="1"/>
  <c r="BA187" i="6"/>
  <c r="BA371" i="6" s="1"/>
  <c r="AZ187" i="6"/>
  <c r="AZ371" i="6" s="1"/>
  <c r="AY187" i="6"/>
  <c r="AY371" i="6" s="1"/>
  <c r="AX187" i="6"/>
  <c r="AX371" i="6" s="1"/>
  <c r="AW187" i="6"/>
  <c r="AW371" i="6" s="1"/>
  <c r="AV187" i="6"/>
  <c r="AV371" i="6" s="1"/>
  <c r="AU187" i="6"/>
  <c r="AU371" i="6" s="1"/>
  <c r="AT187" i="6"/>
  <c r="AT371" i="6" s="1"/>
  <c r="AS187" i="6"/>
  <c r="AS371" i="6" s="1"/>
  <c r="AR187" i="6"/>
  <c r="AR371" i="6" s="1"/>
  <c r="AQ187" i="6"/>
  <c r="AQ371" i="6" s="1"/>
  <c r="AP187" i="6"/>
  <c r="AP371" i="6" s="1"/>
  <c r="AO187" i="6"/>
  <c r="AO371" i="6" s="1"/>
  <c r="AN187" i="6"/>
  <c r="AN371" i="6" s="1"/>
  <c r="AM187" i="6"/>
  <c r="AM371" i="6" s="1"/>
  <c r="AL187" i="6"/>
  <c r="AL371" i="6" s="1"/>
  <c r="AK187" i="6"/>
  <c r="AK371" i="6" s="1"/>
  <c r="AJ187" i="6"/>
  <c r="AJ371" i="6" s="1"/>
  <c r="AI187" i="6"/>
  <c r="AI371" i="6" s="1"/>
  <c r="AH187" i="6"/>
  <c r="AH371" i="6" s="1"/>
  <c r="AG187" i="6"/>
  <c r="AG371" i="6" s="1"/>
  <c r="AF187" i="6"/>
  <c r="AF371" i="6" s="1"/>
  <c r="AE187" i="6"/>
  <c r="AE371" i="6" s="1"/>
  <c r="AD187" i="6"/>
  <c r="AD371" i="6" s="1"/>
  <c r="BD186" i="6"/>
  <c r="BD370" i="6" s="1"/>
  <c r="BC186" i="6"/>
  <c r="BC370" i="6" s="1"/>
  <c r="BB186" i="6"/>
  <c r="BB370" i="6" s="1"/>
  <c r="AZ186" i="6"/>
  <c r="AZ370" i="6" s="1"/>
  <c r="AY186" i="6"/>
  <c r="AY370" i="6" s="1"/>
  <c r="AX186" i="6"/>
  <c r="AX370" i="6" s="1"/>
  <c r="AW186" i="6"/>
  <c r="AW370" i="6" s="1"/>
  <c r="AU186" i="6"/>
  <c r="AU370" i="6" s="1"/>
  <c r="AT186" i="6"/>
  <c r="AT370" i="6" s="1"/>
  <c r="AS186" i="6"/>
  <c r="AS370" i="6" s="1"/>
  <c r="AR186" i="6"/>
  <c r="AR370" i="6" s="1"/>
  <c r="AP186" i="6"/>
  <c r="AP370" i="6" s="1"/>
  <c r="AO186" i="6"/>
  <c r="AO370" i="6" s="1"/>
  <c r="AN186" i="6"/>
  <c r="AN370" i="6" s="1"/>
  <c r="AM186" i="6"/>
  <c r="AM370" i="6" s="1"/>
  <c r="AL186" i="6"/>
  <c r="AL370" i="6" s="1"/>
  <c r="AK186" i="6"/>
  <c r="AK370" i="6" s="1"/>
  <c r="AJ186" i="6"/>
  <c r="AJ370" i="6" s="1"/>
  <c r="AI186" i="6"/>
  <c r="AI370" i="6" s="1"/>
  <c r="AH186" i="6"/>
  <c r="AH370" i="6" s="1"/>
  <c r="AG186" i="6"/>
  <c r="AG370" i="6" s="1"/>
  <c r="AF186" i="6"/>
  <c r="AF370" i="6" s="1"/>
  <c r="AE186" i="6"/>
  <c r="AE370" i="6" s="1"/>
  <c r="AD186" i="6"/>
  <c r="AD370" i="6" s="1"/>
  <c r="BD185" i="6"/>
  <c r="BD369" i="6" s="1"/>
  <c r="BC185" i="6"/>
  <c r="BC369" i="6" s="1"/>
  <c r="BB185" i="6"/>
  <c r="BB369" i="6" s="1"/>
  <c r="BA185" i="6"/>
  <c r="BA369" i="6" s="1"/>
  <c r="AZ185" i="6"/>
  <c r="AZ369" i="6" s="1"/>
  <c r="AY185" i="6"/>
  <c r="AY369" i="6" s="1"/>
  <c r="AX185" i="6"/>
  <c r="AX369" i="6" s="1"/>
  <c r="AW185" i="6"/>
  <c r="AW369" i="6" s="1"/>
  <c r="AV185" i="6"/>
  <c r="AV369" i="6" s="1"/>
  <c r="AL165" i="6"/>
  <c r="AI140" i="6"/>
  <c r="AI322" i="6" s="1"/>
  <c r="AI506" i="6" s="1"/>
  <c r="AO128" i="6"/>
  <c r="AO310" i="6" s="1"/>
  <c r="AO494" i="6" s="1"/>
  <c r="AU108" i="6"/>
  <c r="AU290" i="6" s="1"/>
  <c r="AU474" i="6" s="1"/>
  <c r="AF97" i="6"/>
  <c r="AL80" i="6"/>
  <c r="AI56" i="6"/>
  <c r="BH14" i="4" l="1"/>
  <c r="AI141" i="6"/>
  <c r="AL33" i="6"/>
  <c r="AR87" i="6"/>
  <c r="AR88" i="6"/>
  <c r="AI323" i="6"/>
  <c r="AI507" i="6" s="1"/>
  <c r="AI55" i="6"/>
  <c r="AR89" i="6"/>
  <c r="AU244" i="6"/>
  <c r="AF279" i="6"/>
  <c r="AF463" i="6" s="1"/>
  <c r="AU245" i="6"/>
  <c r="AD570" i="6"/>
  <c r="AD562" i="6"/>
  <c r="AD569" i="6"/>
  <c r="Y7" i="32"/>
  <c r="Z7" i="32"/>
  <c r="AA7" i="32"/>
  <c r="AB7" i="32"/>
  <c r="AC7" i="32"/>
  <c r="AD7" i="32"/>
  <c r="AE7" i="32"/>
  <c r="BG15" i="4" l="1"/>
  <c r="AI143" i="6"/>
  <c r="AI327" i="6" s="1"/>
  <c r="AI509" i="6" s="1"/>
  <c r="AD563" i="6"/>
  <c r="AD571" i="6"/>
  <c r="AR70" i="6"/>
  <c r="AR71" i="6"/>
  <c r="AR72" i="6"/>
  <c r="AP58" i="3"/>
  <c r="BG16" i="4" l="1"/>
  <c r="AD572" i="6"/>
  <c r="AD564" i="6"/>
  <c r="AB303" i="3"/>
  <c r="AB304" i="3" s="1"/>
  <c r="AB305" i="3" s="1"/>
  <c r="AB306" i="3" s="1"/>
  <c r="AB307" i="3" s="1"/>
  <c r="AB308" i="3" s="1"/>
  <c r="AB288" i="3"/>
  <c r="AB280" i="3"/>
  <c r="AB289" i="3" s="1"/>
  <c r="AO264" i="3"/>
  <c r="AW252" i="3"/>
  <c r="AV252" i="3"/>
  <c r="AK252" i="3"/>
  <c r="AS250" i="3"/>
  <c r="AW249" i="3"/>
  <c r="AV249" i="3"/>
  <c r="AO247" i="3"/>
  <c r="AW246" i="3"/>
  <c r="AV246" i="3"/>
  <c r="AP246" i="3"/>
  <c r="AO246" i="3"/>
  <c r="AP245" i="3"/>
  <c r="AO245" i="3"/>
  <c r="AJ238" i="3"/>
  <c r="AW225" i="3"/>
  <c r="AV225" i="3"/>
  <c r="AT225" i="3"/>
  <c r="AS225" i="3"/>
  <c r="AR225" i="3"/>
  <c r="AP225" i="3"/>
  <c r="AO225" i="3"/>
  <c r="AN225" i="3"/>
  <c r="AM225" i="3"/>
  <c r="AL225" i="3"/>
  <c r="AW224" i="3"/>
  <c r="AV224" i="3"/>
  <c r="AU224" i="3"/>
  <c r="AT224" i="3"/>
  <c r="AS224" i="3"/>
  <c r="AR224" i="3"/>
  <c r="AQ224" i="3"/>
  <c r="AP224" i="3"/>
  <c r="AO224" i="3"/>
  <c r="AN224" i="3"/>
  <c r="AM224" i="3"/>
  <c r="AL224" i="3"/>
  <c r="AW223" i="3"/>
  <c r="AV223" i="3"/>
  <c r="AU223" i="3"/>
  <c r="AT223" i="3"/>
  <c r="AP223" i="3"/>
  <c r="AO223" i="3"/>
  <c r="AN223" i="3"/>
  <c r="AM223" i="3"/>
  <c r="AL223" i="3"/>
  <c r="AW222" i="3"/>
  <c r="AV222" i="3"/>
  <c r="AU222" i="3"/>
  <c r="AT222" i="3"/>
  <c r="AP222" i="3"/>
  <c r="AO222" i="3"/>
  <c r="AN222" i="3"/>
  <c r="AW221" i="3"/>
  <c r="AV221" i="3"/>
  <c r="AU221" i="3"/>
  <c r="AT221" i="3"/>
  <c r="AS221" i="3"/>
  <c r="AR221" i="3"/>
  <c r="AQ221" i="3"/>
  <c r="AP221" i="3"/>
  <c r="AO221" i="3"/>
  <c r="AN221" i="3"/>
  <c r="AW220" i="3"/>
  <c r="AV220" i="3"/>
  <c r="AU220" i="3"/>
  <c r="AT220" i="3"/>
  <c r="AP220" i="3"/>
  <c r="AO220" i="3"/>
  <c r="AN220" i="3"/>
  <c r="AL220" i="3"/>
  <c r="AW219" i="3"/>
  <c r="AV219" i="3"/>
  <c r="AU219" i="3"/>
  <c r="AT219" i="3"/>
  <c r="AP219" i="3"/>
  <c r="AO219" i="3"/>
  <c r="AN219" i="3"/>
  <c r="AL219" i="3"/>
  <c r="AW218" i="3"/>
  <c r="AV218" i="3"/>
  <c r="AU218" i="3"/>
  <c r="AT218" i="3"/>
  <c r="AS218" i="3"/>
  <c r="AR218" i="3"/>
  <c r="AQ218" i="3"/>
  <c r="AP218" i="3"/>
  <c r="AO218" i="3"/>
  <c r="AN218" i="3"/>
  <c r="AW217" i="3"/>
  <c r="AV217" i="3"/>
  <c r="AU217" i="3"/>
  <c r="AT217" i="3"/>
  <c r="AP217" i="3"/>
  <c r="AO217" i="3"/>
  <c r="AN217" i="3"/>
  <c r="AI217" i="3"/>
  <c r="AW216" i="3"/>
  <c r="AV216" i="3"/>
  <c r="AU216" i="3"/>
  <c r="AT216" i="3"/>
  <c r="AP216" i="3"/>
  <c r="AO216" i="3"/>
  <c r="AN216" i="3"/>
  <c r="AM216" i="3"/>
  <c r="AL216" i="3"/>
  <c r="AW215" i="3"/>
  <c r="AV215" i="3"/>
  <c r="AU215" i="3"/>
  <c r="AT215" i="3"/>
  <c r="AS215" i="3"/>
  <c r="AR215" i="3"/>
  <c r="AQ215" i="3"/>
  <c r="AP215" i="3"/>
  <c r="AO215" i="3"/>
  <c r="AN215" i="3"/>
  <c r="AM215" i="3"/>
  <c r="AL215" i="3"/>
  <c r="AW214" i="3"/>
  <c r="AV214" i="3"/>
  <c r="AU214" i="3"/>
  <c r="AT214" i="3"/>
  <c r="AQ214" i="3"/>
  <c r="AP214" i="3"/>
  <c r="AO214" i="3"/>
  <c r="AN214" i="3"/>
  <c r="AM214" i="3"/>
  <c r="AL214" i="3"/>
  <c r="AW213" i="3"/>
  <c r="AV213" i="3"/>
  <c r="AU213" i="3"/>
  <c r="AT213" i="3"/>
  <c r="AS213" i="3"/>
  <c r="AR213" i="3"/>
  <c r="AQ213" i="3"/>
  <c r="AP213" i="3"/>
  <c r="AO213" i="3"/>
  <c r="AN213" i="3"/>
  <c r="AM213" i="3"/>
  <c r="AL213" i="3"/>
  <c r="AW212" i="3"/>
  <c r="AV212" i="3"/>
  <c r="AU212" i="3"/>
  <c r="AT212" i="3"/>
  <c r="AS212" i="3"/>
  <c r="AR212" i="3"/>
  <c r="AQ212" i="3"/>
  <c r="AP212" i="3"/>
  <c r="AO212" i="3"/>
  <c r="AN212" i="3"/>
  <c r="AM212" i="3"/>
  <c r="AL212" i="3"/>
  <c r="AW211" i="3"/>
  <c r="AV211" i="3"/>
  <c r="AU211" i="3"/>
  <c r="AT211" i="3"/>
  <c r="AS211" i="3"/>
  <c r="AR211" i="3"/>
  <c r="AQ211" i="3"/>
  <c r="AP211" i="3"/>
  <c r="AO211" i="3"/>
  <c r="AN211" i="3"/>
  <c r="AM211" i="3"/>
  <c r="AL211" i="3"/>
  <c r="AW210" i="3"/>
  <c r="AV210" i="3"/>
  <c r="AU210" i="3"/>
  <c r="AT210" i="3"/>
  <c r="AS210" i="3"/>
  <c r="AR210" i="3"/>
  <c r="AQ210" i="3"/>
  <c r="AP210" i="3"/>
  <c r="AO210" i="3"/>
  <c r="AN210" i="3"/>
  <c r="AM210" i="3"/>
  <c r="AL210" i="3"/>
  <c r="AT209" i="3"/>
  <c r="AS209" i="3"/>
  <c r="AR209" i="3"/>
  <c r="AQ209" i="3"/>
  <c r="AP209" i="3"/>
  <c r="AO209" i="3"/>
  <c r="AN209" i="3"/>
  <c r="AM209" i="3"/>
  <c r="AL209" i="3"/>
  <c r="AN208" i="3"/>
  <c r="AM208" i="3"/>
  <c r="AL208" i="3"/>
  <c r="AN207" i="3"/>
  <c r="AM207" i="3"/>
  <c r="AL207" i="3"/>
  <c r="AL206" i="3"/>
  <c r="AP204" i="3"/>
  <c r="AN204" i="3"/>
  <c r="AM204" i="3"/>
  <c r="AL204" i="3"/>
  <c r="AN203" i="3"/>
  <c r="AM203" i="3"/>
  <c r="AL203" i="3"/>
  <c r="AN202" i="3"/>
  <c r="AM202" i="3"/>
  <c r="AL202" i="3"/>
  <c r="AN201" i="3"/>
  <c r="AN200" i="3"/>
  <c r="AN199" i="3"/>
  <c r="AL199" i="3"/>
  <c r="AJ199" i="3"/>
  <c r="AL198" i="3"/>
  <c r="AI198" i="3"/>
  <c r="AM197" i="3"/>
  <c r="AL197" i="3"/>
  <c r="AL194" i="3"/>
  <c r="AP193" i="3"/>
  <c r="AL193" i="3"/>
  <c r="AM192" i="3"/>
  <c r="AL192" i="3"/>
  <c r="AN191" i="3"/>
  <c r="AM191" i="3"/>
  <c r="AL191" i="3"/>
  <c r="AN190" i="3"/>
  <c r="AM190" i="3"/>
  <c r="AL190" i="3"/>
  <c r="AN189" i="3"/>
  <c r="AM189" i="3"/>
  <c r="AL189" i="3"/>
  <c r="AO188" i="3"/>
  <c r="AW179" i="3"/>
  <c r="AW269" i="3" s="1"/>
  <c r="AV179" i="3"/>
  <c r="AV269" i="3" s="1"/>
  <c r="AT179" i="3"/>
  <c r="AT269" i="3" s="1"/>
  <c r="AS179" i="3"/>
  <c r="AS269" i="3" s="1"/>
  <c r="AR179" i="3"/>
  <c r="AR269" i="3" s="1"/>
  <c r="AP179" i="3"/>
  <c r="AP269" i="3" s="1"/>
  <c r="AO179" i="3"/>
  <c r="AO269" i="3" s="1"/>
  <c r="AN179" i="3"/>
  <c r="AN269" i="3" s="1"/>
  <c r="AM179" i="3"/>
  <c r="AM269" i="3" s="1"/>
  <c r="AL179" i="3"/>
  <c r="AL269" i="3" s="1"/>
  <c r="AK179" i="3"/>
  <c r="AK269" i="3" s="1"/>
  <c r="AI179" i="3"/>
  <c r="AI269" i="3" s="1"/>
  <c r="AH179" i="3"/>
  <c r="AH269" i="3" s="1"/>
  <c r="AG179" i="3"/>
  <c r="AG269" i="3" s="1"/>
  <c r="AF179" i="3"/>
  <c r="AF269" i="3" s="1"/>
  <c r="AE179" i="3"/>
  <c r="AE269" i="3" s="1"/>
  <c r="AD179" i="3"/>
  <c r="AD269" i="3" s="1"/>
  <c r="AC179" i="3"/>
  <c r="AC269" i="3" s="1"/>
  <c r="AB179" i="3"/>
  <c r="AB269" i="3" s="1"/>
  <c r="AW178" i="3"/>
  <c r="AW268" i="3" s="1"/>
  <c r="AV178" i="3"/>
  <c r="AV268" i="3" s="1"/>
  <c r="AU178" i="3"/>
  <c r="AU268" i="3" s="1"/>
  <c r="AT178" i="3"/>
  <c r="AT268" i="3" s="1"/>
  <c r="AS178" i="3"/>
  <c r="AS268" i="3" s="1"/>
  <c r="AR178" i="3"/>
  <c r="AR268" i="3" s="1"/>
  <c r="AQ178" i="3"/>
  <c r="AQ268" i="3" s="1"/>
  <c r="AP178" i="3"/>
  <c r="AP268" i="3" s="1"/>
  <c r="AO178" i="3"/>
  <c r="AO268" i="3" s="1"/>
  <c r="AN178" i="3"/>
  <c r="AN268" i="3" s="1"/>
  <c r="AM178" i="3"/>
  <c r="AM268" i="3" s="1"/>
  <c r="AL178" i="3"/>
  <c r="AL268" i="3" s="1"/>
  <c r="AK178" i="3"/>
  <c r="AK268" i="3" s="1"/>
  <c r="AJ178" i="3"/>
  <c r="AJ268" i="3" s="1"/>
  <c r="AI178" i="3"/>
  <c r="AI268" i="3" s="1"/>
  <c r="AH178" i="3"/>
  <c r="AH268" i="3" s="1"/>
  <c r="AG178" i="3"/>
  <c r="AG268" i="3" s="1"/>
  <c r="AF178" i="3"/>
  <c r="AF268" i="3" s="1"/>
  <c r="AE178" i="3"/>
  <c r="AE268" i="3" s="1"/>
  <c r="AD178" i="3"/>
  <c r="AD268" i="3" s="1"/>
  <c r="AC178" i="3"/>
  <c r="AC268" i="3" s="1"/>
  <c r="AB178" i="3"/>
  <c r="AB268" i="3" s="1"/>
  <c r="AW177" i="3"/>
  <c r="AW267" i="3" s="1"/>
  <c r="AV177" i="3"/>
  <c r="AV267" i="3" s="1"/>
  <c r="AU177" i="3"/>
  <c r="AU267" i="3" s="1"/>
  <c r="AT177" i="3"/>
  <c r="AT267" i="3" s="1"/>
  <c r="AS177" i="3"/>
  <c r="AS267" i="3" s="1"/>
  <c r="AR177" i="3"/>
  <c r="AR267" i="3" s="1"/>
  <c r="AQ177" i="3"/>
  <c r="AQ267" i="3" s="1"/>
  <c r="AP177" i="3"/>
  <c r="AP267" i="3" s="1"/>
  <c r="AO177" i="3"/>
  <c r="AO267" i="3" s="1"/>
  <c r="AN177" i="3"/>
  <c r="AN267" i="3" s="1"/>
  <c r="AM177" i="3"/>
  <c r="AM267" i="3" s="1"/>
  <c r="AL177" i="3"/>
  <c r="AL267" i="3" s="1"/>
  <c r="AK177" i="3"/>
  <c r="AK267" i="3" s="1"/>
  <c r="AJ177" i="3"/>
  <c r="AJ267" i="3" s="1"/>
  <c r="AI177" i="3"/>
  <c r="AI267" i="3" s="1"/>
  <c r="AH177" i="3"/>
  <c r="AH267" i="3" s="1"/>
  <c r="AG177" i="3"/>
  <c r="AG267" i="3" s="1"/>
  <c r="AF177" i="3"/>
  <c r="AF267" i="3" s="1"/>
  <c r="AE177" i="3"/>
  <c r="AE267" i="3" s="1"/>
  <c r="AD177" i="3"/>
  <c r="AD267" i="3" s="1"/>
  <c r="AC177" i="3"/>
  <c r="AC267" i="3" s="1"/>
  <c r="AB177" i="3"/>
  <c r="AB267" i="3" s="1"/>
  <c r="AW176" i="3"/>
  <c r="AW266" i="3" s="1"/>
  <c r="AV176" i="3"/>
  <c r="AV266" i="3" s="1"/>
  <c r="AU176" i="3"/>
  <c r="AU266" i="3" s="1"/>
  <c r="AT176" i="3"/>
  <c r="AT266" i="3" s="1"/>
  <c r="AS176" i="3"/>
  <c r="AS266" i="3" s="1"/>
  <c r="AR176" i="3"/>
  <c r="AR266" i="3" s="1"/>
  <c r="AQ176" i="3"/>
  <c r="AQ266" i="3" s="1"/>
  <c r="AP176" i="3"/>
  <c r="AP266" i="3" s="1"/>
  <c r="AO176" i="3"/>
  <c r="AO266" i="3" s="1"/>
  <c r="AN176" i="3"/>
  <c r="AN266" i="3" s="1"/>
  <c r="AM176" i="3"/>
  <c r="AM266" i="3" s="1"/>
  <c r="AL176" i="3"/>
  <c r="AL266" i="3" s="1"/>
  <c r="AK176" i="3"/>
  <c r="AK266" i="3" s="1"/>
  <c r="AJ176" i="3"/>
  <c r="AJ266" i="3" s="1"/>
  <c r="AI176" i="3"/>
  <c r="AI266" i="3" s="1"/>
  <c r="AH176" i="3"/>
  <c r="AH266" i="3" s="1"/>
  <c r="AG176" i="3"/>
  <c r="AG266" i="3" s="1"/>
  <c r="AF176" i="3"/>
  <c r="AF266" i="3" s="1"/>
  <c r="AE176" i="3"/>
  <c r="AE266" i="3" s="1"/>
  <c r="AD176" i="3"/>
  <c r="AD266" i="3" s="1"/>
  <c r="AC176" i="3"/>
  <c r="AC266" i="3" s="1"/>
  <c r="AB176" i="3"/>
  <c r="AB266" i="3" s="1"/>
  <c r="AW175" i="3"/>
  <c r="AW265" i="3" s="1"/>
  <c r="AV175" i="3"/>
  <c r="AV265" i="3" s="1"/>
  <c r="AU175" i="3"/>
  <c r="AU265" i="3" s="1"/>
  <c r="AT175" i="3"/>
  <c r="AT265" i="3" s="1"/>
  <c r="AP175" i="3"/>
  <c r="AP265" i="3" s="1"/>
  <c r="AO175" i="3"/>
  <c r="AO265" i="3" s="1"/>
  <c r="AN175" i="3"/>
  <c r="AN265" i="3" s="1"/>
  <c r="AM175" i="3"/>
  <c r="AM265" i="3" s="1"/>
  <c r="AL175" i="3"/>
  <c r="AL265" i="3" s="1"/>
  <c r="AK175" i="3"/>
  <c r="AK265" i="3" s="1"/>
  <c r="AJ175" i="3"/>
  <c r="AJ265" i="3" s="1"/>
  <c r="AI175" i="3"/>
  <c r="AI265" i="3" s="1"/>
  <c r="AH175" i="3"/>
  <c r="AH265" i="3" s="1"/>
  <c r="AG175" i="3"/>
  <c r="AG265" i="3" s="1"/>
  <c r="AF175" i="3"/>
  <c r="AF265" i="3" s="1"/>
  <c r="AE175" i="3"/>
  <c r="AE265" i="3" s="1"/>
  <c r="AD175" i="3"/>
  <c r="AD265" i="3" s="1"/>
  <c r="AC175" i="3"/>
  <c r="AC265" i="3" s="1"/>
  <c r="AB175" i="3"/>
  <c r="AB265" i="3" s="1"/>
  <c r="AW174" i="3"/>
  <c r="AW264" i="3" s="1"/>
  <c r="AV174" i="3"/>
  <c r="AV264" i="3" s="1"/>
  <c r="AU174" i="3"/>
  <c r="AU264" i="3" s="1"/>
  <c r="AT174" i="3"/>
  <c r="AT264" i="3" s="1"/>
  <c r="AP174" i="3"/>
  <c r="AP264" i="3" s="1"/>
  <c r="AN174" i="3"/>
  <c r="AN264" i="3" s="1"/>
  <c r="AL174" i="3"/>
  <c r="AL264" i="3" s="1"/>
  <c r="AK174" i="3"/>
  <c r="AK264" i="3" s="1"/>
  <c r="AJ174" i="3"/>
  <c r="AJ264" i="3" s="1"/>
  <c r="AI174" i="3"/>
  <c r="AI264" i="3" s="1"/>
  <c r="AH174" i="3"/>
  <c r="AH264" i="3" s="1"/>
  <c r="AG174" i="3"/>
  <c r="AG264" i="3" s="1"/>
  <c r="AF174" i="3"/>
  <c r="AF264" i="3" s="1"/>
  <c r="AE174" i="3"/>
  <c r="AE264" i="3" s="1"/>
  <c r="AD174" i="3"/>
  <c r="AD264" i="3" s="1"/>
  <c r="AC174" i="3"/>
  <c r="AC264" i="3" s="1"/>
  <c r="AB174" i="3"/>
  <c r="AB264" i="3" s="1"/>
  <c r="AW173" i="3"/>
  <c r="AW263" i="3" s="1"/>
  <c r="AV173" i="3"/>
  <c r="AV263" i="3" s="1"/>
  <c r="AU173" i="3"/>
  <c r="AU263" i="3" s="1"/>
  <c r="AT173" i="3"/>
  <c r="AT263" i="3" s="1"/>
  <c r="AS173" i="3"/>
  <c r="AS263" i="3" s="1"/>
  <c r="AR173" i="3"/>
  <c r="AR263" i="3" s="1"/>
  <c r="AQ173" i="3"/>
  <c r="AQ263" i="3" s="1"/>
  <c r="AP173" i="3"/>
  <c r="AP263" i="3" s="1"/>
  <c r="AO173" i="3"/>
  <c r="AO263" i="3" s="1"/>
  <c r="AN173" i="3"/>
  <c r="AN263" i="3" s="1"/>
  <c r="AL173" i="3"/>
  <c r="AL263" i="3" s="1"/>
  <c r="AK173" i="3"/>
  <c r="AK263" i="3" s="1"/>
  <c r="AJ173" i="3"/>
  <c r="AJ263" i="3" s="1"/>
  <c r="AI173" i="3"/>
  <c r="AI263" i="3" s="1"/>
  <c r="AH173" i="3"/>
  <c r="AH263" i="3" s="1"/>
  <c r="AG173" i="3"/>
  <c r="AG263" i="3" s="1"/>
  <c r="AF173" i="3"/>
  <c r="AF263" i="3" s="1"/>
  <c r="AE173" i="3"/>
  <c r="AE263" i="3" s="1"/>
  <c r="AD173" i="3"/>
  <c r="AD263" i="3" s="1"/>
  <c r="AC173" i="3"/>
  <c r="AC263" i="3" s="1"/>
  <c r="AB173" i="3"/>
  <c r="AB263" i="3" s="1"/>
  <c r="AW172" i="3"/>
  <c r="AW262" i="3" s="1"/>
  <c r="AV172" i="3"/>
  <c r="AV262" i="3" s="1"/>
  <c r="AU172" i="3"/>
  <c r="AU262" i="3" s="1"/>
  <c r="AT172" i="3"/>
  <c r="AT262" i="3" s="1"/>
  <c r="AP172" i="3"/>
  <c r="AP262" i="3" s="1"/>
  <c r="AO172" i="3"/>
  <c r="AO262" i="3" s="1"/>
  <c r="AN172" i="3"/>
  <c r="AN262" i="3" s="1"/>
  <c r="AL172" i="3"/>
  <c r="AL262" i="3" s="1"/>
  <c r="AI172" i="3"/>
  <c r="AI262" i="3" s="1"/>
  <c r="AH172" i="3"/>
  <c r="AH262" i="3" s="1"/>
  <c r="AG172" i="3"/>
  <c r="AG262" i="3" s="1"/>
  <c r="AF172" i="3"/>
  <c r="AF262" i="3" s="1"/>
  <c r="AE172" i="3"/>
  <c r="AE262" i="3" s="1"/>
  <c r="AD172" i="3"/>
  <c r="AD262" i="3" s="1"/>
  <c r="AC172" i="3"/>
  <c r="AC262" i="3" s="1"/>
  <c r="AB172" i="3"/>
  <c r="AB262" i="3" s="1"/>
  <c r="AW171" i="3"/>
  <c r="AW261" i="3" s="1"/>
  <c r="AV171" i="3"/>
  <c r="AV261" i="3" s="1"/>
  <c r="AU171" i="3"/>
  <c r="AU261" i="3" s="1"/>
  <c r="AT171" i="3"/>
  <c r="AT261" i="3" s="1"/>
  <c r="AP171" i="3"/>
  <c r="AP261" i="3" s="1"/>
  <c r="AO171" i="3"/>
  <c r="AO261" i="3" s="1"/>
  <c r="AN171" i="3"/>
  <c r="AN261" i="3" s="1"/>
  <c r="AL171" i="3"/>
  <c r="AL261" i="3" s="1"/>
  <c r="AK171" i="3"/>
  <c r="AK261" i="3" s="1"/>
  <c r="AJ171" i="3"/>
  <c r="AJ261" i="3" s="1"/>
  <c r="AI171" i="3"/>
  <c r="AI261" i="3" s="1"/>
  <c r="AH171" i="3"/>
  <c r="AH261" i="3" s="1"/>
  <c r="AG171" i="3"/>
  <c r="AG261" i="3" s="1"/>
  <c r="AF171" i="3"/>
  <c r="AF261" i="3" s="1"/>
  <c r="AE171" i="3"/>
  <c r="AE261" i="3" s="1"/>
  <c r="AD171" i="3"/>
  <c r="AD261" i="3" s="1"/>
  <c r="AC171" i="3"/>
  <c r="AC261" i="3" s="1"/>
  <c r="AB171" i="3"/>
  <c r="AB261" i="3" s="1"/>
  <c r="AW170" i="3"/>
  <c r="AW260" i="3" s="1"/>
  <c r="AV170" i="3"/>
  <c r="AV260" i="3" s="1"/>
  <c r="AU170" i="3"/>
  <c r="AU260" i="3" s="1"/>
  <c r="AT170" i="3"/>
  <c r="AT260" i="3" s="1"/>
  <c r="AS170" i="3"/>
  <c r="AS260" i="3" s="1"/>
  <c r="AR170" i="3"/>
  <c r="AR260" i="3" s="1"/>
  <c r="AQ170" i="3"/>
  <c r="AQ260" i="3" s="1"/>
  <c r="AP170" i="3"/>
  <c r="AP260" i="3" s="1"/>
  <c r="AO170" i="3"/>
  <c r="AO260" i="3" s="1"/>
  <c r="AN170" i="3"/>
  <c r="AN260" i="3" s="1"/>
  <c r="AL170" i="3"/>
  <c r="AL260" i="3" s="1"/>
  <c r="AK170" i="3"/>
  <c r="AK260" i="3" s="1"/>
  <c r="AJ170" i="3"/>
  <c r="AJ260" i="3" s="1"/>
  <c r="AI170" i="3"/>
  <c r="AI260" i="3" s="1"/>
  <c r="AH170" i="3"/>
  <c r="AH260" i="3" s="1"/>
  <c r="AG170" i="3"/>
  <c r="AG260" i="3" s="1"/>
  <c r="AF170" i="3"/>
  <c r="AF260" i="3" s="1"/>
  <c r="AE170" i="3"/>
  <c r="AE260" i="3" s="1"/>
  <c r="AD170" i="3"/>
  <c r="AD260" i="3" s="1"/>
  <c r="AC170" i="3"/>
  <c r="AC260" i="3" s="1"/>
  <c r="AB170" i="3"/>
  <c r="AB260" i="3" s="1"/>
  <c r="AW169" i="3"/>
  <c r="AW259" i="3" s="1"/>
  <c r="AV169" i="3"/>
  <c r="AV259" i="3" s="1"/>
  <c r="AU169" i="3"/>
  <c r="AU259" i="3" s="1"/>
  <c r="AT169" i="3"/>
  <c r="AT259" i="3" s="1"/>
  <c r="AP169" i="3"/>
  <c r="AP259" i="3" s="1"/>
  <c r="AO169" i="3"/>
  <c r="AO259" i="3" s="1"/>
  <c r="AN169" i="3"/>
  <c r="AN259" i="3" s="1"/>
  <c r="AL169" i="3"/>
  <c r="AL259" i="3" s="1"/>
  <c r="AK169" i="3"/>
  <c r="AK259" i="3" s="1"/>
  <c r="AI169" i="3"/>
  <c r="AI259" i="3" s="1"/>
  <c r="AF169" i="3"/>
  <c r="AF259" i="3" s="1"/>
  <c r="AE169" i="3"/>
  <c r="AE259" i="3" s="1"/>
  <c r="AD169" i="3"/>
  <c r="AD259" i="3" s="1"/>
  <c r="AC169" i="3"/>
  <c r="AC259" i="3" s="1"/>
  <c r="AB169" i="3"/>
  <c r="AB259" i="3" s="1"/>
  <c r="AW168" i="3"/>
  <c r="AW258" i="3" s="1"/>
  <c r="AV168" i="3"/>
  <c r="AV258" i="3" s="1"/>
  <c r="AU168" i="3"/>
  <c r="AU258" i="3" s="1"/>
  <c r="AT168" i="3"/>
  <c r="AT258" i="3" s="1"/>
  <c r="AP168" i="3"/>
  <c r="AP258" i="3" s="1"/>
  <c r="AO168" i="3"/>
  <c r="AO258" i="3" s="1"/>
  <c r="AN168" i="3"/>
  <c r="AN258" i="3" s="1"/>
  <c r="AM168" i="3"/>
  <c r="AM258" i="3" s="1"/>
  <c r="AL168" i="3"/>
  <c r="AL258" i="3" s="1"/>
  <c r="AK168" i="3"/>
  <c r="AK258" i="3" s="1"/>
  <c r="AI168" i="3"/>
  <c r="AI258" i="3" s="1"/>
  <c r="AH168" i="3"/>
  <c r="AH258" i="3" s="1"/>
  <c r="AG168" i="3"/>
  <c r="AG258" i="3" s="1"/>
  <c r="AF168" i="3"/>
  <c r="AF258" i="3" s="1"/>
  <c r="AE168" i="3"/>
  <c r="AE258" i="3" s="1"/>
  <c r="AD168" i="3"/>
  <c r="AD258" i="3" s="1"/>
  <c r="AC168" i="3"/>
  <c r="AC258" i="3" s="1"/>
  <c r="AB168" i="3"/>
  <c r="AB258" i="3" s="1"/>
  <c r="AW167" i="3"/>
  <c r="AW257" i="3" s="1"/>
  <c r="AV167" i="3"/>
  <c r="AV257" i="3" s="1"/>
  <c r="AU167" i="3"/>
  <c r="AU257" i="3" s="1"/>
  <c r="AT167" i="3"/>
  <c r="AT257" i="3" s="1"/>
  <c r="AS167" i="3"/>
  <c r="AS257" i="3" s="1"/>
  <c r="AR167" i="3"/>
  <c r="AR257" i="3" s="1"/>
  <c r="AQ167" i="3"/>
  <c r="AQ257" i="3" s="1"/>
  <c r="AP167" i="3"/>
  <c r="AP257" i="3" s="1"/>
  <c r="AO167" i="3"/>
  <c r="AO257" i="3" s="1"/>
  <c r="AN167" i="3"/>
  <c r="AN257" i="3" s="1"/>
  <c r="AM167" i="3"/>
  <c r="AM257" i="3" s="1"/>
  <c r="AL167" i="3"/>
  <c r="AL257" i="3" s="1"/>
  <c r="AK167" i="3"/>
  <c r="AK257" i="3" s="1"/>
  <c r="AJ167" i="3"/>
  <c r="AJ257" i="3" s="1"/>
  <c r="AI167" i="3"/>
  <c r="AI257" i="3" s="1"/>
  <c r="AH167" i="3"/>
  <c r="AH257" i="3" s="1"/>
  <c r="AG167" i="3"/>
  <c r="AG257" i="3" s="1"/>
  <c r="AF167" i="3"/>
  <c r="AF257" i="3" s="1"/>
  <c r="AE167" i="3"/>
  <c r="AE257" i="3" s="1"/>
  <c r="AD167" i="3"/>
  <c r="AD257" i="3" s="1"/>
  <c r="AC167" i="3"/>
  <c r="AC257" i="3" s="1"/>
  <c r="AB167" i="3"/>
  <c r="AB257" i="3" s="1"/>
  <c r="AW166" i="3"/>
  <c r="AW256" i="3" s="1"/>
  <c r="AV166" i="3"/>
  <c r="AV256" i="3" s="1"/>
  <c r="AU166" i="3"/>
  <c r="AU256" i="3" s="1"/>
  <c r="AT166" i="3"/>
  <c r="AT256" i="3" s="1"/>
  <c r="AS166" i="3"/>
  <c r="AS256" i="3" s="1"/>
  <c r="AR166" i="3"/>
  <c r="AR256" i="3" s="1"/>
  <c r="AQ166" i="3"/>
  <c r="AQ256" i="3" s="1"/>
  <c r="AP166" i="3"/>
  <c r="AP256" i="3" s="1"/>
  <c r="AO166" i="3"/>
  <c r="AO256" i="3" s="1"/>
  <c r="AN166" i="3"/>
  <c r="AN256" i="3" s="1"/>
  <c r="AM166" i="3"/>
  <c r="AM256" i="3" s="1"/>
  <c r="AL166" i="3"/>
  <c r="AL256" i="3" s="1"/>
  <c r="AK166" i="3"/>
  <c r="AK256" i="3" s="1"/>
  <c r="AJ166" i="3"/>
  <c r="AJ256" i="3" s="1"/>
  <c r="AI166" i="3"/>
  <c r="AI256" i="3" s="1"/>
  <c r="AH166" i="3"/>
  <c r="AH256" i="3" s="1"/>
  <c r="AG166" i="3"/>
  <c r="AG256" i="3" s="1"/>
  <c r="AF166" i="3"/>
  <c r="AF256" i="3" s="1"/>
  <c r="AE166" i="3"/>
  <c r="AE256" i="3" s="1"/>
  <c r="AD166" i="3"/>
  <c r="AD256" i="3" s="1"/>
  <c r="AC166" i="3"/>
  <c r="AC256" i="3" s="1"/>
  <c r="AB166" i="3"/>
  <c r="AB256" i="3" s="1"/>
  <c r="AW165" i="3"/>
  <c r="AW255" i="3" s="1"/>
  <c r="AV165" i="3"/>
  <c r="AV255" i="3" s="1"/>
  <c r="AU165" i="3"/>
  <c r="AU255" i="3" s="1"/>
  <c r="AT165" i="3"/>
  <c r="AT255" i="3" s="1"/>
  <c r="AS165" i="3"/>
  <c r="AS255" i="3" s="1"/>
  <c r="AR165" i="3"/>
  <c r="AR255" i="3" s="1"/>
  <c r="AQ165" i="3"/>
  <c r="AQ255" i="3" s="1"/>
  <c r="AP165" i="3"/>
  <c r="AP255" i="3" s="1"/>
  <c r="AO165" i="3"/>
  <c r="AO255" i="3" s="1"/>
  <c r="AN165" i="3"/>
  <c r="AN255" i="3" s="1"/>
  <c r="AM165" i="3"/>
  <c r="AM255" i="3" s="1"/>
  <c r="AL165" i="3"/>
  <c r="AL255" i="3" s="1"/>
  <c r="AJ165" i="3"/>
  <c r="AJ255" i="3" s="1"/>
  <c r="AI165" i="3"/>
  <c r="AI255" i="3" s="1"/>
  <c r="AH165" i="3"/>
  <c r="AH255" i="3" s="1"/>
  <c r="AG165" i="3"/>
  <c r="AG255" i="3" s="1"/>
  <c r="AF165" i="3"/>
  <c r="AF255" i="3" s="1"/>
  <c r="AE165" i="3"/>
  <c r="AE255" i="3" s="1"/>
  <c r="AD165" i="3"/>
  <c r="AD255" i="3" s="1"/>
  <c r="AC165" i="3"/>
  <c r="AC255" i="3" s="1"/>
  <c r="AB165" i="3"/>
  <c r="AB255" i="3" s="1"/>
  <c r="AW164" i="3"/>
  <c r="AW254" i="3" s="1"/>
  <c r="AV164" i="3"/>
  <c r="AV254" i="3" s="1"/>
  <c r="AU164" i="3"/>
  <c r="AU254" i="3" s="1"/>
  <c r="AT164" i="3"/>
  <c r="AT254" i="3" s="1"/>
  <c r="AS164" i="3"/>
  <c r="AS254" i="3" s="1"/>
  <c r="AR164" i="3"/>
  <c r="AR254" i="3" s="1"/>
  <c r="AQ164" i="3"/>
  <c r="AQ254" i="3" s="1"/>
  <c r="AP164" i="3"/>
  <c r="AP254" i="3" s="1"/>
  <c r="AO164" i="3"/>
  <c r="AO254" i="3" s="1"/>
  <c r="AN164" i="3"/>
  <c r="AN254" i="3" s="1"/>
  <c r="AM164" i="3"/>
  <c r="AM254" i="3" s="1"/>
  <c r="AL164" i="3"/>
  <c r="AL254" i="3" s="1"/>
  <c r="AK164" i="3"/>
  <c r="AK254" i="3" s="1"/>
  <c r="AJ164" i="3"/>
  <c r="AJ254" i="3" s="1"/>
  <c r="AI164" i="3"/>
  <c r="AI254" i="3" s="1"/>
  <c r="AH164" i="3"/>
  <c r="AH254" i="3" s="1"/>
  <c r="AE164" i="3"/>
  <c r="AE254" i="3" s="1"/>
  <c r="AD164" i="3"/>
  <c r="AD254" i="3" s="1"/>
  <c r="AC164" i="3"/>
  <c r="AC254" i="3" s="1"/>
  <c r="AB164" i="3"/>
  <c r="AB254" i="3" s="1"/>
  <c r="AW163" i="3"/>
  <c r="AW253" i="3" s="1"/>
  <c r="AV163" i="3"/>
  <c r="AV253" i="3" s="1"/>
  <c r="AU163" i="3"/>
  <c r="AU253" i="3" s="1"/>
  <c r="AT163" i="3"/>
  <c r="AT253" i="3" s="1"/>
  <c r="AS163" i="3"/>
  <c r="AS253" i="3" s="1"/>
  <c r="AR163" i="3"/>
  <c r="AR253" i="3" s="1"/>
  <c r="AQ163" i="3"/>
  <c r="AQ253" i="3" s="1"/>
  <c r="AP163" i="3"/>
  <c r="AP253" i="3" s="1"/>
  <c r="AO163" i="3"/>
  <c r="AO253" i="3" s="1"/>
  <c r="AN163" i="3"/>
  <c r="AN253" i="3" s="1"/>
  <c r="AM163" i="3"/>
  <c r="AM253" i="3" s="1"/>
  <c r="AL163" i="3"/>
  <c r="AL253" i="3" s="1"/>
  <c r="AK163" i="3"/>
  <c r="AK253" i="3" s="1"/>
  <c r="AJ163" i="3"/>
  <c r="AJ253" i="3" s="1"/>
  <c r="AI163" i="3"/>
  <c r="AI253" i="3" s="1"/>
  <c r="AH163" i="3"/>
  <c r="AH253" i="3" s="1"/>
  <c r="AG163" i="3"/>
  <c r="AG253" i="3" s="1"/>
  <c r="AE163" i="3"/>
  <c r="AE253" i="3" s="1"/>
  <c r="AD163" i="3"/>
  <c r="AD253" i="3" s="1"/>
  <c r="AC163" i="3"/>
  <c r="AC253" i="3" s="1"/>
  <c r="AB163" i="3"/>
  <c r="AB253" i="3" s="1"/>
  <c r="AT162" i="3"/>
  <c r="AT252" i="3" s="1"/>
  <c r="AS162" i="3"/>
  <c r="AS252" i="3" s="1"/>
  <c r="AR162" i="3"/>
  <c r="AR252" i="3" s="1"/>
  <c r="AQ162" i="3"/>
  <c r="AQ252" i="3" s="1"/>
  <c r="AP162" i="3"/>
  <c r="AP252" i="3" s="1"/>
  <c r="AO162" i="3"/>
  <c r="AO252" i="3" s="1"/>
  <c r="AN162" i="3"/>
  <c r="AN252" i="3" s="1"/>
  <c r="AM162" i="3"/>
  <c r="AM252" i="3" s="1"/>
  <c r="AL162" i="3"/>
  <c r="AL252" i="3" s="1"/>
  <c r="AJ162" i="3"/>
  <c r="AJ252" i="3" s="1"/>
  <c r="AI162" i="3"/>
  <c r="AI252" i="3" s="1"/>
  <c r="AH162" i="3"/>
  <c r="AH252" i="3" s="1"/>
  <c r="AF162" i="3"/>
  <c r="AF252" i="3" s="1"/>
  <c r="AE162" i="3"/>
  <c r="AE252" i="3" s="1"/>
  <c r="AD162" i="3"/>
  <c r="AD252" i="3" s="1"/>
  <c r="AC162" i="3"/>
  <c r="AC252" i="3" s="1"/>
  <c r="AB162" i="3"/>
  <c r="AB252" i="3" s="1"/>
  <c r="AT161" i="3"/>
  <c r="AT251" i="3" s="1"/>
  <c r="AS161" i="3"/>
  <c r="AS251" i="3" s="1"/>
  <c r="AR161" i="3"/>
  <c r="AR251" i="3" s="1"/>
  <c r="AQ161" i="3"/>
  <c r="AQ251" i="3" s="1"/>
  <c r="AP161" i="3"/>
  <c r="AP251" i="3" s="1"/>
  <c r="AO161" i="3"/>
  <c r="AO251" i="3" s="1"/>
  <c r="AN161" i="3"/>
  <c r="AN251" i="3" s="1"/>
  <c r="AM161" i="3"/>
  <c r="AM251" i="3" s="1"/>
  <c r="AL161" i="3"/>
  <c r="AL251" i="3" s="1"/>
  <c r="AK161" i="3"/>
  <c r="AK251" i="3" s="1"/>
  <c r="AJ161" i="3"/>
  <c r="AJ251" i="3" s="1"/>
  <c r="AI161" i="3"/>
  <c r="AI251" i="3" s="1"/>
  <c r="AH161" i="3"/>
  <c r="AH251" i="3" s="1"/>
  <c r="AG161" i="3"/>
  <c r="AG251" i="3" s="1"/>
  <c r="AF161" i="3"/>
  <c r="AF251" i="3" s="1"/>
  <c r="AE161" i="3"/>
  <c r="AE251" i="3" s="1"/>
  <c r="AD161" i="3"/>
  <c r="AD251" i="3" s="1"/>
  <c r="AC161" i="3"/>
  <c r="AC251" i="3" s="1"/>
  <c r="AB161" i="3"/>
  <c r="AB251" i="3" s="1"/>
  <c r="AT160" i="3"/>
  <c r="AT250" i="3" s="1"/>
  <c r="AR160" i="3"/>
  <c r="AR250" i="3" s="1"/>
  <c r="AQ160" i="3"/>
  <c r="AQ250" i="3" s="1"/>
  <c r="AP160" i="3"/>
  <c r="AP250" i="3" s="1"/>
  <c r="AO160" i="3"/>
  <c r="AO250" i="3" s="1"/>
  <c r="AN160" i="3"/>
  <c r="AN250" i="3" s="1"/>
  <c r="AM160" i="3"/>
  <c r="AM250" i="3" s="1"/>
  <c r="AL160" i="3"/>
  <c r="AL250" i="3" s="1"/>
  <c r="AK160" i="3"/>
  <c r="AK250" i="3" s="1"/>
  <c r="AJ160" i="3"/>
  <c r="AJ250" i="3" s="1"/>
  <c r="AI160" i="3"/>
  <c r="AI250" i="3" s="1"/>
  <c r="AH160" i="3"/>
  <c r="AH250" i="3" s="1"/>
  <c r="AG160" i="3"/>
  <c r="AG250" i="3" s="1"/>
  <c r="AF160" i="3"/>
  <c r="AF250" i="3" s="1"/>
  <c r="AE160" i="3"/>
  <c r="AE250" i="3" s="1"/>
  <c r="AD160" i="3"/>
  <c r="AD250" i="3" s="1"/>
  <c r="AC160" i="3"/>
  <c r="AC250" i="3" s="1"/>
  <c r="AB160" i="3"/>
  <c r="AB250" i="3" s="1"/>
  <c r="AT159" i="3"/>
  <c r="AT249" i="3" s="1"/>
  <c r="AS159" i="3"/>
  <c r="AS249" i="3" s="1"/>
  <c r="AR159" i="3"/>
  <c r="AR249" i="3" s="1"/>
  <c r="AQ159" i="3"/>
  <c r="AQ249" i="3" s="1"/>
  <c r="AP159" i="3"/>
  <c r="AP249" i="3" s="1"/>
  <c r="AL159" i="3"/>
  <c r="AL249" i="3" s="1"/>
  <c r="AK159" i="3"/>
  <c r="AK249" i="3" s="1"/>
  <c r="AJ159" i="3"/>
  <c r="AJ249" i="3" s="1"/>
  <c r="AI159" i="3"/>
  <c r="AI249" i="3" s="1"/>
  <c r="AH159" i="3"/>
  <c r="AH249" i="3" s="1"/>
  <c r="AG159" i="3"/>
  <c r="AG249" i="3" s="1"/>
  <c r="AF159" i="3"/>
  <c r="AF249" i="3" s="1"/>
  <c r="AE159" i="3"/>
  <c r="AE249" i="3" s="1"/>
  <c r="AD159" i="3"/>
  <c r="AD249" i="3" s="1"/>
  <c r="AC159" i="3"/>
  <c r="AC249" i="3" s="1"/>
  <c r="AB159" i="3"/>
  <c r="AB249" i="3" s="1"/>
  <c r="AT158" i="3"/>
  <c r="AT248" i="3" s="1"/>
  <c r="AS158" i="3"/>
  <c r="AS248" i="3" s="1"/>
  <c r="AR158" i="3"/>
  <c r="AR248" i="3" s="1"/>
  <c r="AQ158" i="3"/>
  <c r="AQ248" i="3" s="1"/>
  <c r="AP158" i="3"/>
  <c r="AP248" i="3" s="1"/>
  <c r="AK158" i="3"/>
  <c r="AK248" i="3" s="1"/>
  <c r="AI158" i="3"/>
  <c r="AI248" i="3" s="1"/>
  <c r="AH158" i="3"/>
  <c r="AH248" i="3" s="1"/>
  <c r="AG158" i="3"/>
  <c r="AG248" i="3" s="1"/>
  <c r="AF158" i="3"/>
  <c r="AF248" i="3" s="1"/>
  <c r="AE158" i="3"/>
  <c r="AE248" i="3" s="1"/>
  <c r="AD158" i="3"/>
  <c r="AD248" i="3" s="1"/>
  <c r="AC158" i="3"/>
  <c r="AC248" i="3" s="1"/>
  <c r="AB158" i="3"/>
  <c r="AB248" i="3" s="1"/>
  <c r="AT157" i="3"/>
  <c r="AT247" i="3" s="1"/>
  <c r="AS157" i="3"/>
  <c r="AS247" i="3" s="1"/>
  <c r="AR157" i="3"/>
  <c r="AR247" i="3" s="1"/>
  <c r="AQ157" i="3"/>
  <c r="AQ247" i="3" s="1"/>
  <c r="AN157" i="3"/>
  <c r="AN247" i="3" s="1"/>
  <c r="AM157" i="3"/>
  <c r="AM247" i="3" s="1"/>
  <c r="AL157" i="3"/>
  <c r="AL247" i="3" s="1"/>
  <c r="AK157" i="3"/>
  <c r="AK247" i="3" s="1"/>
  <c r="AI157" i="3"/>
  <c r="AI247" i="3" s="1"/>
  <c r="AF157" i="3"/>
  <c r="AF247" i="3" s="1"/>
  <c r="AE157" i="3"/>
  <c r="AE247" i="3" s="1"/>
  <c r="AD157" i="3"/>
  <c r="AD247" i="3" s="1"/>
  <c r="AC157" i="3"/>
  <c r="AC247" i="3" s="1"/>
  <c r="AB157" i="3"/>
  <c r="AB247" i="3" s="1"/>
  <c r="AT156" i="3"/>
  <c r="AT246" i="3" s="1"/>
  <c r="AS156" i="3"/>
  <c r="AS246" i="3" s="1"/>
  <c r="AR156" i="3"/>
  <c r="AR246" i="3" s="1"/>
  <c r="AQ156" i="3"/>
  <c r="AQ246" i="3" s="1"/>
  <c r="AN156" i="3"/>
  <c r="AN246" i="3" s="1"/>
  <c r="AM156" i="3"/>
  <c r="AM246" i="3" s="1"/>
  <c r="AL156" i="3"/>
  <c r="AL246" i="3" s="1"/>
  <c r="AK156" i="3"/>
  <c r="AK246" i="3" s="1"/>
  <c r="AJ156" i="3"/>
  <c r="AJ246" i="3" s="1"/>
  <c r="AI156" i="3"/>
  <c r="AI246" i="3" s="1"/>
  <c r="AH156" i="3"/>
  <c r="AH246" i="3" s="1"/>
  <c r="AG156" i="3"/>
  <c r="AG246" i="3" s="1"/>
  <c r="AF156" i="3"/>
  <c r="AF246" i="3" s="1"/>
  <c r="AE156" i="3"/>
  <c r="AE246" i="3" s="1"/>
  <c r="AD156" i="3"/>
  <c r="AD246" i="3" s="1"/>
  <c r="AC156" i="3"/>
  <c r="AC246" i="3" s="1"/>
  <c r="AB156" i="3"/>
  <c r="AB246" i="3" s="1"/>
  <c r="AT155" i="3"/>
  <c r="AT245" i="3" s="1"/>
  <c r="AS155" i="3"/>
  <c r="AS245" i="3" s="1"/>
  <c r="AR155" i="3"/>
  <c r="AR245" i="3" s="1"/>
  <c r="AQ155" i="3"/>
  <c r="AQ245" i="3" s="1"/>
  <c r="AN155" i="3"/>
  <c r="AN245" i="3" s="1"/>
  <c r="AL155" i="3"/>
  <c r="AL245" i="3" s="1"/>
  <c r="AK155" i="3"/>
  <c r="AK245" i="3" s="1"/>
  <c r="AJ155" i="3"/>
  <c r="AJ245" i="3" s="1"/>
  <c r="AI155" i="3"/>
  <c r="AI245" i="3" s="1"/>
  <c r="AH155" i="3"/>
  <c r="AH245" i="3" s="1"/>
  <c r="AG155" i="3"/>
  <c r="AG245" i="3" s="1"/>
  <c r="AF155" i="3"/>
  <c r="AF245" i="3" s="1"/>
  <c r="AE155" i="3"/>
  <c r="AE245" i="3" s="1"/>
  <c r="AD155" i="3"/>
  <c r="AD245" i="3" s="1"/>
  <c r="AC155" i="3"/>
  <c r="AC245" i="3" s="1"/>
  <c r="AB155" i="3"/>
  <c r="AB245" i="3" s="1"/>
  <c r="AT154" i="3"/>
  <c r="AT244" i="3" s="1"/>
  <c r="AR154" i="3"/>
  <c r="AR244" i="3" s="1"/>
  <c r="AQ154" i="3"/>
  <c r="AQ244" i="3" s="1"/>
  <c r="AP154" i="3"/>
  <c r="AP244" i="3" s="1"/>
  <c r="AO154" i="3"/>
  <c r="AO244" i="3" s="1"/>
  <c r="AN154" i="3"/>
  <c r="AN244" i="3" s="1"/>
  <c r="AL154" i="3"/>
  <c r="AL244" i="3" s="1"/>
  <c r="AK154" i="3"/>
  <c r="AK244" i="3" s="1"/>
  <c r="AJ154" i="3"/>
  <c r="AJ244" i="3" s="1"/>
  <c r="AI154" i="3"/>
  <c r="AI244" i="3" s="1"/>
  <c r="AH154" i="3"/>
  <c r="AH244" i="3" s="1"/>
  <c r="AG154" i="3"/>
  <c r="AG244" i="3" s="1"/>
  <c r="AF154" i="3"/>
  <c r="AF244" i="3" s="1"/>
  <c r="AE154" i="3"/>
  <c r="AE244" i="3" s="1"/>
  <c r="AD154" i="3"/>
  <c r="AD244" i="3" s="1"/>
  <c r="AC154" i="3"/>
  <c r="AC244" i="3" s="1"/>
  <c r="AB154" i="3"/>
  <c r="AB244" i="3" s="1"/>
  <c r="AW153" i="3"/>
  <c r="AW243" i="3" s="1"/>
  <c r="AV153" i="3"/>
  <c r="AV243" i="3" s="1"/>
  <c r="AU153" i="3"/>
  <c r="AU243" i="3" s="1"/>
  <c r="AT153" i="3"/>
  <c r="AT243" i="3" s="1"/>
  <c r="AS153" i="3"/>
  <c r="AS243" i="3" s="1"/>
  <c r="AR153" i="3"/>
  <c r="AR243" i="3" s="1"/>
  <c r="AQ153" i="3"/>
  <c r="AQ243" i="3" s="1"/>
  <c r="AP153" i="3"/>
  <c r="AP243" i="3" s="1"/>
  <c r="AO153" i="3"/>
  <c r="AO243" i="3" s="1"/>
  <c r="AN153" i="3"/>
  <c r="AN243" i="3" s="1"/>
  <c r="AL153" i="3"/>
  <c r="AL243" i="3" s="1"/>
  <c r="AK153" i="3"/>
  <c r="AK243" i="3" s="1"/>
  <c r="AJ153" i="3"/>
  <c r="AJ243" i="3" s="1"/>
  <c r="AI153" i="3"/>
  <c r="AI243" i="3" s="1"/>
  <c r="AH153" i="3"/>
  <c r="AH243" i="3" s="1"/>
  <c r="AG153" i="3"/>
  <c r="AG243" i="3" s="1"/>
  <c r="AF153" i="3"/>
  <c r="AF243" i="3" s="1"/>
  <c r="AE153" i="3"/>
  <c r="AE243" i="3" s="1"/>
  <c r="AD153" i="3"/>
  <c r="AD243" i="3" s="1"/>
  <c r="AC153" i="3"/>
  <c r="AC243" i="3" s="1"/>
  <c r="AB153" i="3"/>
  <c r="AB243" i="3" s="1"/>
  <c r="AW152" i="3"/>
  <c r="AW242" i="3" s="1"/>
  <c r="AV152" i="3"/>
  <c r="AV242" i="3" s="1"/>
  <c r="AU152" i="3"/>
  <c r="AU242" i="3" s="1"/>
  <c r="AT152" i="3"/>
  <c r="AT242" i="3" s="1"/>
  <c r="AS152" i="3"/>
  <c r="AS242" i="3" s="1"/>
  <c r="AR152" i="3"/>
  <c r="AR242" i="3" s="1"/>
  <c r="AQ152" i="3"/>
  <c r="AQ242" i="3" s="1"/>
  <c r="AP152" i="3"/>
  <c r="AP242" i="3" s="1"/>
  <c r="AO152" i="3"/>
  <c r="AO242" i="3" s="1"/>
  <c r="AN152" i="3"/>
  <c r="AN242" i="3" s="1"/>
  <c r="AL152" i="3"/>
  <c r="AL242" i="3" s="1"/>
  <c r="AI152" i="3"/>
  <c r="AI242" i="3" s="1"/>
  <c r="AH152" i="3"/>
  <c r="AH242" i="3" s="1"/>
  <c r="AG152" i="3"/>
  <c r="AG242" i="3" s="1"/>
  <c r="AF152" i="3"/>
  <c r="AF242" i="3" s="1"/>
  <c r="AE152" i="3"/>
  <c r="AE242" i="3" s="1"/>
  <c r="AD152" i="3"/>
  <c r="AD242" i="3" s="1"/>
  <c r="AC152" i="3"/>
  <c r="AC242" i="3" s="1"/>
  <c r="AB152" i="3"/>
  <c r="AB242" i="3" s="1"/>
  <c r="AT151" i="3"/>
  <c r="AT241" i="3" s="1"/>
  <c r="AS151" i="3"/>
  <c r="AS241" i="3" s="1"/>
  <c r="AR151" i="3"/>
  <c r="AR241" i="3" s="1"/>
  <c r="AQ151" i="3"/>
  <c r="AQ241" i="3" s="1"/>
  <c r="AP151" i="3"/>
  <c r="AP241" i="3" s="1"/>
  <c r="AO151" i="3"/>
  <c r="AO241" i="3" s="1"/>
  <c r="AN151" i="3"/>
  <c r="AN241" i="3" s="1"/>
  <c r="AM151" i="3"/>
  <c r="AM241" i="3" s="1"/>
  <c r="AL151" i="3"/>
  <c r="AL241" i="3" s="1"/>
  <c r="AI151" i="3"/>
  <c r="AI241" i="3" s="1"/>
  <c r="AH151" i="3"/>
  <c r="AH241" i="3" s="1"/>
  <c r="AG151" i="3"/>
  <c r="AG241" i="3" s="1"/>
  <c r="AF151" i="3"/>
  <c r="AF241" i="3" s="1"/>
  <c r="AE151" i="3"/>
  <c r="AE241" i="3" s="1"/>
  <c r="AD151" i="3"/>
  <c r="AD241" i="3" s="1"/>
  <c r="AC151" i="3"/>
  <c r="AC241" i="3" s="1"/>
  <c r="AB151" i="3"/>
  <c r="AB241" i="3" s="1"/>
  <c r="AT150" i="3"/>
  <c r="AT240" i="3" s="1"/>
  <c r="AR150" i="3"/>
  <c r="AR240" i="3" s="1"/>
  <c r="AQ150" i="3"/>
  <c r="AQ240" i="3" s="1"/>
  <c r="AP150" i="3"/>
  <c r="AP240" i="3" s="1"/>
  <c r="AO150" i="3"/>
  <c r="AO240" i="3" s="1"/>
  <c r="AN150" i="3"/>
  <c r="AN240" i="3" s="1"/>
  <c r="AL150" i="3"/>
  <c r="AL240" i="3" s="1"/>
  <c r="AK150" i="3"/>
  <c r="AK240" i="3" s="1"/>
  <c r="AJ150" i="3"/>
  <c r="AJ240" i="3" s="1"/>
  <c r="AI150" i="3"/>
  <c r="AI240" i="3" s="1"/>
  <c r="AH150" i="3"/>
  <c r="AH240" i="3" s="1"/>
  <c r="AG150" i="3"/>
  <c r="AG240" i="3" s="1"/>
  <c r="AF150" i="3"/>
  <c r="AF240" i="3" s="1"/>
  <c r="AE150" i="3"/>
  <c r="AE240" i="3" s="1"/>
  <c r="AD150" i="3"/>
  <c r="AD240" i="3" s="1"/>
  <c r="AC150" i="3"/>
  <c r="AC240" i="3" s="1"/>
  <c r="AB150" i="3"/>
  <c r="AB240" i="3" s="1"/>
  <c r="AW149" i="3"/>
  <c r="AW239" i="3" s="1"/>
  <c r="AV149" i="3"/>
  <c r="AV239" i="3" s="1"/>
  <c r="AU149" i="3"/>
  <c r="AU239" i="3" s="1"/>
  <c r="AT149" i="3"/>
  <c r="AT239" i="3" s="1"/>
  <c r="AS149" i="3"/>
  <c r="AS239" i="3" s="1"/>
  <c r="AR149" i="3"/>
  <c r="AR239" i="3" s="1"/>
  <c r="AQ149" i="3"/>
  <c r="AQ239" i="3" s="1"/>
  <c r="AP149" i="3"/>
  <c r="AP239" i="3" s="1"/>
  <c r="AO149" i="3"/>
  <c r="AO239" i="3" s="1"/>
  <c r="AN149" i="3"/>
  <c r="AN239" i="3" s="1"/>
  <c r="AL149" i="3"/>
  <c r="AL239" i="3" s="1"/>
  <c r="AK149" i="3"/>
  <c r="AK239" i="3" s="1"/>
  <c r="AJ149" i="3"/>
  <c r="AJ239" i="3" s="1"/>
  <c r="AI149" i="3"/>
  <c r="AI239" i="3" s="1"/>
  <c r="AH149" i="3"/>
  <c r="AH239" i="3" s="1"/>
  <c r="AG149" i="3"/>
  <c r="AG239" i="3" s="1"/>
  <c r="AF149" i="3"/>
  <c r="AF239" i="3" s="1"/>
  <c r="AE149" i="3"/>
  <c r="AE239" i="3" s="1"/>
  <c r="AD149" i="3"/>
  <c r="AD239" i="3" s="1"/>
  <c r="AC149" i="3"/>
  <c r="AC239" i="3" s="1"/>
  <c r="AB149" i="3"/>
  <c r="AB239" i="3" s="1"/>
  <c r="AT148" i="3"/>
  <c r="AT238" i="3" s="1"/>
  <c r="AS148" i="3"/>
  <c r="AS238" i="3" s="1"/>
  <c r="AR148" i="3"/>
  <c r="AQ148" i="3"/>
  <c r="AO148" i="3"/>
  <c r="AO238" i="3" s="1"/>
  <c r="AN148" i="3"/>
  <c r="AN238" i="3" s="1"/>
  <c r="AM148" i="3"/>
  <c r="AM238" i="3" s="1"/>
  <c r="AL148" i="3"/>
  <c r="AL238" i="3" s="1"/>
  <c r="AK148" i="3"/>
  <c r="AK238" i="3" s="1"/>
  <c r="AJ148" i="3"/>
  <c r="AI148" i="3"/>
  <c r="AI238" i="3" s="1"/>
  <c r="AH148" i="3"/>
  <c r="AH238" i="3" s="1"/>
  <c r="AG148" i="3"/>
  <c r="AG238" i="3" s="1"/>
  <c r="AF148" i="3"/>
  <c r="AF238" i="3" s="1"/>
  <c r="AE148" i="3"/>
  <c r="AE238" i="3" s="1"/>
  <c r="AD148" i="3"/>
  <c r="AD238" i="3" s="1"/>
  <c r="AC148" i="3"/>
  <c r="AC238" i="3" s="1"/>
  <c r="AB148" i="3"/>
  <c r="AB238" i="3" s="1"/>
  <c r="AT147" i="3"/>
  <c r="AT237" i="3" s="1"/>
  <c r="AR147" i="3"/>
  <c r="AQ147" i="3"/>
  <c r="AO147" i="3"/>
  <c r="AO237" i="3" s="1"/>
  <c r="AM147" i="3"/>
  <c r="AM237" i="3" s="1"/>
  <c r="AL147" i="3"/>
  <c r="AL237" i="3" s="1"/>
  <c r="AK147" i="3"/>
  <c r="AK237" i="3" s="1"/>
  <c r="AJ147" i="3"/>
  <c r="AJ237" i="3" s="1"/>
  <c r="AI147" i="3"/>
  <c r="AI237" i="3" s="1"/>
  <c r="AH147" i="3"/>
  <c r="AH237" i="3" s="1"/>
  <c r="AG147" i="3"/>
  <c r="AG237" i="3" s="1"/>
  <c r="AF147" i="3"/>
  <c r="AF237" i="3" s="1"/>
  <c r="AE147" i="3"/>
  <c r="AE237" i="3" s="1"/>
  <c r="AD147" i="3"/>
  <c r="AD237" i="3" s="1"/>
  <c r="AC147" i="3"/>
  <c r="AC237" i="3" s="1"/>
  <c r="AB147" i="3"/>
  <c r="AB237" i="3" s="1"/>
  <c r="AW146" i="3"/>
  <c r="AW236" i="3" s="1"/>
  <c r="AV146" i="3"/>
  <c r="AV236" i="3" s="1"/>
  <c r="AU146" i="3"/>
  <c r="AU236" i="3" s="1"/>
  <c r="AT146" i="3"/>
  <c r="AT236" i="3" s="1"/>
  <c r="AS146" i="3"/>
  <c r="AS236" i="3" s="1"/>
  <c r="AR146" i="3"/>
  <c r="AR236" i="3" s="1"/>
  <c r="AQ146" i="3"/>
  <c r="AP146" i="3"/>
  <c r="AP236" i="3" s="1"/>
  <c r="AO146" i="3"/>
  <c r="AO236" i="3" s="1"/>
  <c r="AN146" i="3"/>
  <c r="AN236" i="3" s="1"/>
  <c r="AM146" i="3"/>
  <c r="AM236" i="3" s="1"/>
  <c r="AL146" i="3"/>
  <c r="AL236" i="3" s="1"/>
  <c r="AK146" i="3"/>
  <c r="AK236" i="3" s="1"/>
  <c r="AJ146" i="3"/>
  <c r="AJ236" i="3" s="1"/>
  <c r="AI146" i="3"/>
  <c r="AI236" i="3" s="1"/>
  <c r="AH146" i="3"/>
  <c r="AH236" i="3" s="1"/>
  <c r="AG146" i="3"/>
  <c r="AG236" i="3" s="1"/>
  <c r="AF146" i="3"/>
  <c r="AF236" i="3" s="1"/>
  <c r="AE146" i="3"/>
  <c r="AE236" i="3" s="1"/>
  <c r="AD146" i="3"/>
  <c r="AD236" i="3" s="1"/>
  <c r="AC146" i="3"/>
  <c r="AC236" i="3" s="1"/>
  <c r="AB146" i="3"/>
  <c r="AB236" i="3" s="1"/>
  <c r="AT145" i="3"/>
  <c r="AT235" i="3" s="1"/>
  <c r="AS145" i="3"/>
  <c r="AS235" i="3" s="1"/>
  <c r="AR145" i="3"/>
  <c r="AR235" i="3" s="1"/>
  <c r="AQ145" i="3"/>
  <c r="AQ235" i="3" s="1"/>
  <c r="AP145" i="3"/>
  <c r="AP235" i="3" s="1"/>
  <c r="AO145" i="3"/>
  <c r="AO235" i="3" s="1"/>
  <c r="AN145" i="3"/>
  <c r="AN235" i="3" s="1"/>
  <c r="AM145" i="3"/>
  <c r="AM235" i="3" s="1"/>
  <c r="AL145" i="3"/>
  <c r="AL235" i="3" s="1"/>
  <c r="AK145" i="3"/>
  <c r="AK235" i="3" s="1"/>
  <c r="AJ145" i="3"/>
  <c r="AJ235" i="3" s="1"/>
  <c r="AI145" i="3"/>
  <c r="AI235" i="3" s="1"/>
  <c r="AH145" i="3"/>
  <c r="AH235" i="3" s="1"/>
  <c r="AG145" i="3"/>
  <c r="AG235" i="3" s="1"/>
  <c r="AF145" i="3"/>
  <c r="AF235" i="3" s="1"/>
  <c r="AE145" i="3"/>
  <c r="AE235" i="3" s="1"/>
  <c r="AD145" i="3"/>
  <c r="AD235" i="3" s="1"/>
  <c r="AC145" i="3"/>
  <c r="AC235" i="3" s="1"/>
  <c r="AB145" i="3"/>
  <c r="AB235" i="3" s="1"/>
  <c r="AT144" i="3"/>
  <c r="AT234" i="3" s="1"/>
  <c r="AR144" i="3"/>
  <c r="AR234" i="3" s="1"/>
  <c r="AQ144" i="3"/>
  <c r="AQ234" i="3" s="1"/>
  <c r="AP144" i="3"/>
  <c r="AP234" i="3" s="1"/>
  <c r="AO144" i="3"/>
  <c r="AO234" i="3" s="1"/>
  <c r="AN144" i="3"/>
  <c r="AN234" i="3" s="1"/>
  <c r="AM144" i="3"/>
  <c r="AM234" i="3" s="1"/>
  <c r="AL144" i="3"/>
  <c r="AL234" i="3" s="1"/>
  <c r="AK144" i="3"/>
  <c r="AK234" i="3" s="1"/>
  <c r="AJ144" i="3"/>
  <c r="AJ234" i="3" s="1"/>
  <c r="AI144" i="3"/>
  <c r="AI234" i="3" s="1"/>
  <c r="AH144" i="3"/>
  <c r="AH234" i="3" s="1"/>
  <c r="AG144" i="3"/>
  <c r="AG234" i="3" s="1"/>
  <c r="AF144" i="3"/>
  <c r="AF234" i="3" s="1"/>
  <c r="AE144" i="3"/>
  <c r="AE234" i="3" s="1"/>
  <c r="AD144" i="3"/>
  <c r="AD234" i="3" s="1"/>
  <c r="AC144" i="3"/>
  <c r="AC234" i="3" s="1"/>
  <c r="AB144" i="3"/>
  <c r="AB234" i="3" s="1"/>
  <c r="AW143" i="3"/>
  <c r="AW233" i="3" s="1"/>
  <c r="AV143" i="3"/>
  <c r="AV233" i="3" s="1"/>
  <c r="AU143" i="3"/>
  <c r="AU233" i="3" s="1"/>
  <c r="AT143" i="3"/>
  <c r="AT233" i="3" s="1"/>
  <c r="AS143" i="3"/>
  <c r="AS233" i="3" s="1"/>
  <c r="AR143" i="3"/>
  <c r="AR233" i="3" s="1"/>
  <c r="AQ143" i="3"/>
  <c r="AQ233" i="3" s="1"/>
  <c r="AP143" i="3"/>
  <c r="AP233" i="3" s="1"/>
  <c r="AO143" i="3"/>
  <c r="AO233" i="3" s="1"/>
  <c r="AN143" i="3"/>
  <c r="AN233" i="3" s="1"/>
  <c r="AM143" i="3"/>
  <c r="AM233" i="3" s="1"/>
  <c r="AL143" i="3"/>
  <c r="AL233" i="3" s="1"/>
  <c r="AK143" i="3"/>
  <c r="AK233" i="3" s="1"/>
  <c r="AJ143" i="3"/>
  <c r="AJ233" i="3" s="1"/>
  <c r="AI143" i="3"/>
  <c r="AI233" i="3" s="1"/>
  <c r="AH143" i="3"/>
  <c r="AH233" i="3" s="1"/>
  <c r="AG143" i="3"/>
  <c r="AG233" i="3" s="1"/>
  <c r="AF143" i="3"/>
  <c r="AF233" i="3" s="1"/>
  <c r="AE143" i="3"/>
  <c r="AE233" i="3" s="1"/>
  <c r="AD143" i="3"/>
  <c r="AD233" i="3" s="1"/>
  <c r="AC143" i="3"/>
  <c r="AC233" i="3" s="1"/>
  <c r="AB143" i="3"/>
  <c r="AB233" i="3" s="1"/>
  <c r="AW142" i="3"/>
  <c r="AW232" i="3" s="1"/>
  <c r="AV142" i="3"/>
  <c r="AV232" i="3" s="1"/>
  <c r="AU142" i="3"/>
  <c r="AU232" i="3" s="1"/>
  <c r="AT142" i="3"/>
  <c r="AT232" i="3" s="1"/>
  <c r="AS142" i="3"/>
  <c r="AS232" i="3" s="1"/>
  <c r="AR142" i="3"/>
  <c r="AR232" i="3" s="1"/>
  <c r="AQ142" i="3"/>
  <c r="AQ232" i="3" s="1"/>
  <c r="AP142" i="3"/>
  <c r="AP232" i="3" s="1"/>
  <c r="AO142" i="3"/>
  <c r="AO232" i="3" s="1"/>
  <c r="AN142" i="3"/>
  <c r="AN232" i="3" s="1"/>
  <c r="AM142" i="3"/>
  <c r="AM232" i="3" s="1"/>
  <c r="AL142" i="3"/>
  <c r="AL232" i="3" s="1"/>
  <c r="AK142" i="3"/>
  <c r="AK232" i="3" s="1"/>
  <c r="AJ142" i="3"/>
  <c r="AJ232" i="3" s="1"/>
  <c r="AI142" i="3"/>
  <c r="AI232" i="3" s="1"/>
  <c r="AH142" i="3"/>
  <c r="AH232" i="3" s="1"/>
  <c r="AG142" i="3"/>
  <c r="AG232" i="3" s="1"/>
  <c r="AF142" i="3"/>
  <c r="AF232" i="3" s="1"/>
  <c r="AE142" i="3"/>
  <c r="AE232" i="3" s="1"/>
  <c r="AD142" i="3"/>
  <c r="AD232" i="3" s="1"/>
  <c r="AC142" i="3"/>
  <c r="AC232" i="3" s="1"/>
  <c r="AB142" i="3"/>
  <c r="AB232" i="3" s="1"/>
  <c r="AW141" i="3"/>
  <c r="AW231" i="3" s="1"/>
  <c r="AV141" i="3"/>
  <c r="AV231" i="3" s="1"/>
  <c r="AT141" i="3"/>
  <c r="AT231" i="3" s="1"/>
  <c r="AS141" i="3"/>
  <c r="AS231" i="3" s="1"/>
  <c r="AR141" i="3"/>
  <c r="AR231" i="3" s="1"/>
  <c r="AQ141" i="3"/>
  <c r="AQ231" i="3" s="1"/>
  <c r="AO141" i="3"/>
  <c r="AO231" i="3" s="1"/>
  <c r="AN141" i="3"/>
  <c r="AN231" i="3" s="1"/>
  <c r="AM141" i="3"/>
  <c r="AM231" i="3" s="1"/>
  <c r="AL141" i="3"/>
  <c r="AL231" i="3" s="1"/>
  <c r="AK141" i="3"/>
  <c r="AK231" i="3" s="1"/>
  <c r="AI141" i="3"/>
  <c r="AI231" i="3" s="1"/>
  <c r="AH141" i="3"/>
  <c r="AH231" i="3" s="1"/>
  <c r="AG141" i="3"/>
  <c r="AG231" i="3" s="1"/>
  <c r="AF141" i="3"/>
  <c r="AF231" i="3" s="1"/>
  <c r="AE141" i="3"/>
  <c r="AE231" i="3" s="1"/>
  <c r="AD141" i="3"/>
  <c r="AD231" i="3" s="1"/>
  <c r="AC141" i="3"/>
  <c r="AC231" i="3" s="1"/>
  <c r="AB141" i="3"/>
  <c r="AB231" i="3" s="1"/>
  <c r="AW140" i="3"/>
  <c r="AW230" i="3" s="1"/>
  <c r="AV140" i="3"/>
  <c r="AV230" i="3" s="1"/>
  <c r="AU140" i="3"/>
  <c r="AU230" i="3" s="1"/>
  <c r="AT140" i="3"/>
  <c r="AT230" i="3" s="1"/>
  <c r="AS140" i="3"/>
  <c r="AS230" i="3" s="1"/>
  <c r="AR140" i="3"/>
  <c r="AR230" i="3" s="1"/>
  <c r="AQ140" i="3"/>
  <c r="AQ230" i="3" s="1"/>
  <c r="AP140" i="3"/>
  <c r="AP230" i="3" s="1"/>
  <c r="AO140" i="3"/>
  <c r="AO230" i="3" s="1"/>
  <c r="AN140" i="3"/>
  <c r="AN230" i="3" s="1"/>
  <c r="AM140" i="3"/>
  <c r="AM230" i="3" s="1"/>
  <c r="AL140" i="3"/>
  <c r="AL230" i="3" s="1"/>
  <c r="AK140" i="3"/>
  <c r="AK230" i="3" s="1"/>
  <c r="AJ140" i="3"/>
  <c r="AJ230" i="3" s="1"/>
  <c r="AI140" i="3"/>
  <c r="AI230" i="3" s="1"/>
  <c r="AH140" i="3"/>
  <c r="AH230" i="3" s="1"/>
  <c r="AG140" i="3"/>
  <c r="AG230" i="3" s="1"/>
  <c r="AF140" i="3"/>
  <c r="AF230" i="3" s="1"/>
  <c r="AE140" i="3"/>
  <c r="AE230" i="3" s="1"/>
  <c r="AD140" i="3"/>
  <c r="AD230" i="3" s="1"/>
  <c r="AC140" i="3"/>
  <c r="AC230" i="3" s="1"/>
  <c r="AB140" i="3"/>
  <c r="AB230" i="3" s="1"/>
  <c r="AW139" i="3"/>
  <c r="AW229" i="3" s="1"/>
  <c r="AV139" i="3"/>
  <c r="AV229" i="3" s="1"/>
  <c r="AU139" i="3"/>
  <c r="AU229" i="3" s="1"/>
  <c r="AT139" i="3"/>
  <c r="AT229" i="3" s="1"/>
  <c r="AS139" i="3"/>
  <c r="AS229" i="3" s="1"/>
  <c r="AR139" i="3"/>
  <c r="AR229" i="3" s="1"/>
  <c r="AQ139" i="3"/>
  <c r="AQ229" i="3" s="1"/>
  <c r="AP139" i="3"/>
  <c r="AP229" i="3" s="1"/>
  <c r="AO139" i="3"/>
  <c r="AO229" i="3" s="1"/>
  <c r="AN139" i="3"/>
  <c r="AN229" i="3" s="1"/>
  <c r="AM139" i="3"/>
  <c r="AM229" i="3" s="1"/>
  <c r="AL139" i="3"/>
  <c r="AL229" i="3" s="1"/>
  <c r="AK139" i="3"/>
  <c r="AK229" i="3" s="1"/>
  <c r="AJ139" i="3"/>
  <c r="AJ229" i="3" s="1"/>
  <c r="AI139" i="3"/>
  <c r="AI229" i="3" s="1"/>
  <c r="AH139" i="3"/>
  <c r="AH229" i="3" s="1"/>
  <c r="AG139" i="3"/>
  <c r="AG229" i="3" s="1"/>
  <c r="AF139" i="3"/>
  <c r="AF229" i="3" s="1"/>
  <c r="AE139" i="3"/>
  <c r="AE229" i="3" s="1"/>
  <c r="AD139" i="3"/>
  <c r="AD229" i="3" s="1"/>
  <c r="AC139" i="3"/>
  <c r="AC229" i="3" s="1"/>
  <c r="AB139" i="3"/>
  <c r="AB229" i="3" s="1"/>
  <c r="AW138" i="3"/>
  <c r="AW228" i="3" s="1"/>
  <c r="AV138" i="3"/>
  <c r="AV228" i="3" s="1"/>
  <c r="AU138" i="3"/>
  <c r="AU228" i="3" s="1"/>
  <c r="AT138" i="3"/>
  <c r="AT228" i="3" s="1"/>
  <c r="AS138" i="3"/>
  <c r="AS228" i="3" s="1"/>
  <c r="AR138" i="3"/>
  <c r="AR228" i="3" s="1"/>
  <c r="AQ138" i="3"/>
  <c r="AQ228" i="3" s="1"/>
  <c r="AP138" i="3"/>
  <c r="AP228" i="3" s="1"/>
  <c r="AO138" i="3"/>
  <c r="AO228" i="3" s="1"/>
  <c r="AN138" i="3"/>
  <c r="AN228" i="3" s="1"/>
  <c r="AM138" i="3"/>
  <c r="AM228" i="3" s="1"/>
  <c r="AL138" i="3"/>
  <c r="AL228" i="3" s="1"/>
  <c r="AK138" i="3"/>
  <c r="AK228" i="3" s="1"/>
  <c r="AJ138" i="3"/>
  <c r="AJ228" i="3" s="1"/>
  <c r="AI138" i="3"/>
  <c r="AI228" i="3" s="1"/>
  <c r="AH138" i="3"/>
  <c r="AH228" i="3" s="1"/>
  <c r="AG138" i="3"/>
  <c r="AG228" i="3" s="1"/>
  <c r="AF138" i="3"/>
  <c r="AF228" i="3" s="1"/>
  <c r="AE138" i="3"/>
  <c r="AE228" i="3" s="1"/>
  <c r="AC138" i="3"/>
  <c r="AC228" i="3" s="1"/>
  <c r="AB138" i="3"/>
  <c r="AB228" i="3" s="1"/>
  <c r="AW137" i="3"/>
  <c r="AW227" i="3" s="1"/>
  <c r="AV137" i="3"/>
  <c r="AV227" i="3" s="1"/>
  <c r="AU137" i="3"/>
  <c r="AU227" i="3" s="1"/>
  <c r="AT137" i="3"/>
  <c r="AT227" i="3" s="1"/>
  <c r="AS137" i="3"/>
  <c r="AS227" i="3" s="1"/>
  <c r="AR137" i="3"/>
  <c r="AR227" i="3" s="1"/>
  <c r="AQ137" i="3"/>
  <c r="AQ227" i="3" s="1"/>
  <c r="AP137" i="3"/>
  <c r="AP227" i="3" s="1"/>
  <c r="AO137" i="3"/>
  <c r="AO227" i="3" s="1"/>
  <c r="AN137" i="3"/>
  <c r="AN227" i="3" s="1"/>
  <c r="AM137" i="3"/>
  <c r="AM227" i="3" s="1"/>
  <c r="AL137" i="3"/>
  <c r="AL227" i="3" s="1"/>
  <c r="AK137" i="3"/>
  <c r="AK227" i="3" s="1"/>
  <c r="AJ137" i="3"/>
  <c r="AJ227" i="3" s="1"/>
  <c r="AI137" i="3"/>
  <c r="AI227" i="3" s="1"/>
  <c r="AH137" i="3"/>
  <c r="AH227" i="3" s="1"/>
  <c r="AG137" i="3"/>
  <c r="AG227" i="3" s="1"/>
  <c r="AF137" i="3"/>
  <c r="AF227" i="3" s="1"/>
  <c r="AE137" i="3"/>
  <c r="AE227" i="3" s="1"/>
  <c r="AD137" i="3"/>
  <c r="AD227" i="3" s="1"/>
  <c r="AC137" i="3"/>
  <c r="AC227" i="3" s="1"/>
  <c r="AB137" i="3"/>
  <c r="AB227" i="3" s="1"/>
  <c r="AW136" i="3"/>
  <c r="AW226" i="3" s="1"/>
  <c r="AV136" i="3"/>
  <c r="AV226" i="3" s="1"/>
  <c r="AU136" i="3"/>
  <c r="AU226" i="3" s="1"/>
  <c r="AT136" i="3"/>
  <c r="AT226" i="3" s="1"/>
  <c r="AS136" i="3"/>
  <c r="AS226" i="3" s="1"/>
  <c r="AR136" i="3"/>
  <c r="AR226" i="3" s="1"/>
  <c r="AQ136" i="3"/>
  <c r="AQ226" i="3" s="1"/>
  <c r="AP136" i="3"/>
  <c r="AP226" i="3" s="1"/>
  <c r="AO136" i="3"/>
  <c r="AO226" i="3" s="1"/>
  <c r="AN136" i="3"/>
  <c r="AN226" i="3" s="1"/>
  <c r="AM136" i="3"/>
  <c r="AM226" i="3" s="1"/>
  <c r="AL136" i="3"/>
  <c r="AL226" i="3" s="1"/>
  <c r="AK136" i="3"/>
  <c r="AK226" i="3" s="1"/>
  <c r="AJ136" i="3"/>
  <c r="AJ226" i="3" s="1"/>
  <c r="AI136" i="3"/>
  <c r="AI226" i="3" s="1"/>
  <c r="AH136" i="3"/>
  <c r="AH226" i="3" s="1"/>
  <c r="AG136" i="3"/>
  <c r="AG226" i="3" s="1"/>
  <c r="AF136" i="3"/>
  <c r="AF226" i="3" s="1"/>
  <c r="AE136" i="3"/>
  <c r="AE226" i="3" s="1"/>
  <c r="AD136" i="3"/>
  <c r="AD226" i="3" s="1"/>
  <c r="AC136" i="3"/>
  <c r="AC226" i="3" s="1"/>
  <c r="AB136" i="3"/>
  <c r="AB226" i="3" s="1"/>
  <c r="AK135" i="3"/>
  <c r="AK225" i="3" s="1"/>
  <c r="AI135" i="3"/>
  <c r="AI225" i="3" s="1"/>
  <c r="AH135" i="3"/>
  <c r="AH225" i="3" s="1"/>
  <c r="AG135" i="3"/>
  <c r="AG225" i="3" s="1"/>
  <c r="AF135" i="3"/>
  <c r="AF225" i="3" s="1"/>
  <c r="AE135" i="3"/>
  <c r="AE225" i="3" s="1"/>
  <c r="AD135" i="3"/>
  <c r="AD225" i="3" s="1"/>
  <c r="AC135" i="3"/>
  <c r="AC225" i="3" s="1"/>
  <c r="AB135" i="3"/>
  <c r="AB225" i="3" s="1"/>
  <c r="AK134" i="3"/>
  <c r="AK224" i="3" s="1"/>
  <c r="AJ134" i="3"/>
  <c r="AJ224" i="3" s="1"/>
  <c r="AI134" i="3"/>
  <c r="AI224" i="3" s="1"/>
  <c r="AH134" i="3"/>
  <c r="AH224" i="3" s="1"/>
  <c r="AG134" i="3"/>
  <c r="AG224" i="3" s="1"/>
  <c r="AF134" i="3"/>
  <c r="AF224" i="3" s="1"/>
  <c r="AE134" i="3"/>
  <c r="AE224" i="3" s="1"/>
  <c r="AD134" i="3"/>
  <c r="AD224" i="3" s="1"/>
  <c r="AC134" i="3"/>
  <c r="AC224" i="3" s="1"/>
  <c r="AB134" i="3"/>
  <c r="AB224" i="3" s="1"/>
  <c r="AK133" i="3"/>
  <c r="AK223" i="3" s="1"/>
  <c r="AJ133" i="3"/>
  <c r="AJ223" i="3" s="1"/>
  <c r="AI133" i="3"/>
  <c r="AI223" i="3" s="1"/>
  <c r="AH133" i="3"/>
  <c r="AH223" i="3" s="1"/>
  <c r="AG133" i="3"/>
  <c r="AG223" i="3" s="1"/>
  <c r="AF133" i="3"/>
  <c r="AF223" i="3" s="1"/>
  <c r="AE133" i="3"/>
  <c r="AE223" i="3" s="1"/>
  <c r="AD133" i="3"/>
  <c r="AD223" i="3" s="1"/>
  <c r="AC133" i="3"/>
  <c r="AC223" i="3" s="1"/>
  <c r="AB133" i="3"/>
  <c r="AB223" i="3" s="1"/>
  <c r="AK132" i="3"/>
  <c r="AK222" i="3" s="1"/>
  <c r="AJ132" i="3"/>
  <c r="AJ222" i="3" s="1"/>
  <c r="AI132" i="3"/>
  <c r="AI222" i="3" s="1"/>
  <c r="AH132" i="3"/>
  <c r="AH222" i="3" s="1"/>
  <c r="AG132" i="3"/>
  <c r="AG222" i="3" s="1"/>
  <c r="AF132" i="3"/>
  <c r="AF222" i="3" s="1"/>
  <c r="AE132" i="3"/>
  <c r="AE222" i="3" s="1"/>
  <c r="AD132" i="3"/>
  <c r="AD222" i="3" s="1"/>
  <c r="AC132" i="3"/>
  <c r="AC222" i="3" s="1"/>
  <c r="AB132" i="3"/>
  <c r="AB222" i="3" s="1"/>
  <c r="AK131" i="3"/>
  <c r="AK221" i="3" s="1"/>
  <c r="AJ131" i="3"/>
  <c r="AJ221" i="3" s="1"/>
  <c r="AI131" i="3"/>
  <c r="AI221" i="3" s="1"/>
  <c r="AH131" i="3"/>
  <c r="AH221" i="3" s="1"/>
  <c r="AG131" i="3"/>
  <c r="AG221" i="3" s="1"/>
  <c r="AF131" i="3"/>
  <c r="AF221" i="3" s="1"/>
  <c r="AE131" i="3"/>
  <c r="AE221" i="3" s="1"/>
  <c r="AD131" i="3"/>
  <c r="AD221" i="3" s="1"/>
  <c r="AC131" i="3"/>
  <c r="AC221" i="3" s="1"/>
  <c r="AB131" i="3"/>
  <c r="AB221" i="3" s="1"/>
  <c r="AI130" i="3"/>
  <c r="AI220" i="3" s="1"/>
  <c r="AH130" i="3"/>
  <c r="AH220" i="3" s="1"/>
  <c r="AG130" i="3"/>
  <c r="AG220" i="3" s="1"/>
  <c r="AF130" i="3"/>
  <c r="AF220" i="3" s="1"/>
  <c r="AE130" i="3"/>
  <c r="AE220" i="3" s="1"/>
  <c r="AD130" i="3"/>
  <c r="AD220" i="3" s="1"/>
  <c r="AC130" i="3"/>
  <c r="AC220" i="3" s="1"/>
  <c r="AB130" i="3"/>
  <c r="AB220" i="3" s="1"/>
  <c r="AK129" i="3"/>
  <c r="AK219" i="3" s="1"/>
  <c r="AH129" i="3"/>
  <c r="AH219" i="3" s="1"/>
  <c r="AG129" i="3"/>
  <c r="AG219" i="3" s="1"/>
  <c r="AF129" i="3"/>
  <c r="AF219" i="3" s="1"/>
  <c r="AE129" i="3"/>
  <c r="AE219" i="3" s="1"/>
  <c r="AD129" i="3"/>
  <c r="AD219" i="3" s="1"/>
  <c r="AC129" i="3"/>
  <c r="AC219" i="3" s="1"/>
  <c r="AB129" i="3"/>
  <c r="AB219" i="3" s="1"/>
  <c r="AK128" i="3"/>
  <c r="AK218" i="3" s="1"/>
  <c r="AH128" i="3"/>
  <c r="AH218" i="3" s="1"/>
  <c r="AG128" i="3"/>
  <c r="AG218" i="3" s="1"/>
  <c r="AF128" i="3"/>
  <c r="AF218" i="3" s="1"/>
  <c r="AE128" i="3"/>
  <c r="AE218" i="3" s="1"/>
  <c r="AD128" i="3"/>
  <c r="AD218" i="3" s="1"/>
  <c r="AC128" i="3"/>
  <c r="AC218" i="3" s="1"/>
  <c r="AB128" i="3"/>
  <c r="AB218" i="3" s="1"/>
  <c r="AK127" i="3"/>
  <c r="AK217" i="3" s="1"/>
  <c r="AG127" i="3"/>
  <c r="AG217" i="3" s="1"/>
  <c r="AF127" i="3"/>
  <c r="AF217" i="3" s="1"/>
  <c r="AE127" i="3"/>
  <c r="AE217" i="3" s="1"/>
  <c r="AD127" i="3"/>
  <c r="AD217" i="3" s="1"/>
  <c r="AC127" i="3"/>
  <c r="AC217" i="3" s="1"/>
  <c r="AB127" i="3"/>
  <c r="AB217" i="3" s="1"/>
  <c r="AK126" i="3"/>
  <c r="AK216" i="3" s="1"/>
  <c r="AI126" i="3"/>
  <c r="AI216" i="3" s="1"/>
  <c r="AH126" i="3"/>
  <c r="AH216" i="3" s="1"/>
  <c r="AG126" i="3"/>
  <c r="AG216" i="3" s="1"/>
  <c r="AF126" i="3"/>
  <c r="AF216" i="3" s="1"/>
  <c r="AE126" i="3"/>
  <c r="AE216" i="3" s="1"/>
  <c r="AD126" i="3"/>
  <c r="AD216" i="3" s="1"/>
  <c r="AC126" i="3"/>
  <c r="AC216" i="3" s="1"/>
  <c r="AB126" i="3"/>
  <c r="AB216" i="3" s="1"/>
  <c r="AK125" i="3"/>
  <c r="AK215" i="3" s="1"/>
  <c r="AH125" i="3"/>
  <c r="AH215" i="3" s="1"/>
  <c r="AG125" i="3"/>
  <c r="AG215" i="3" s="1"/>
  <c r="AF125" i="3"/>
  <c r="AF215" i="3" s="1"/>
  <c r="AE125" i="3"/>
  <c r="AE215" i="3" s="1"/>
  <c r="AD125" i="3"/>
  <c r="AD215" i="3" s="1"/>
  <c r="AC125" i="3"/>
  <c r="AC215" i="3" s="1"/>
  <c r="AB125" i="3"/>
  <c r="AB215" i="3" s="1"/>
  <c r="AK124" i="3"/>
  <c r="AK214" i="3" s="1"/>
  <c r="AH124" i="3"/>
  <c r="AH214" i="3" s="1"/>
  <c r="AG124" i="3"/>
  <c r="AG214" i="3" s="1"/>
  <c r="AF124" i="3"/>
  <c r="AF214" i="3" s="1"/>
  <c r="AE124" i="3"/>
  <c r="AE214" i="3" s="1"/>
  <c r="AD124" i="3"/>
  <c r="AD214" i="3" s="1"/>
  <c r="AC124" i="3"/>
  <c r="AC214" i="3" s="1"/>
  <c r="AB124" i="3"/>
  <c r="AB214" i="3" s="1"/>
  <c r="AJ123" i="3"/>
  <c r="AJ213" i="3" s="1"/>
  <c r="AI123" i="3"/>
  <c r="AI213" i="3" s="1"/>
  <c r="AH123" i="3"/>
  <c r="AH213" i="3" s="1"/>
  <c r="AF123" i="3"/>
  <c r="AF213" i="3" s="1"/>
  <c r="AE123" i="3"/>
  <c r="AE213" i="3" s="1"/>
  <c r="AD123" i="3"/>
  <c r="AD213" i="3" s="1"/>
  <c r="AC123" i="3"/>
  <c r="AC213" i="3" s="1"/>
  <c r="AB123" i="3"/>
  <c r="AB213" i="3" s="1"/>
  <c r="AK122" i="3"/>
  <c r="AK212" i="3" s="1"/>
  <c r="AJ122" i="3"/>
  <c r="AJ212" i="3" s="1"/>
  <c r="AI122" i="3"/>
  <c r="AI212" i="3" s="1"/>
  <c r="AH122" i="3"/>
  <c r="AH212" i="3" s="1"/>
  <c r="AG122" i="3"/>
  <c r="AG212" i="3" s="1"/>
  <c r="AE122" i="3"/>
  <c r="AE212" i="3" s="1"/>
  <c r="AD122" i="3"/>
  <c r="AD212" i="3" s="1"/>
  <c r="AC122" i="3"/>
  <c r="AC212" i="3" s="1"/>
  <c r="AB122" i="3"/>
  <c r="AB212" i="3" s="1"/>
  <c r="AK121" i="3"/>
  <c r="AK211" i="3" s="1"/>
  <c r="AJ121" i="3"/>
  <c r="AJ211" i="3" s="1"/>
  <c r="AI121" i="3"/>
  <c r="AI211" i="3" s="1"/>
  <c r="AH121" i="3"/>
  <c r="AH211" i="3" s="1"/>
  <c r="AE121" i="3"/>
  <c r="AE211" i="3" s="1"/>
  <c r="AD121" i="3"/>
  <c r="AD211" i="3" s="1"/>
  <c r="AC121" i="3"/>
  <c r="AC211" i="3" s="1"/>
  <c r="AB121" i="3"/>
  <c r="AB211" i="3" s="1"/>
  <c r="AK120" i="3"/>
  <c r="AK210" i="3" s="1"/>
  <c r="AJ120" i="3"/>
  <c r="AJ210" i="3" s="1"/>
  <c r="AI120" i="3"/>
  <c r="AI210" i="3" s="1"/>
  <c r="AH120" i="3"/>
  <c r="AH210" i="3" s="1"/>
  <c r="AG120" i="3"/>
  <c r="AG210" i="3" s="1"/>
  <c r="AF120" i="3"/>
  <c r="AF210" i="3" s="1"/>
  <c r="AE120" i="3"/>
  <c r="AE210" i="3" s="1"/>
  <c r="AD120" i="3"/>
  <c r="AD210" i="3" s="1"/>
  <c r="AC120" i="3"/>
  <c r="AC210" i="3" s="1"/>
  <c r="AB120" i="3"/>
  <c r="AB210" i="3" s="1"/>
  <c r="AK119" i="3"/>
  <c r="AK209" i="3" s="1"/>
  <c r="AJ119" i="3"/>
  <c r="AJ209" i="3" s="1"/>
  <c r="AI119" i="3"/>
  <c r="AI209" i="3" s="1"/>
  <c r="AH119" i="3"/>
  <c r="AH209" i="3" s="1"/>
  <c r="AG119" i="3"/>
  <c r="AG209" i="3" s="1"/>
  <c r="AF119" i="3"/>
  <c r="AF209" i="3" s="1"/>
  <c r="AE119" i="3"/>
  <c r="AE209" i="3" s="1"/>
  <c r="AD119" i="3"/>
  <c r="AD209" i="3" s="1"/>
  <c r="AC119" i="3"/>
  <c r="AC209" i="3" s="1"/>
  <c r="AB119" i="3"/>
  <c r="AB209" i="3" s="1"/>
  <c r="AK118" i="3"/>
  <c r="AK208" i="3" s="1"/>
  <c r="AJ118" i="3"/>
  <c r="AJ208" i="3" s="1"/>
  <c r="AI118" i="3"/>
  <c r="AI208" i="3" s="1"/>
  <c r="AH118" i="3"/>
  <c r="AH208" i="3" s="1"/>
  <c r="AG118" i="3"/>
  <c r="AG208" i="3" s="1"/>
  <c r="AF118" i="3"/>
  <c r="AF208" i="3" s="1"/>
  <c r="AE118" i="3"/>
  <c r="AE208" i="3" s="1"/>
  <c r="AD118" i="3"/>
  <c r="AD208" i="3" s="1"/>
  <c r="AC118" i="3"/>
  <c r="AC208" i="3" s="1"/>
  <c r="AB118" i="3"/>
  <c r="AB208" i="3" s="1"/>
  <c r="AK117" i="3"/>
  <c r="AK207" i="3" s="1"/>
  <c r="AH117" i="3"/>
  <c r="AH207" i="3" s="1"/>
  <c r="AG117" i="3"/>
  <c r="AG207" i="3" s="1"/>
  <c r="AF117" i="3"/>
  <c r="AF207" i="3" s="1"/>
  <c r="AE117" i="3"/>
  <c r="AE207" i="3" s="1"/>
  <c r="AD117" i="3"/>
  <c r="AD207" i="3" s="1"/>
  <c r="AC117" i="3"/>
  <c r="AC207" i="3" s="1"/>
  <c r="AB117" i="3"/>
  <c r="AB207" i="3" s="1"/>
  <c r="AK116" i="3"/>
  <c r="AK206" i="3" s="1"/>
  <c r="AH116" i="3"/>
  <c r="AH206" i="3" s="1"/>
  <c r="AG116" i="3"/>
  <c r="AG206" i="3" s="1"/>
  <c r="AF116" i="3"/>
  <c r="AF206" i="3" s="1"/>
  <c r="AE116" i="3"/>
  <c r="AE206" i="3" s="1"/>
  <c r="AD116" i="3"/>
  <c r="AD206" i="3" s="1"/>
  <c r="AC116" i="3"/>
  <c r="AC206" i="3" s="1"/>
  <c r="AB116" i="3"/>
  <c r="AB206" i="3" s="1"/>
  <c r="AK115" i="3"/>
  <c r="AK205" i="3" s="1"/>
  <c r="AI115" i="3"/>
  <c r="AI205" i="3" s="1"/>
  <c r="AH115" i="3"/>
  <c r="AH205" i="3" s="1"/>
  <c r="AG115" i="3"/>
  <c r="AG205" i="3" s="1"/>
  <c r="AF115" i="3"/>
  <c r="AF205" i="3" s="1"/>
  <c r="AE115" i="3"/>
  <c r="AE205" i="3" s="1"/>
  <c r="AD115" i="3"/>
  <c r="AD205" i="3" s="1"/>
  <c r="AC115" i="3"/>
  <c r="AC205" i="3" s="1"/>
  <c r="AB115" i="3"/>
  <c r="AB205" i="3" s="1"/>
  <c r="AP114" i="3"/>
  <c r="AK114" i="3"/>
  <c r="AK204" i="3" s="1"/>
  <c r="AI114" i="3"/>
  <c r="AI204" i="3" s="1"/>
  <c r="AF114" i="3"/>
  <c r="AF204" i="3" s="1"/>
  <c r="AE114" i="3"/>
  <c r="AE204" i="3" s="1"/>
  <c r="AD114" i="3"/>
  <c r="AD204" i="3" s="1"/>
  <c r="AC114" i="3"/>
  <c r="AC204" i="3" s="1"/>
  <c r="AB114" i="3"/>
  <c r="AB204" i="3" s="1"/>
  <c r="AK113" i="3"/>
  <c r="AK203" i="3" s="1"/>
  <c r="AH113" i="3"/>
  <c r="AH203" i="3" s="1"/>
  <c r="AG113" i="3"/>
  <c r="AG203" i="3" s="1"/>
  <c r="AF113" i="3"/>
  <c r="AF203" i="3" s="1"/>
  <c r="AE113" i="3"/>
  <c r="AE203" i="3" s="1"/>
  <c r="AD113" i="3"/>
  <c r="AD203" i="3" s="1"/>
  <c r="AC113" i="3"/>
  <c r="AC203" i="3" s="1"/>
  <c r="AB113" i="3"/>
  <c r="AB203" i="3" s="1"/>
  <c r="AK112" i="3"/>
  <c r="AK202" i="3" s="1"/>
  <c r="AH112" i="3"/>
  <c r="AH202" i="3" s="1"/>
  <c r="AG112" i="3"/>
  <c r="AG202" i="3" s="1"/>
  <c r="AF112" i="3"/>
  <c r="AF202" i="3" s="1"/>
  <c r="AE112" i="3"/>
  <c r="AE202" i="3" s="1"/>
  <c r="AD112" i="3"/>
  <c r="AD202" i="3" s="1"/>
  <c r="AC112" i="3"/>
  <c r="AC202" i="3" s="1"/>
  <c r="AB112" i="3"/>
  <c r="AB202" i="3" s="1"/>
  <c r="AK111" i="3"/>
  <c r="AK201" i="3" s="1"/>
  <c r="AJ111" i="3"/>
  <c r="AJ201" i="3" s="1"/>
  <c r="AI111" i="3"/>
  <c r="AI201" i="3" s="1"/>
  <c r="AH111" i="3"/>
  <c r="AH201" i="3" s="1"/>
  <c r="AG111" i="3"/>
  <c r="AG201" i="3" s="1"/>
  <c r="AF111" i="3"/>
  <c r="AF201" i="3" s="1"/>
  <c r="AE111" i="3"/>
  <c r="AE201" i="3" s="1"/>
  <c r="AD111" i="3"/>
  <c r="AD201" i="3" s="1"/>
  <c r="AC111" i="3"/>
  <c r="AC201" i="3" s="1"/>
  <c r="AB111" i="3"/>
  <c r="AB201" i="3" s="1"/>
  <c r="AK110" i="3"/>
  <c r="AK200" i="3" s="1"/>
  <c r="AJ110" i="3"/>
  <c r="AJ200" i="3" s="1"/>
  <c r="AI110" i="3"/>
  <c r="AI200" i="3" s="1"/>
  <c r="AH110" i="3"/>
  <c r="AH200" i="3" s="1"/>
  <c r="AG110" i="3"/>
  <c r="AG200" i="3" s="1"/>
  <c r="AF110" i="3"/>
  <c r="AF200" i="3" s="1"/>
  <c r="AE110" i="3"/>
  <c r="AE200" i="3" s="1"/>
  <c r="AD110" i="3"/>
  <c r="AD200" i="3" s="1"/>
  <c r="AC110" i="3"/>
  <c r="AC200" i="3" s="1"/>
  <c r="AB110" i="3"/>
  <c r="AB200" i="3" s="1"/>
  <c r="AK109" i="3"/>
  <c r="AK199" i="3" s="1"/>
  <c r="AJ109" i="3"/>
  <c r="AI109" i="3"/>
  <c r="AI199" i="3" s="1"/>
  <c r="AH109" i="3"/>
  <c r="AH199" i="3" s="1"/>
  <c r="AG109" i="3"/>
  <c r="AG199" i="3" s="1"/>
  <c r="AF109" i="3"/>
  <c r="AF199" i="3" s="1"/>
  <c r="AE109" i="3"/>
  <c r="AE199" i="3" s="1"/>
  <c r="AD109" i="3"/>
  <c r="AD199" i="3" s="1"/>
  <c r="AC109" i="3"/>
  <c r="AC199" i="3" s="1"/>
  <c r="AB109" i="3"/>
  <c r="AB199" i="3" s="1"/>
  <c r="AH108" i="3"/>
  <c r="AH198" i="3" s="1"/>
  <c r="AG108" i="3"/>
  <c r="AG198" i="3" s="1"/>
  <c r="AF108" i="3"/>
  <c r="AF198" i="3" s="1"/>
  <c r="AE108" i="3"/>
  <c r="AE198" i="3" s="1"/>
  <c r="AD108" i="3"/>
  <c r="AD198" i="3" s="1"/>
  <c r="AC108" i="3"/>
  <c r="AC198" i="3" s="1"/>
  <c r="AB108" i="3"/>
  <c r="AB198" i="3" s="1"/>
  <c r="AI107" i="3"/>
  <c r="AI197" i="3" s="1"/>
  <c r="AH107" i="3"/>
  <c r="AH197" i="3" s="1"/>
  <c r="AG107" i="3"/>
  <c r="AG197" i="3" s="1"/>
  <c r="AF107" i="3"/>
  <c r="AF197" i="3" s="1"/>
  <c r="AE107" i="3"/>
  <c r="AE197" i="3" s="1"/>
  <c r="AD107" i="3"/>
  <c r="AD197" i="3" s="1"/>
  <c r="AC107" i="3"/>
  <c r="AC197" i="3" s="1"/>
  <c r="AB107" i="3"/>
  <c r="AB197" i="3" s="1"/>
  <c r="AJ106" i="3"/>
  <c r="AJ196" i="3" s="1"/>
  <c r="AI106" i="3"/>
  <c r="AI196" i="3" s="1"/>
  <c r="AH106" i="3"/>
  <c r="AH196" i="3" s="1"/>
  <c r="AG106" i="3"/>
  <c r="AG196" i="3" s="1"/>
  <c r="AF106" i="3"/>
  <c r="AF196" i="3" s="1"/>
  <c r="AE106" i="3"/>
  <c r="AE196" i="3" s="1"/>
  <c r="AD106" i="3"/>
  <c r="AD196" i="3" s="1"/>
  <c r="AC106" i="3"/>
  <c r="AC196" i="3" s="1"/>
  <c r="AB106" i="3"/>
  <c r="AB196" i="3" s="1"/>
  <c r="AJ105" i="3"/>
  <c r="AJ195" i="3" s="1"/>
  <c r="AI105" i="3"/>
  <c r="AI195" i="3" s="1"/>
  <c r="AH105" i="3"/>
  <c r="AH195" i="3" s="1"/>
  <c r="AG105" i="3"/>
  <c r="AG195" i="3" s="1"/>
  <c r="AF105" i="3"/>
  <c r="AF195" i="3" s="1"/>
  <c r="AE105" i="3"/>
  <c r="AE195" i="3" s="1"/>
  <c r="AD105" i="3"/>
  <c r="AD195" i="3" s="1"/>
  <c r="AC105" i="3"/>
  <c r="AC195" i="3" s="1"/>
  <c r="AB105" i="3"/>
  <c r="AB195" i="3" s="1"/>
  <c r="AK104" i="3"/>
  <c r="AK194" i="3" s="1"/>
  <c r="AJ104" i="3"/>
  <c r="AJ194" i="3" s="1"/>
  <c r="AI104" i="3"/>
  <c r="AI194" i="3" s="1"/>
  <c r="AH104" i="3"/>
  <c r="AH194" i="3" s="1"/>
  <c r="AG104" i="3"/>
  <c r="AG194" i="3" s="1"/>
  <c r="AF104" i="3"/>
  <c r="AF194" i="3" s="1"/>
  <c r="AE104" i="3"/>
  <c r="AE194" i="3" s="1"/>
  <c r="AD104" i="3"/>
  <c r="AD194" i="3" s="1"/>
  <c r="AC104" i="3"/>
  <c r="AC194" i="3" s="1"/>
  <c r="AB104" i="3"/>
  <c r="AB194" i="3" s="1"/>
  <c r="AP103" i="3"/>
  <c r="AK103" i="3"/>
  <c r="AK193" i="3" s="1"/>
  <c r="AJ103" i="3"/>
  <c r="AJ193" i="3" s="1"/>
  <c r="AI103" i="3"/>
  <c r="AI193" i="3" s="1"/>
  <c r="AH103" i="3"/>
  <c r="AH193" i="3" s="1"/>
  <c r="AG103" i="3"/>
  <c r="AG193" i="3" s="1"/>
  <c r="AF103" i="3"/>
  <c r="AF193" i="3" s="1"/>
  <c r="AE103" i="3"/>
  <c r="AE193" i="3" s="1"/>
  <c r="AD103" i="3"/>
  <c r="AD193" i="3" s="1"/>
  <c r="AC103" i="3"/>
  <c r="AC193" i="3" s="1"/>
  <c r="AB103" i="3"/>
  <c r="AB193" i="3" s="1"/>
  <c r="AK102" i="3"/>
  <c r="AK192" i="3" s="1"/>
  <c r="AJ102" i="3"/>
  <c r="AJ192" i="3" s="1"/>
  <c r="AI102" i="3"/>
  <c r="AI192" i="3" s="1"/>
  <c r="AH102" i="3"/>
  <c r="AH192" i="3" s="1"/>
  <c r="AG102" i="3"/>
  <c r="AG192" i="3" s="1"/>
  <c r="AF102" i="3"/>
  <c r="AF192" i="3" s="1"/>
  <c r="AE102" i="3"/>
  <c r="AE192" i="3" s="1"/>
  <c r="AD102" i="3"/>
  <c r="AD192" i="3" s="1"/>
  <c r="AC102" i="3"/>
  <c r="AC192" i="3" s="1"/>
  <c r="AB102" i="3"/>
  <c r="AB192" i="3" s="1"/>
  <c r="AK101" i="3"/>
  <c r="AK191" i="3" s="1"/>
  <c r="AJ101" i="3"/>
  <c r="AJ191" i="3" s="1"/>
  <c r="AI101" i="3"/>
  <c r="AI191" i="3" s="1"/>
  <c r="AH101" i="3"/>
  <c r="AH191" i="3" s="1"/>
  <c r="AG101" i="3"/>
  <c r="AG191" i="3" s="1"/>
  <c r="AF101" i="3"/>
  <c r="AF191" i="3" s="1"/>
  <c r="AE101" i="3"/>
  <c r="AE191" i="3" s="1"/>
  <c r="AD101" i="3"/>
  <c r="AD191" i="3" s="1"/>
  <c r="AC101" i="3"/>
  <c r="AC191" i="3" s="1"/>
  <c r="AB101" i="3"/>
  <c r="AB191" i="3" s="1"/>
  <c r="AK100" i="3"/>
  <c r="AK190" i="3" s="1"/>
  <c r="AJ100" i="3"/>
  <c r="AJ190" i="3" s="1"/>
  <c r="AI100" i="3"/>
  <c r="AI190" i="3" s="1"/>
  <c r="AH100" i="3"/>
  <c r="AH190" i="3" s="1"/>
  <c r="AG100" i="3"/>
  <c r="AG190" i="3" s="1"/>
  <c r="AF100" i="3"/>
  <c r="AF190" i="3" s="1"/>
  <c r="AE100" i="3"/>
  <c r="AE190" i="3" s="1"/>
  <c r="AD100" i="3"/>
  <c r="AD190" i="3" s="1"/>
  <c r="AC100" i="3"/>
  <c r="AC190" i="3" s="1"/>
  <c r="AB100" i="3"/>
  <c r="AB190" i="3" s="1"/>
  <c r="AK99" i="3"/>
  <c r="AK189" i="3" s="1"/>
  <c r="AJ99" i="3"/>
  <c r="AJ189" i="3" s="1"/>
  <c r="AI99" i="3"/>
  <c r="AI189" i="3" s="1"/>
  <c r="AH99" i="3"/>
  <c r="AH189" i="3" s="1"/>
  <c r="AG99" i="3"/>
  <c r="AG189" i="3" s="1"/>
  <c r="AF99" i="3"/>
  <c r="AF189" i="3" s="1"/>
  <c r="AE99" i="3"/>
  <c r="AE189" i="3" s="1"/>
  <c r="AD99" i="3"/>
  <c r="AD189" i="3" s="1"/>
  <c r="AC99" i="3"/>
  <c r="AC189" i="3" s="1"/>
  <c r="AB99" i="3"/>
  <c r="AB189" i="3" s="1"/>
  <c r="AW98" i="3"/>
  <c r="AW188" i="3" s="1"/>
  <c r="AV98" i="3"/>
  <c r="AV188" i="3" s="1"/>
  <c r="AU98" i="3"/>
  <c r="AU188" i="3" s="1"/>
  <c r="AT98" i="3"/>
  <c r="AT188" i="3" s="1"/>
  <c r="AS98" i="3"/>
  <c r="AS188" i="3" s="1"/>
  <c r="AR98" i="3"/>
  <c r="AR188" i="3" s="1"/>
  <c r="AQ98" i="3"/>
  <c r="AQ188" i="3" s="1"/>
  <c r="AP98" i="3"/>
  <c r="AP188" i="3" s="1"/>
  <c r="AO98" i="3"/>
  <c r="AN98" i="3"/>
  <c r="AN188" i="3" s="1"/>
  <c r="AM98" i="3"/>
  <c r="AM188" i="3" s="1"/>
  <c r="AL98" i="3"/>
  <c r="AL188" i="3" s="1"/>
  <c r="AK98" i="3"/>
  <c r="AK188" i="3" s="1"/>
  <c r="AJ98" i="3"/>
  <c r="AJ188" i="3" s="1"/>
  <c r="AI98" i="3"/>
  <c r="AI188" i="3" s="1"/>
  <c r="AH98" i="3"/>
  <c r="AH188" i="3" s="1"/>
  <c r="AG98" i="3"/>
  <c r="AG188" i="3" s="1"/>
  <c r="AF98" i="3"/>
  <c r="AF188" i="3" s="1"/>
  <c r="AE98" i="3"/>
  <c r="AE188" i="3" s="1"/>
  <c r="AD98" i="3"/>
  <c r="AD188" i="3" s="1"/>
  <c r="AC98" i="3"/>
  <c r="AC188" i="3" s="1"/>
  <c r="AB98" i="3"/>
  <c r="AB188" i="3" s="1"/>
  <c r="AU97" i="3"/>
  <c r="AU187" i="3" s="1"/>
  <c r="AT97" i="3"/>
  <c r="AT187" i="3" s="1"/>
  <c r="AS97" i="3"/>
  <c r="AS187" i="3" s="1"/>
  <c r="AR97" i="3"/>
  <c r="AR187" i="3" s="1"/>
  <c r="AQ97" i="3"/>
  <c r="AQ187" i="3" s="1"/>
  <c r="AP97" i="3"/>
  <c r="AP187" i="3" s="1"/>
  <c r="AO97" i="3"/>
  <c r="AO187" i="3" s="1"/>
  <c r="AN97" i="3"/>
  <c r="AN187" i="3" s="1"/>
  <c r="AM97" i="3"/>
  <c r="AM187" i="3" s="1"/>
  <c r="AL97" i="3"/>
  <c r="AL187" i="3" s="1"/>
  <c r="AK97" i="3"/>
  <c r="AK187" i="3" s="1"/>
  <c r="AJ97" i="3"/>
  <c r="AJ187" i="3" s="1"/>
  <c r="AI97" i="3"/>
  <c r="AI187" i="3" s="1"/>
  <c r="AH97" i="3"/>
  <c r="AH187" i="3" s="1"/>
  <c r="AG97" i="3"/>
  <c r="AG187" i="3" s="1"/>
  <c r="AF97" i="3"/>
  <c r="AF187" i="3" s="1"/>
  <c r="AE97" i="3"/>
  <c r="AE187" i="3" s="1"/>
  <c r="AD97" i="3"/>
  <c r="AD187" i="3" s="1"/>
  <c r="AC97" i="3"/>
  <c r="AC187" i="3" s="1"/>
  <c r="AB97" i="3"/>
  <c r="AB187" i="3" s="1"/>
  <c r="AW96" i="3"/>
  <c r="AW186" i="3" s="1"/>
  <c r="AV96" i="3"/>
  <c r="AV186" i="3" s="1"/>
  <c r="AT96" i="3"/>
  <c r="AT186" i="3" s="1"/>
  <c r="AS96" i="3"/>
  <c r="AS186" i="3" s="1"/>
  <c r="AR96" i="3"/>
  <c r="AR186" i="3" s="1"/>
  <c r="AQ96" i="3"/>
  <c r="AQ186" i="3" s="1"/>
  <c r="AO96" i="3"/>
  <c r="AO186" i="3" s="1"/>
  <c r="AN96" i="3"/>
  <c r="AN186" i="3" s="1"/>
  <c r="AM96" i="3"/>
  <c r="AM186" i="3" s="1"/>
  <c r="AL96" i="3"/>
  <c r="AL186" i="3" s="1"/>
  <c r="AK96" i="3"/>
  <c r="AK186" i="3" s="1"/>
  <c r="AJ96" i="3"/>
  <c r="AJ186" i="3" s="1"/>
  <c r="AI96" i="3"/>
  <c r="AI186" i="3" s="1"/>
  <c r="AH96" i="3"/>
  <c r="AH186" i="3" s="1"/>
  <c r="AG96" i="3"/>
  <c r="AG186" i="3" s="1"/>
  <c r="AF96" i="3"/>
  <c r="AF186" i="3" s="1"/>
  <c r="AE96" i="3"/>
  <c r="AE186" i="3" s="1"/>
  <c r="AD96" i="3"/>
  <c r="AD186" i="3" s="1"/>
  <c r="AC96" i="3"/>
  <c r="AC186" i="3" s="1"/>
  <c r="AB96" i="3"/>
  <c r="AB186" i="3" s="1"/>
  <c r="AW95" i="3"/>
  <c r="AW185" i="3" s="1"/>
  <c r="AV95" i="3"/>
  <c r="AV185" i="3" s="1"/>
  <c r="AU95" i="3"/>
  <c r="AU185" i="3" s="1"/>
  <c r="AT95" i="3"/>
  <c r="AT185" i="3" s="1"/>
  <c r="AS95" i="3"/>
  <c r="AS185" i="3" s="1"/>
  <c r="AR95" i="3"/>
  <c r="AR185" i="3" s="1"/>
  <c r="AQ95" i="3"/>
  <c r="AQ185" i="3" s="1"/>
  <c r="AP95" i="3"/>
  <c r="AP185" i="3" s="1"/>
  <c r="AO95" i="3"/>
  <c r="AO185" i="3" s="1"/>
  <c r="AN95" i="3"/>
  <c r="AN185" i="3" s="1"/>
  <c r="AM95" i="3"/>
  <c r="AM185" i="3" s="1"/>
  <c r="AL95" i="3"/>
  <c r="AL185" i="3" s="1"/>
  <c r="AK95" i="3"/>
  <c r="AK185" i="3" s="1"/>
  <c r="AJ95" i="3"/>
  <c r="AJ185" i="3" s="1"/>
  <c r="AI95" i="3"/>
  <c r="AI185" i="3" s="1"/>
  <c r="AH95" i="3"/>
  <c r="AH185" i="3" s="1"/>
  <c r="AG95" i="3"/>
  <c r="AG185" i="3" s="1"/>
  <c r="AF95" i="3"/>
  <c r="AF185" i="3" s="1"/>
  <c r="AE95" i="3"/>
  <c r="AE185" i="3" s="1"/>
  <c r="AD95" i="3"/>
  <c r="AD185" i="3" s="1"/>
  <c r="AC95" i="3"/>
  <c r="AC185" i="3" s="1"/>
  <c r="AB95" i="3"/>
  <c r="AB185" i="3" s="1"/>
  <c r="AW94" i="3"/>
  <c r="AW184" i="3" s="1"/>
  <c r="AV94" i="3"/>
  <c r="AV184" i="3" s="1"/>
  <c r="AU94" i="3"/>
  <c r="AU184" i="3" s="1"/>
  <c r="AT94" i="3"/>
  <c r="AT184" i="3" s="1"/>
  <c r="AS94" i="3"/>
  <c r="AS184" i="3" s="1"/>
  <c r="AR94" i="3"/>
  <c r="AR184" i="3" s="1"/>
  <c r="AQ94" i="3"/>
  <c r="AQ184" i="3" s="1"/>
  <c r="AP94" i="3"/>
  <c r="AP184" i="3" s="1"/>
  <c r="AO94" i="3"/>
  <c r="AO184" i="3" s="1"/>
  <c r="AN94" i="3"/>
  <c r="AN184" i="3" s="1"/>
  <c r="AM94" i="3"/>
  <c r="AM184" i="3" s="1"/>
  <c r="AL94" i="3"/>
  <c r="AL184" i="3" s="1"/>
  <c r="AK94" i="3"/>
  <c r="AK184" i="3" s="1"/>
  <c r="AJ94" i="3"/>
  <c r="AJ184" i="3" s="1"/>
  <c r="AI94" i="3"/>
  <c r="AI184" i="3" s="1"/>
  <c r="AH94" i="3"/>
  <c r="AH184" i="3" s="1"/>
  <c r="AG94" i="3"/>
  <c r="AG184" i="3" s="1"/>
  <c r="AF94" i="3"/>
  <c r="AF184" i="3" s="1"/>
  <c r="AE94" i="3"/>
  <c r="AE184" i="3" s="1"/>
  <c r="AD94" i="3"/>
  <c r="AD184" i="3" s="1"/>
  <c r="AC94" i="3"/>
  <c r="AC184" i="3" s="1"/>
  <c r="AB94" i="3"/>
  <c r="AB184" i="3" s="1"/>
  <c r="AP65" i="3"/>
  <c r="AP13" i="3"/>
  <c r="AP22" i="3" s="1"/>
  <c r="BG17" i="4" l="1"/>
  <c r="AD565" i="6"/>
  <c r="AD573" i="6"/>
  <c r="AB281" i="3"/>
  <c r="AM153" i="3"/>
  <c r="AM243" i="3" s="1"/>
  <c r="AP148" i="3"/>
  <c r="AB290" i="3"/>
  <c r="AB282" i="3"/>
  <c r="F9" i="8"/>
  <c r="AG9" i="8" s="1"/>
  <c r="BC8" i="34"/>
  <c r="BB8" i="34"/>
  <c r="BA8" i="34"/>
  <c r="AZ8" i="34"/>
  <c r="AY8" i="34"/>
  <c r="AX8" i="34"/>
  <c r="AW8" i="34"/>
  <c r="AV8" i="34"/>
  <c r="AU8" i="34"/>
  <c r="AT8" i="34"/>
  <c r="AS8" i="34"/>
  <c r="AR8" i="34"/>
  <c r="AE8" i="34"/>
  <c r="AD8" i="34"/>
  <c r="AC8" i="34"/>
  <c r="AB8" i="34"/>
  <c r="AA8" i="34"/>
  <c r="Z8" i="34"/>
  <c r="Y8" i="34"/>
  <c r="X8" i="34"/>
  <c r="W8" i="34"/>
  <c r="V8" i="34"/>
  <c r="U8" i="34"/>
  <c r="T8" i="34"/>
  <c r="AE7" i="34"/>
  <c r="AD7" i="34"/>
  <c r="AC7" i="34"/>
  <c r="AB7" i="34"/>
  <c r="AA7" i="34"/>
  <c r="Z7" i="34"/>
  <c r="Y7" i="34"/>
  <c r="X7" i="34"/>
  <c r="W7" i="34"/>
  <c r="V7" i="34"/>
  <c r="U7" i="34"/>
  <c r="T7" i="34"/>
  <c r="BC8" i="33"/>
  <c r="BB8" i="33"/>
  <c r="BA8" i="33"/>
  <c r="AZ8" i="33"/>
  <c r="AY8" i="33"/>
  <c r="AX8" i="33"/>
  <c r="AW8" i="33"/>
  <c r="AV8" i="33"/>
  <c r="AU8" i="33"/>
  <c r="AT8" i="33"/>
  <c r="AS8" i="33"/>
  <c r="AR8" i="33"/>
  <c r="AE8" i="33"/>
  <c r="AD8" i="33"/>
  <c r="AC8" i="33"/>
  <c r="AB8" i="33"/>
  <c r="AA8" i="33"/>
  <c r="Z8" i="33"/>
  <c r="Y8" i="33"/>
  <c r="X8" i="33"/>
  <c r="W8" i="33"/>
  <c r="V8" i="33"/>
  <c r="U8" i="33"/>
  <c r="T8" i="33"/>
  <c r="AE7" i="33"/>
  <c r="AD7" i="33"/>
  <c r="AC7" i="33"/>
  <c r="AB7" i="33"/>
  <c r="AA7" i="33"/>
  <c r="Z7" i="33"/>
  <c r="Y7" i="33"/>
  <c r="X7" i="33"/>
  <c r="W7" i="33"/>
  <c r="V7" i="33"/>
  <c r="U7" i="33"/>
  <c r="T7" i="33"/>
  <c r="BC8" i="32"/>
  <c r="BB8" i="32"/>
  <c r="BA8" i="32"/>
  <c r="AZ8" i="32"/>
  <c r="AY8" i="32"/>
  <c r="AX8" i="32"/>
  <c r="AW8" i="32"/>
  <c r="AV8" i="32"/>
  <c r="AU8" i="32"/>
  <c r="AT8" i="32"/>
  <c r="AS8" i="32"/>
  <c r="AR8" i="32"/>
  <c r="BG18" i="4" l="1"/>
  <c r="AD574" i="6"/>
  <c r="AP238" i="3"/>
  <c r="AP157" i="3"/>
  <c r="AP247" i="3" s="1"/>
  <c r="AB291" i="3"/>
  <c r="AB283" i="3"/>
  <c r="U8" i="32"/>
  <c r="V8" i="32"/>
  <c r="W8" i="32"/>
  <c r="X8" i="32"/>
  <c r="Y8" i="32"/>
  <c r="Z8" i="32"/>
  <c r="AA8" i="32"/>
  <c r="AB8" i="32"/>
  <c r="AC8" i="32"/>
  <c r="AD8" i="32"/>
  <c r="AE8" i="32"/>
  <c r="T8" i="32"/>
  <c r="BG19" i="4" l="1"/>
  <c r="AB292" i="3"/>
  <c r="AB284" i="3"/>
  <c r="BG21" i="4" l="1"/>
  <c r="BG20" i="4"/>
  <c r="AB293" i="3"/>
  <c r="AB285" i="3"/>
  <c r="AB294" i="3" s="1"/>
  <c r="K24" i="25"/>
  <c r="A13" i="29" l="1"/>
  <c r="L86" i="6"/>
  <c r="AO86" i="6" s="1"/>
  <c r="AO268" i="6" s="1"/>
  <c r="AO452" i="6" s="1"/>
  <c r="L75" i="6"/>
  <c r="AO75" i="6" s="1"/>
  <c r="AO257" i="6" s="1"/>
  <c r="AO441" i="6" s="1"/>
  <c r="L170" i="6"/>
  <c r="AO170" i="6" s="1"/>
  <c r="AO354" i="6" s="1"/>
  <c r="AO536" i="6" s="1"/>
  <c r="L160" i="6"/>
  <c r="O114" i="3"/>
  <c r="BO160" i="6" l="1"/>
  <c r="BO170" i="6" s="1"/>
  <c r="AO160" i="6"/>
  <c r="AO344" i="6" s="1"/>
  <c r="AO526" i="6" s="1"/>
  <c r="AE564" i="6"/>
  <c r="AE562" i="6"/>
  <c r="AE560" i="6"/>
  <c r="AE559" i="6"/>
  <c r="AE561" i="6"/>
  <c r="AE563" i="6"/>
  <c r="AE565" i="6"/>
  <c r="B561" i="6"/>
  <c r="B565" i="6"/>
  <c r="B562" i="6"/>
  <c r="B559" i="6"/>
  <c r="B560" i="6"/>
  <c r="B564" i="6"/>
  <c r="B563" i="6"/>
  <c r="V40" i="9"/>
  <c r="V39" i="9"/>
  <c r="V38" i="9"/>
  <c r="B572" i="6" l="1"/>
  <c r="B571" i="6"/>
  <c r="B573" i="6"/>
  <c r="B574" i="6"/>
  <c r="B569" i="6"/>
  <c r="B570" i="6"/>
  <c r="B568" i="6"/>
  <c r="AE573" i="6"/>
  <c r="AE574" i="6"/>
  <c r="AE569" i="6"/>
  <c r="AE570" i="6"/>
  <c r="AE568" i="6"/>
  <c r="AE572" i="6"/>
  <c r="AE571" i="6"/>
  <c r="A583" i="6"/>
  <c r="A584" i="6" s="1"/>
  <c r="A585" i="6" s="1"/>
  <c r="A586" i="6" s="1"/>
  <c r="A587" i="6" s="1"/>
  <c r="A588" i="6" s="1"/>
  <c r="A568" i="6"/>
  <c r="A560" i="6"/>
  <c r="A569" i="6" l="1"/>
  <c r="A561" i="6"/>
  <c r="N385" i="6"/>
  <c r="N384" i="6"/>
  <c r="M24" i="28"/>
  <c r="K24" i="28"/>
  <c r="G24" i="28"/>
  <c r="E24" i="28"/>
  <c r="A11" i="29"/>
  <c r="A26" i="29" s="1"/>
  <c r="S359" i="6"/>
  <c r="S356" i="6"/>
  <c r="A15" i="29"/>
  <c r="A14" i="29"/>
  <c r="A10" i="29"/>
  <c r="A25" i="29" s="1"/>
  <c r="A9" i="29"/>
  <c r="A24" i="29" s="1"/>
  <c r="R201" i="6"/>
  <c r="R202" i="6"/>
  <c r="I216" i="6"/>
  <c r="I217" i="6"/>
  <c r="I218" i="6"/>
  <c r="I219" i="6"/>
  <c r="I220" i="6"/>
  <c r="I221" i="6"/>
  <c r="I222" i="6"/>
  <c r="I223" i="6"/>
  <c r="I224" i="6"/>
  <c r="I225" i="6"/>
  <c r="F240" i="6"/>
  <c r="F239" i="6"/>
  <c r="F238" i="6"/>
  <c r="AI238" i="6" s="1"/>
  <c r="AI422" i="6" s="1"/>
  <c r="N399" i="6" l="1"/>
  <c r="AQ385" i="6"/>
  <c r="AQ399" i="6" s="1"/>
  <c r="N398" i="6"/>
  <c r="AQ384" i="6"/>
  <c r="AQ398" i="6" s="1"/>
  <c r="F321" i="6"/>
  <c r="AI240" i="6"/>
  <c r="AI321" i="6" s="1"/>
  <c r="F320" i="6"/>
  <c r="AI239" i="6"/>
  <c r="AI320" i="6" s="1"/>
  <c r="A570" i="6"/>
  <c r="A562" i="6"/>
  <c r="T512" i="6"/>
  <c r="F422" i="6"/>
  <c r="R369" i="6"/>
  <c r="Q369" i="6"/>
  <c r="P369" i="6"/>
  <c r="S185" i="6"/>
  <c r="S369" i="6" s="1"/>
  <c r="T185" i="6"/>
  <c r="T369" i="6" s="1"/>
  <c r="U185" i="6"/>
  <c r="U369" i="6" s="1"/>
  <c r="V185" i="6"/>
  <c r="V369" i="6" s="1"/>
  <c r="W185" i="6"/>
  <c r="W369" i="6" s="1"/>
  <c r="X185" i="6"/>
  <c r="X369" i="6" s="1"/>
  <c r="Y185" i="6"/>
  <c r="Y369" i="6" s="1"/>
  <c r="Z185" i="6"/>
  <c r="Z369" i="6" s="1"/>
  <c r="AA185" i="6"/>
  <c r="AA369" i="6" s="1"/>
  <c r="A186" i="6"/>
  <c r="A370" i="6" s="1"/>
  <c r="B186" i="6"/>
  <c r="B370" i="6" s="1"/>
  <c r="C186" i="6"/>
  <c r="C370" i="6" s="1"/>
  <c r="D186" i="6"/>
  <c r="D370" i="6" s="1"/>
  <c r="E186" i="6"/>
  <c r="E370" i="6" s="1"/>
  <c r="F186" i="6"/>
  <c r="F370" i="6" s="1"/>
  <c r="G186" i="6"/>
  <c r="G370" i="6" s="1"/>
  <c r="H186" i="6"/>
  <c r="H370" i="6" s="1"/>
  <c r="I186" i="6"/>
  <c r="I370" i="6" s="1"/>
  <c r="J186" i="6"/>
  <c r="J370" i="6" s="1"/>
  <c r="K186" i="6"/>
  <c r="K370" i="6" s="1"/>
  <c r="L186" i="6"/>
  <c r="L370" i="6" s="1"/>
  <c r="M186" i="6"/>
  <c r="M370" i="6" s="1"/>
  <c r="O186" i="6"/>
  <c r="O370" i="6" s="1"/>
  <c r="P186" i="6"/>
  <c r="P370" i="6" s="1"/>
  <c r="Q186" i="6"/>
  <c r="Q370" i="6" s="1"/>
  <c r="R186" i="6"/>
  <c r="R370" i="6" s="1"/>
  <c r="T186" i="6"/>
  <c r="T370" i="6" s="1"/>
  <c r="U186" i="6"/>
  <c r="U370" i="6" s="1"/>
  <c r="V186" i="6"/>
  <c r="V370" i="6" s="1"/>
  <c r="W186" i="6"/>
  <c r="W370" i="6" s="1"/>
  <c r="Y186" i="6"/>
  <c r="Y370" i="6" s="1"/>
  <c r="Z186" i="6"/>
  <c r="Z370" i="6" s="1"/>
  <c r="AA186" i="6"/>
  <c r="AA370" i="6" s="1"/>
  <c r="A187" i="6"/>
  <c r="A371" i="6" s="1"/>
  <c r="B187" i="6"/>
  <c r="B371" i="6" s="1"/>
  <c r="C187" i="6"/>
  <c r="C371" i="6" s="1"/>
  <c r="D187" i="6"/>
  <c r="D371" i="6" s="1"/>
  <c r="E187" i="6"/>
  <c r="E371" i="6" s="1"/>
  <c r="F187" i="6"/>
  <c r="F371" i="6" s="1"/>
  <c r="G187" i="6"/>
  <c r="G371" i="6" s="1"/>
  <c r="H187" i="6"/>
  <c r="H371" i="6" s="1"/>
  <c r="I187" i="6"/>
  <c r="I371" i="6" s="1"/>
  <c r="J187" i="6"/>
  <c r="J371" i="6" s="1"/>
  <c r="K187" i="6"/>
  <c r="K371" i="6" s="1"/>
  <c r="L187" i="6"/>
  <c r="L371" i="6" s="1"/>
  <c r="M187" i="6"/>
  <c r="M371" i="6" s="1"/>
  <c r="N187" i="6"/>
  <c r="N371" i="6" s="1"/>
  <c r="O187" i="6"/>
  <c r="O371" i="6" s="1"/>
  <c r="P187" i="6"/>
  <c r="P371" i="6" s="1"/>
  <c r="Q187" i="6"/>
  <c r="Q371" i="6" s="1"/>
  <c r="R187" i="6"/>
  <c r="R371" i="6" s="1"/>
  <c r="S187" i="6"/>
  <c r="S371" i="6" s="1"/>
  <c r="T187" i="6"/>
  <c r="T371" i="6" s="1"/>
  <c r="U187" i="6"/>
  <c r="U371" i="6" s="1"/>
  <c r="V187" i="6"/>
  <c r="V371" i="6" s="1"/>
  <c r="W187" i="6"/>
  <c r="W371" i="6" s="1"/>
  <c r="X187" i="6"/>
  <c r="X371" i="6" s="1"/>
  <c r="AA187" i="6"/>
  <c r="AA371" i="6" s="1"/>
  <c r="A188" i="6"/>
  <c r="A372" i="6" s="1"/>
  <c r="B188" i="6"/>
  <c r="B372" i="6" s="1"/>
  <c r="C188" i="6"/>
  <c r="C372" i="6" s="1"/>
  <c r="D188" i="6"/>
  <c r="D372" i="6" s="1"/>
  <c r="E188" i="6"/>
  <c r="E372" i="6" s="1"/>
  <c r="F188" i="6"/>
  <c r="F372" i="6" s="1"/>
  <c r="G188" i="6"/>
  <c r="G372" i="6" s="1"/>
  <c r="H188" i="6"/>
  <c r="H372" i="6" s="1"/>
  <c r="I188" i="6"/>
  <c r="I372" i="6" s="1"/>
  <c r="J188" i="6"/>
  <c r="J372" i="6" s="1"/>
  <c r="K188" i="6"/>
  <c r="K372" i="6" s="1"/>
  <c r="L188" i="6"/>
  <c r="L372" i="6" s="1"/>
  <c r="M188" i="6"/>
  <c r="M372" i="6" s="1"/>
  <c r="N188" i="6"/>
  <c r="N372" i="6" s="1"/>
  <c r="O188" i="6"/>
  <c r="O372" i="6" s="1"/>
  <c r="P188" i="6"/>
  <c r="P372" i="6" s="1"/>
  <c r="Q188" i="6"/>
  <c r="Q372" i="6" s="1"/>
  <c r="R188" i="6"/>
  <c r="R372" i="6" s="1"/>
  <c r="S188" i="6"/>
  <c r="S372" i="6" s="1"/>
  <c r="T188" i="6"/>
  <c r="T372" i="6" s="1"/>
  <c r="U188" i="6"/>
  <c r="U372" i="6" s="1"/>
  <c r="V188" i="6"/>
  <c r="V372" i="6" s="1"/>
  <c r="W188" i="6"/>
  <c r="W372" i="6" s="1"/>
  <c r="X188" i="6"/>
  <c r="X372" i="6" s="1"/>
  <c r="Y188" i="6"/>
  <c r="Y372" i="6" s="1"/>
  <c r="Z188" i="6"/>
  <c r="Z372" i="6" s="1"/>
  <c r="AA188" i="6"/>
  <c r="AA372" i="6" s="1"/>
  <c r="A189" i="6"/>
  <c r="A373" i="6" s="1"/>
  <c r="B189" i="6"/>
  <c r="B373" i="6" s="1"/>
  <c r="C189" i="6"/>
  <c r="C373" i="6" s="1"/>
  <c r="D189" i="6"/>
  <c r="D373" i="6" s="1"/>
  <c r="E189" i="6"/>
  <c r="E373" i="6" s="1"/>
  <c r="F189" i="6"/>
  <c r="F373" i="6" s="1"/>
  <c r="G189" i="6"/>
  <c r="G373" i="6" s="1"/>
  <c r="H189" i="6"/>
  <c r="H373" i="6" s="1"/>
  <c r="I189" i="6"/>
  <c r="I373" i="6" s="1"/>
  <c r="J189" i="6"/>
  <c r="J373" i="6" s="1"/>
  <c r="K189" i="6"/>
  <c r="K373" i="6" s="1"/>
  <c r="L189" i="6"/>
  <c r="L373" i="6" s="1"/>
  <c r="M189" i="6"/>
  <c r="M373" i="6" s="1"/>
  <c r="N189" i="6"/>
  <c r="N373" i="6" s="1"/>
  <c r="O189" i="6"/>
  <c r="O373" i="6" s="1"/>
  <c r="P189" i="6"/>
  <c r="P373" i="6" s="1"/>
  <c r="Q189" i="6"/>
  <c r="Q373" i="6" s="1"/>
  <c r="R189" i="6"/>
  <c r="R373" i="6" s="1"/>
  <c r="S189" i="6"/>
  <c r="S373" i="6" s="1"/>
  <c r="T189" i="6"/>
  <c r="T373" i="6" s="1"/>
  <c r="W189" i="6"/>
  <c r="W373" i="6" s="1"/>
  <c r="AA189" i="6"/>
  <c r="AA373" i="6" s="1"/>
  <c r="A190" i="6"/>
  <c r="A374" i="6" s="1"/>
  <c r="B190" i="6"/>
  <c r="B374" i="6" s="1"/>
  <c r="C190" i="6"/>
  <c r="C374" i="6" s="1"/>
  <c r="D190" i="6"/>
  <c r="D374" i="6" s="1"/>
  <c r="E190" i="6"/>
  <c r="E374" i="6" s="1"/>
  <c r="F190" i="6"/>
  <c r="F374" i="6" s="1"/>
  <c r="G190" i="6"/>
  <c r="G374" i="6" s="1"/>
  <c r="H190" i="6"/>
  <c r="H374" i="6" s="1"/>
  <c r="I190" i="6"/>
  <c r="I374" i="6" s="1"/>
  <c r="J190" i="6"/>
  <c r="J374" i="6" s="1"/>
  <c r="K190" i="6"/>
  <c r="K374" i="6" s="1"/>
  <c r="L190" i="6"/>
  <c r="L374" i="6" s="1"/>
  <c r="M190" i="6"/>
  <c r="M374" i="6" s="1"/>
  <c r="N190" i="6"/>
  <c r="N374" i="6" s="1"/>
  <c r="O190" i="6"/>
  <c r="O374" i="6" s="1"/>
  <c r="P190" i="6"/>
  <c r="P374" i="6" s="1"/>
  <c r="Q190" i="6"/>
  <c r="Q374" i="6" s="1"/>
  <c r="T190" i="6"/>
  <c r="T374" i="6" s="1"/>
  <c r="U190" i="6"/>
  <c r="U374" i="6" s="1"/>
  <c r="V190" i="6"/>
  <c r="V374" i="6" s="1"/>
  <c r="W190" i="6"/>
  <c r="W374" i="6" s="1"/>
  <c r="AA190" i="6"/>
  <c r="AA374" i="6" s="1"/>
  <c r="A191" i="6"/>
  <c r="A375" i="6" s="1"/>
  <c r="B191" i="6"/>
  <c r="B375" i="6" s="1"/>
  <c r="C191" i="6"/>
  <c r="C375" i="6" s="1"/>
  <c r="D191" i="6"/>
  <c r="D375" i="6" s="1"/>
  <c r="E191" i="6"/>
  <c r="E375" i="6" s="1"/>
  <c r="F191" i="6"/>
  <c r="F375" i="6" s="1"/>
  <c r="G191" i="6"/>
  <c r="G375" i="6" s="1"/>
  <c r="H191" i="6"/>
  <c r="H375" i="6" s="1"/>
  <c r="I191" i="6"/>
  <c r="I375" i="6" s="1"/>
  <c r="J191" i="6"/>
  <c r="J375" i="6" s="1"/>
  <c r="K191" i="6"/>
  <c r="K375" i="6" s="1"/>
  <c r="L191" i="6"/>
  <c r="L375" i="6" s="1"/>
  <c r="M191" i="6"/>
  <c r="M375" i="6" s="1"/>
  <c r="N191" i="6"/>
  <c r="N375" i="6" s="1"/>
  <c r="O191" i="6"/>
  <c r="O375" i="6" s="1"/>
  <c r="P191" i="6"/>
  <c r="P375" i="6" s="1"/>
  <c r="Q191" i="6"/>
  <c r="Q375" i="6" s="1"/>
  <c r="T191" i="6"/>
  <c r="T375" i="6" s="1"/>
  <c r="U191" i="6"/>
  <c r="U375" i="6" s="1"/>
  <c r="V191" i="6"/>
  <c r="V375" i="6" s="1"/>
  <c r="W191" i="6"/>
  <c r="W375" i="6" s="1"/>
  <c r="X191" i="6"/>
  <c r="X375" i="6" s="1"/>
  <c r="Y191" i="6"/>
  <c r="Y375" i="6" s="1"/>
  <c r="Z191" i="6"/>
  <c r="Z375" i="6" s="1"/>
  <c r="AA191" i="6"/>
  <c r="AA375" i="6" s="1"/>
  <c r="A192" i="6"/>
  <c r="A376" i="6" s="1"/>
  <c r="B192" i="6"/>
  <c r="B376" i="6" s="1"/>
  <c r="C192" i="6"/>
  <c r="C376" i="6" s="1"/>
  <c r="D192" i="6"/>
  <c r="D376" i="6" s="1"/>
  <c r="E192" i="6"/>
  <c r="E376" i="6" s="1"/>
  <c r="F192" i="6"/>
  <c r="F376" i="6" s="1"/>
  <c r="G192" i="6"/>
  <c r="T192" i="6"/>
  <c r="T376" i="6" s="1"/>
  <c r="U192" i="6"/>
  <c r="U376" i="6" s="1"/>
  <c r="W192" i="6"/>
  <c r="W376" i="6" s="1"/>
  <c r="AA192" i="6"/>
  <c r="AA376" i="6" s="1"/>
  <c r="A193" i="6"/>
  <c r="A377" i="6" s="1"/>
  <c r="B193" i="6"/>
  <c r="B377" i="6" s="1"/>
  <c r="C193" i="6"/>
  <c r="C377" i="6" s="1"/>
  <c r="D193" i="6"/>
  <c r="D377" i="6" s="1"/>
  <c r="E193" i="6"/>
  <c r="E377" i="6" s="1"/>
  <c r="F193" i="6"/>
  <c r="F377" i="6" s="1"/>
  <c r="G193" i="6"/>
  <c r="G377" i="6" s="1"/>
  <c r="H193" i="6"/>
  <c r="H377" i="6" s="1"/>
  <c r="I193" i="6"/>
  <c r="I377" i="6" s="1"/>
  <c r="J193" i="6"/>
  <c r="J377" i="6" s="1"/>
  <c r="K193" i="6"/>
  <c r="K377" i="6" s="1"/>
  <c r="L193" i="6"/>
  <c r="L377" i="6" s="1"/>
  <c r="M193" i="6"/>
  <c r="M377" i="6" s="1"/>
  <c r="N193" i="6"/>
  <c r="N377" i="6" s="1"/>
  <c r="O193" i="6"/>
  <c r="O377" i="6" s="1"/>
  <c r="P193" i="6"/>
  <c r="P377" i="6" s="1"/>
  <c r="Q193" i="6"/>
  <c r="Q377" i="6" s="1"/>
  <c r="R193" i="6"/>
  <c r="R377" i="6" s="1"/>
  <c r="T193" i="6"/>
  <c r="T377" i="6" s="1"/>
  <c r="U193" i="6"/>
  <c r="U377" i="6" s="1"/>
  <c r="V193" i="6"/>
  <c r="V377" i="6" s="1"/>
  <c r="W193" i="6"/>
  <c r="W377" i="6" s="1"/>
  <c r="AA193" i="6"/>
  <c r="AA377" i="6" s="1"/>
  <c r="A194" i="6"/>
  <c r="A378" i="6" s="1"/>
  <c r="B194" i="6"/>
  <c r="B378" i="6" s="1"/>
  <c r="C194" i="6"/>
  <c r="C378" i="6" s="1"/>
  <c r="D194" i="6"/>
  <c r="D378" i="6" s="1"/>
  <c r="E194" i="6"/>
  <c r="E378" i="6" s="1"/>
  <c r="F194" i="6"/>
  <c r="F378" i="6" s="1"/>
  <c r="G194" i="6"/>
  <c r="G378" i="6" s="1"/>
  <c r="H194" i="6"/>
  <c r="H378" i="6" s="1"/>
  <c r="I194" i="6"/>
  <c r="I378" i="6" s="1"/>
  <c r="J194" i="6"/>
  <c r="J378" i="6" s="1"/>
  <c r="K194" i="6"/>
  <c r="K378" i="6" s="1"/>
  <c r="L194" i="6"/>
  <c r="L378" i="6" s="1"/>
  <c r="M194" i="6"/>
  <c r="M378" i="6" s="1"/>
  <c r="N194" i="6"/>
  <c r="N378" i="6" s="1"/>
  <c r="O194" i="6"/>
  <c r="O378" i="6" s="1"/>
  <c r="P194" i="6"/>
  <c r="P378" i="6" s="1"/>
  <c r="Q194" i="6"/>
  <c r="Q378" i="6" s="1"/>
  <c r="R194" i="6"/>
  <c r="R378" i="6" s="1"/>
  <c r="T194" i="6"/>
  <c r="T378" i="6" s="1"/>
  <c r="U194" i="6"/>
  <c r="U378" i="6" s="1"/>
  <c r="V194" i="6"/>
  <c r="V378" i="6" s="1"/>
  <c r="W194" i="6"/>
  <c r="W378" i="6" s="1"/>
  <c r="X194" i="6"/>
  <c r="X378" i="6" s="1"/>
  <c r="Y194" i="6"/>
  <c r="Y378" i="6" s="1"/>
  <c r="Z194" i="6"/>
  <c r="Z378" i="6" s="1"/>
  <c r="AA194" i="6"/>
  <c r="AA378" i="6" s="1"/>
  <c r="A195" i="6"/>
  <c r="A379" i="6" s="1"/>
  <c r="B195" i="6"/>
  <c r="B379" i="6" s="1"/>
  <c r="C195" i="6"/>
  <c r="C379" i="6" s="1"/>
  <c r="D195" i="6"/>
  <c r="D379" i="6" s="1"/>
  <c r="E195" i="6"/>
  <c r="E379" i="6" s="1"/>
  <c r="F195" i="6"/>
  <c r="F379" i="6" s="1"/>
  <c r="G195" i="6"/>
  <c r="G379" i="6" s="1"/>
  <c r="H195" i="6"/>
  <c r="H379" i="6" s="1"/>
  <c r="I195" i="6"/>
  <c r="I379" i="6" s="1"/>
  <c r="J195" i="6"/>
  <c r="J379" i="6" s="1"/>
  <c r="K195" i="6"/>
  <c r="K379" i="6" s="1"/>
  <c r="L195" i="6"/>
  <c r="L379" i="6" s="1"/>
  <c r="M195" i="6"/>
  <c r="M379" i="6" s="1"/>
  <c r="N195" i="6"/>
  <c r="N379" i="6" s="1"/>
  <c r="O195" i="6"/>
  <c r="O379" i="6" s="1"/>
  <c r="P195" i="6"/>
  <c r="P379" i="6" s="1"/>
  <c r="Q195" i="6"/>
  <c r="Q379" i="6" s="1"/>
  <c r="R195" i="6"/>
  <c r="R379" i="6" s="1"/>
  <c r="T195" i="6"/>
  <c r="T379" i="6" s="1"/>
  <c r="W195" i="6"/>
  <c r="W379" i="6" s="1"/>
  <c r="AA195" i="6"/>
  <c r="AA379" i="6" s="1"/>
  <c r="A196" i="6"/>
  <c r="A380" i="6" s="1"/>
  <c r="B196" i="6"/>
  <c r="B380" i="6" s="1"/>
  <c r="C196" i="6"/>
  <c r="C380" i="6" s="1"/>
  <c r="D196" i="6"/>
  <c r="D380" i="6" s="1"/>
  <c r="E196" i="6"/>
  <c r="E380" i="6" s="1"/>
  <c r="F196" i="6"/>
  <c r="F380" i="6" s="1"/>
  <c r="G196" i="6"/>
  <c r="G380" i="6" s="1"/>
  <c r="H196" i="6"/>
  <c r="H380" i="6" s="1"/>
  <c r="I196" i="6"/>
  <c r="I380" i="6" s="1"/>
  <c r="J196" i="6"/>
  <c r="J380" i="6" s="1"/>
  <c r="K196" i="6"/>
  <c r="K380" i="6" s="1"/>
  <c r="O196" i="6"/>
  <c r="O380" i="6" s="1"/>
  <c r="P196" i="6"/>
  <c r="P380" i="6" s="1"/>
  <c r="Q196" i="6"/>
  <c r="Q380" i="6" s="1"/>
  <c r="R196" i="6"/>
  <c r="R380" i="6" s="1"/>
  <c r="S196" i="6"/>
  <c r="S380" i="6" s="1"/>
  <c r="T196" i="6"/>
  <c r="T380" i="6" s="1"/>
  <c r="U196" i="6"/>
  <c r="U380" i="6" s="1"/>
  <c r="V196" i="6"/>
  <c r="V380" i="6" s="1"/>
  <c r="W196" i="6"/>
  <c r="W380" i="6" s="1"/>
  <c r="AA196" i="6"/>
  <c r="AA380" i="6" s="1"/>
  <c r="A197" i="6"/>
  <c r="A381" i="6" s="1"/>
  <c r="B197" i="6"/>
  <c r="B381" i="6" s="1"/>
  <c r="C197" i="6"/>
  <c r="C381" i="6" s="1"/>
  <c r="D197" i="6"/>
  <c r="D381" i="6" s="1"/>
  <c r="E197" i="6"/>
  <c r="E381" i="6" s="1"/>
  <c r="F197" i="6"/>
  <c r="F381" i="6" s="1"/>
  <c r="G197" i="6"/>
  <c r="G381" i="6" s="1"/>
  <c r="H197" i="6"/>
  <c r="H381" i="6" s="1"/>
  <c r="I197" i="6"/>
  <c r="I381" i="6" s="1"/>
  <c r="J197" i="6"/>
  <c r="J381" i="6" s="1"/>
  <c r="K197" i="6"/>
  <c r="K381" i="6" s="1"/>
  <c r="O197" i="6"/>
  <c r="O381" i="6" s="1"/>
  <c r="P197" i="6"/>
  <c r="P381" i="6" s="1"/>
  <c r="Q197" i="6"/>
  <c r="Q381" i="6" s="1"/>
  <c r="R197" i="6"/>
  <c r="R381" i="6" s="1"/>
  <c r="S197" i="6"/>
  <c r="S381" i="6" s="1"/>
  <c r="T197" i="6"/>
  <c r="T381" i="6" s="1"/>
  <c r="U197" i="6"/>
  <c r="U381" i="6" s="1"/>
  <c r="V197" i="6"/>
  <c r="V381" i="6" s="1"/>
  <c r="W197" i="6"/>
  <c r="W381" i="6" s="1"/>
  <c r="X197" i="6"/>
  <c r="X381" i="6" s="1"/>
  <c r="Y197" i="6"/>
  <c r="Y381" i="6" s="1"/>
  <c r="Z197" i="6"/>
  <c r="Z381" i="6" s="1"/>
  <c r="AA197" i="6"/>
  <c r="AA381" i="6" s="1"/>
  <c r="A198" i="6"/>
  <c r="A382" i="6" s="1"/>
  <c r="B198" i="6"/>
  <c r="B382" i="6" s="1"/>
  <c r="C198" i="6"/>
  <c r="C382" i="6" s="1"/>
  <c r="D198" i="6"/>
  <c r="D382" i="6" s="1"/>
  <c r="E198" i="6"/>
  <c r="E382" i="6" s="1"/>
  <c r="F198" i="6"/>
  <c r="F382" i="6" s="1"/>
  <c r="G198" i="6"/>
  <c r="G382" i="6" s="1"/>
  <c r="H198" i="6"/>
  <c r="H382" i="6" s="1"/>
  <c r="I198" i="6"/>
  <c r="I382" i="6" s="1"/>
  <c r="J198" i="6"/>
  <c r="J382" i="6" s="1"/>
  <c r="K198" i="6"/>
  <c r="K382" i="6" s="1"/>
  <c r="M198" i="6"/>
  <c r="M382" i="6" s="1"/>
  <c r="O198" i="6"/>
  <c r="O382" i="6" s="1"/>
  <c r="P198" i="6"/>
  <c r="P382" i="6" s="1"/>
  <c r="Q198" i="6"/>
  <c r="Q382" i="6" s="1"/>
  <c r="R198" i="6"/>
  <c r="R382" i="6" s="1"/>
  <c r="S198" i="6"/>
  <c r="S382" i="6" s="1"/>
  <c r="T198" i="6"/>
  <c r="T382" i="6" s="1"/>
  <c r="U198" i="6"/>
  <c r="U382" i="6" s="1"/>
  <c r="V198" i="6"/>
  <c r="V382" i="6" s="1"/>
  <c r="W198" i="6"/>
  <c r="W382" i="6" s="1"/>
  <c r="Z198" i="6"/>
  <c r="Z382" i="6" s="1"/>
  <c r="AA198" i="6"/>
  <c r="AA382" i="6" s="1"/>
  <c r="A199" i="6"/>
  <c r="A383" i="6" s="1"/>
  <c r="B199" i="6"/>
  <c r="B383" i="6" s="1"/>
  <c r="C199" i="6"/>
  <c r="C383" i="6" s="1"/>
  <c r="D199" i="6"/>
  <c r="D383" i="6" s="1"/>
  <c r="E199" i="6"/>
  <c r="E383" i="6" s="1"/>
  <c r="F199" i="6"/>
  <c r="F383" i="6" s="1"/>
  <c r="G199" i="6"/>
  <c r="G383" i="6" s="1"/>
  <c r="H199" i="6"/>
  <c r="H383" i="6" s="1"/>
  <c r="I199" i="6"/>
  <c r="I383" i="6" s="1"/>
  <c r="J199" i="6"/>
  <c r="J383" i="6" s="1"/>
  <c r="K199" i="6"/>
  <c r="K383" i="6" s="1"/>
  <c r="L199" i="6"/>
  <c r="L383" i="6" s="1"/>
  <c r="M199" i="6"/>
  <c r="M383" i="6" s="1"/>
  <c r="O199" i="6"/>
  <c r="O383" i="6" s="1"/>
  <c r="P199" i="6"/>
  <c r="P383" i="6" s="1"/>
  <c r="Q199" i="6"/>
  <c r="Q383" i="6" s="1"/>
  <c r="W199" i="6"/>
  <c r="W383" i="6" s="1"/>
  <c r="X199" i="6"/>
  <c r="Y199" i="6"/>
  <c r="Z199" i="6"/>
  <c r="Z383" i="6" s="1"/>
  <c r="AA199" i="6"/>
  <c r="AA383" i="6" s="1"/>
  <c r="A200" i="6"/>
  <c r="A384" i="6" s="1"/>
  <c r="B200" i="6"/>
  <c r="B384" i="6" s="1"/>
  <c r="C200" i="6"/>
  <c r="C384" i="6" s="1"/>
  <c r="D200" i="6"/>
  <c r="D384" i="6" s="1"/>
  <c r="E200" i="6"/>
  <c r="E384" i="6" s="1"/>
  <c r="F200" i="6"/>
  <c r="F384" i="6" s="1"/>
  <c r="G200" i="6"/>
  <c r="G384" i="6" s="1"/>
  <c r="H200" i="6"/>
  <c r="H384" i="6" s="1"/>
  <c r="I200" i="6"/>
  <c r="I384" i="6" s="1"/>
  <c r="J200" i="6"/>
  <c r="J384" i="6" s="1"/>
  <c r="K200" i="6"/>
  <c r="K384" i="6" s="1"/>
  <c r="L200" i="6"/>
  <c r="L384" i="6" s="1"/>
  <c r="M200" i="6"/>
  <c r="N200" i="6"/>
  <c r="O200" i="6"/>
  <c r="O384" i="6" s="1"/>
  <c r="P200" i="6"/>
  <c r="P384" i="6" s="1"/>
  <c r="Q200" i="6"/>
  <c r="Q384" i="6" s="1"/>
  <c r="R200" i="6"/>
  <c r="R384" i="6" s="1"/>
  <c r="S200" i="6"/>
  <c r="S384" i="6" s="1"/>
  <c r="T200" i="6"/>
  <c r="T384" i="6" s="1"/>
  <c r="V200" i="6"/>
  <c r="V384" i="6" s="1"/>
  <c r="Z200" i="6"/>
  <c r="Z384" i="6" s="1"/>
  <c r="AA200" i="6"/>
  <c r="AA384" i="6" s="1"/>
  <c r="A201" i="6"/>
  <c r="A385" i="6" s="1"/>
  <c r="B201" i="6"/>
  <c r="B385" i="6" s="1"/>
  <c r="C201" i="6"/>
  <c r="C385" i="6" s="1"/>
  <c r="D201" i="6"/>
  <c r="D385" i="6" s="1"/>
  <c r="E201" i="6"/>
  <c r="E385" i="6" s="1"/>
  <c r="F201" i="6"/>
  <c r="F385" i="6" s="1"/>
  <c r="G201" i="6"/>
  <c r="G385" i="6" s="1"/>
  <c r="H201" i="6"/>
  <c r="H385" i="6" s="1"/>
  <c r="I201" i="6"/>
  <c r="I385" i="6" s="1"/>
  <c r="J201" i="6"/>
  <c r="J385" i="6" s="1"/>
  <c r="K201" i="6"/>
  <c r="K385" i="6" s="1"/>
  <c r="L201" i="6"/>
  <c r="L385" i="6" s="1"/>
  <c r="M201" i="6"/>
  <c r="N201" i="6"/>
  <c r="O201" i="6"/>
  <c r="O385" i="6" s="1"/>
  <c r="P201" i="6"/>
  <c r="P385" i="6" s="1"/>
  <c r="Q201" i="6"/>
  <c r="Q385" i="6" s="1"/>
  <c r="R385" i="6"/>
  <c r="T201" i="6"/>
  <c r="T385" i="6" s="1"/>
  <c r="U201" i="6"/>
  <c r="U385" i="6" s="1"/>
  <c r="V201" i="6"/>
  <c r="V385" i="6" s="1"/>
  <c r="Z201" i="6"/>
  <c r="Z385" i="6" s="1"/>
  <c r="AA201" i="6"/>
  <c r="AA385" i="6" s="1"/>
  <c r="A202" i="6"/>
  <c r="A386" i="6" s="1"/>
  <c r="B202" i="6"/>
  <c r="B386" i="6" s="1"/>
  <c r="C202" i="6"/>
  <c r="C386" i="6" s="1"/>
  <c r="D202" i="6"/>
  <c r="D386" i="6" s="1"/>
  <c r="E202" i="6"/>
  <c r="E386" i="6" s="1"/>
  <c r="F202" i="6"/>
  <c r="F386" i="6" s="1"/>
  <c r="G202" i="6"/>
  <c r="G386" i="6" s="1"/>
  <c r="H202" i="6"/>
  <c r="H386" i="6" s="1"/>
  <c r="I202" i="6"/>
  <c r="I386" i="6" s="1"/>
  <c r="J202" i="6"/>
  <c r="J386" i="6" s="1"/>
  <c r="K202" i="6"/>
  <c r="K386" i="6" s="1"/>
  <c r="L202" i="6"/>
  <c r="L386" i="6" s="1"/>
  <c r="M202" i="6"/>
  <c r="M386" i="6" s="1"/>
  <c r="N202" i="6"/>
  <c r="N386" i="6" s="1"/>
  <c r="O202" i="6"/>
  <c r="O386" i="6" s="1"/>
  <c r="P202" i="6"/>
  <c r="P386" i="6" s="1"/>
  <c r="Q202" i="6"/>
  <c r="Q386" i="6" s="1"/>
  <c r="R386" i="6"/>
  <c r="T202" i="6"/>
  <c r="T386" i="6" s="1"/>
  <c r="U202" i="6"/>
  <c r="U386" i="6" s="1"/>
  <c r="V202" i="6"/>
  <c r="V386" i="6" s="1"/>
  <c r="W202" i="6"/>
  <c r="W386" i="6" s="1"/>
  <c r="X202" i="6"/>
  <c r="X386" i="6" s="1"/>
  <c r="Y202" i="6"/>
  <c r="Y386" i="6" s="1"/>
  <c r="Z202" i="6"/>
  <c r="Z386" i="6" s="1"/>
  <c r="AA202" i="6"/>
  <c r="AA386" i="6" s="1"/>
  <c r="A203" i="6"/>
  <c r="A387" i="6" s="1"/>
  <c r="B203" i="6"/>
  <c r="B387" i="6" s="1"/>
  <c r="C203" i="6"/>
  <c r="C387" i="6" s="1"/>
  <c r="D203" i="6"/>
  <c r="D387" i="6" s="1"/>
  <c r="E203" i="6"/>
  <c r="E387" i="6" s="1"/>
  <c r="F203" i="6"/>
  <c r="F387" i="6" s="1"/>
  <c r="G203" i="6"/>
  <c r="G387" i="6" s="1"/>
  <c r="H203" i="6"/>
  <c r="H387" i="6" s="1"/>
  <c r="I203" i="6"/>
  <c r="I387" i="6" s="1"/>
  <c r="J203" i="6"/>
  <c r="J387" i="6" s="1"/>
  <c r="K203" i="6"/>
  <c r="K387" i="6" s="1"/>
  <c r="L203" i="6"/>
  <c r="L387" i="6" s="1"/>
  <c r="M203" i="6"/>
  <c r="M387" i="6" s="1"/>
  <c r="N203" i="6"/>
  <c r="N387" i="6" s="1"/>
  <c r="O203" i="6"/>
  <c r="O387" i="6" s="1"/>
  <c r="P203" i="6"/>
  <c r="P387" i="6" s="1"/>
  <c r="Q203" i="6"/>
  <c r="Q387" i="6" s="1"/>
  <c r="R203" i="6"/>
  <c r="R387" i="6" s="1"/>
  <c r="T203" i="6"/>
  <c r="T387" i="6" s="1"/>
  <c r="U203" i="6"/>
  <c r="U387" i="6" s="1"/>
  <c r="V203" i="6"/>
  <c r="V387" i="6" s="1"/>
  <c r="Z203" i="6"/>
  <c r="Z387" i="6" s="1"/>
  <c r="AA203" i="6"/>
  <c r="AA387" i="6" s="1"/>
  <c r="A204" i="6"/>
  <c r="A388" i="6" s="1"/>
  <c r="B204" i="6"/>
  <c r="B388" i="6" s="1"/>
  <c r="C204" i="6"/>
  <c r="C388" i="6" s="1"/>
  <c r="D204" i="6"/>
  <c r="D388" i="6" s="1"/>
  <c r="E204" i="6"/>
  <c r="E388" i="6" s="1"/>
  <c r="F204" i="6"/>
  <c r="F388" i="6" s="1"/>
  <c r="G204" i="6"/>
  <c r="G388" i="6" s="1"/>
  <c r="H204" i="6"/>
  <c r="H388" i="6" s="1"/>
  <c r="I204" i="6"/>
  <c r="I388" i="6" s="1"/>
  <c r="J204" i="6"/>
  <c r="M204" i="6"/>
  <c r="M388" i="6" s="1"/>
  <c r="R204" i="6"/>
  <c r="R388" i="6" s="1"/>
  <c r="T204" i="6"/>
  <c r="T388" i="6" s="1"/>
  <c r="U204" i="6"/>
  <c r="U388" i="6" s="1"/>
  <c r="V204" i="6"/>
  <c r="V388" i="6" s="1"/>
  <c r="Z204" i="6"/>
  <c r="Z388" i="6" s="1"/>
  <c r="AA204" i="6"/>
  <c r="AA388" i="6" s="1"/>
  <c r="A205" i="6"/>
  <c r="A389" i="6" s="1"/>
  <c r="B205" i="6"/>
  <c r="B389" i="6" s="1"/>
  <c r="C205" i="6"/>
  <c r="C389" i="6" s="1"/>
  <c r="D205" i="6"/>
  <c r="D389" i="6" s="1"/>
  <c r="E205" i="6"/>
  <c r="E389" i="6" s="1"/>
  <c r="F205" i="6"/>
  <c r="F389" i="6" s="1"/>
  <c r="G205" i="6"/>
  <c r="G389" i="6" s="1"/>
  <c r="H205" i="6"/>
  <c r="H389" i="6" s="1"/>
  <c r="I205" i="6"/>
  <c r="I389" i="6" s="1"/>
  <c r="J205" i="6"/>
  <c r="M205" i="6"/>
  <c r="M389" i="6" s="1"/>
  <c r="N205" i="6"/>
  <c r="N389" i="6" s="1"/>
  <c r="R205" i="6"/>
  <c r="R389" i="6" s="1"/>
  <c r="S205" i="6"/>
  <c r="S389" i="6" s="1"/>
  <c r="T205" i="6"/>
  <c r="T389" i="6" s="1"/>
  <c r="U205" i="6"/>
  <c r="U389" i="6" s="1"/>
  <c r="V205" i="6"/>
  <c r="V389" i="6" s="1"/>
  <c r="W205" i="6"/>
  <c r="W389" i="6" s="1"/>
  <c r="X205" i="6"/>
  <c r="X389" i="6" s="1"/>
  <c r="Y205" i="6"/>
  <c r="Y389" i="6" s="1"/>
  <c r="Z205" i="6"/>
  <c r="Z389" i="6" s="1"/>
  <c r="AA205" i="6"/>
  <c r="AA389" i="6" s="1"/>
  <c r="A206" i="6"/>
  <c r="A390" i="6" s="1"/>
  <c r="B206" i="6"/>
  <c r="B390" i="6" s="1"/>
  <c r="C206" i="6"/>
  <c r="C390" i="6" s="1"/>
  <c r="D206" i="6"/>
  <c r="D390" i="6" s="1"/>
  <c r="E206" i="6"/>
  <c r="E390" i="6" s="1"/>
  <c r="F206" i="6"/>
  <c r="F390" i="6" s="1"/>
  <c r="G206" i="6"/>
  <c r="G390" i="6" s="1"/>
  <c r="H206" i="6"/>
  <c r="H390" i="6" s="1"/>
  <c r="K206" i="6"/>
  <c r="K390" i="6" s="1"/>
  <c r="M206" i="6"/>
  <c r="M390" i="6" s="1"/>
  <c r="N206" i="6"/>
  <c r="N390" i="6" s="1"/>
  <c r="O206" i="6"/>
  <c r="O390" i="6" s="1"/>
  <c r="P206" i="6"/>
  <c r="P390" i="6" s="1"/>
  <c r="Q206" i="6"/>
  <c r="Q390" i="6" s="1"/>
  <c r="T206" i="6"/>
  <c r="T390" i="6" s="1"/>
  <c r="V206" i="6"/>
  <c r="V390" i="6" s="1"/>
  <c r="Z206" i="6"/>
  <c r="Z390" i="6" s="1"/>
  <c r="AA206" i="6"/>
  <c r="AA390" i="6" s="1"/>
  <c r="A207" i="6"/>
  <c r="A391" i="6" s="1"/>
  <c r="B207" i="6"/>
  <c r="B391" i="6" s="1"/>
  <c r="C207" i="6"/>
  <c r="C391" i="6" s="1"/>
  <c r="D207" i="6"/>
  <c r="D391" i="6" s="1"/>
  <c r="E207" i="6"/>
  <c r="E391" i="6" s="1"/>
  <c r="F207" i="6"/>
  <c r="F391" i="6" s="1"/>
  <c r="G207" i="6"/>
  <c r="G391" i="6" s="1"/>
  <c r="H207" i="6"/>
  <c r="H391" i="6" s="1"/>
  <c r="I207" i="6"/>
  <c r="I391" i="6" s="1"/>
  <c r="J207" i="6"/>
  <c r="J391" i="6" s="1"/>
  <c r="K207" i="6"/>
  <c r="K391" i="6" s="1"/>
  <c r="M207" i="6"/>
  <c r="M391" i="6" s="1"/>
  <c r="N207" i="6"/>
  <c r="N391" i="6" s="1"/>
  <c r="O207" i="6"/>
  <c r="O391" i="6" s="1"/>
  <c r="P207" i="6"/>
  <c r="P391" i="6" s="1"/>
  <c r="Q207" i="6"/>
  <c r="Q391" i="6" s="1"/>
  <c r="T207" i="6"/>
  <c r="T391" i="6" s="1"/>
  <c r="U207" i="6"/>
  <c r="U391" i="6" s="1"/>
  <c r="V207" i="6"/>
  <c r="V391" i="6" s="1"/>
  <c r="Z207" i="6"/>
  <c r="Z391" i="6" s="1"/>
  <c r="AA207" i="6"/>
  <c r="AA391" i="6" s="1"/>
  <c r="A208" i="6"/>
  <c r="A392" i="6" s="1"/>
  <c r="B208" i="6"/>
  <c r="B392" i="6" s="1"/>
  <c r="C208" i="6"/>
  <c r="C392" i="6" s="1"/>
  <c r="D208" i="6"/>
  <c r="D392" i="6" s="1"/>
  <c r="E208" i="6"/>
  <c r="E392" i="6" s="1"/>
  <c r="F208" i="6"/>
  <c r="F392" i="6" s="1"/>
  <c r="G208" i="6"/>
  <c r="G392" i="6" s="1"/>
  <c r="H208" i="6"/>
  <c r="H392" i="6" s="1"/>
  <c r="I208" i="6"/>
  <c r="I392" i="6" s="1"/>
  <c r="J208" i="6"/>
  <c r="J392" i="6" s="1"/>
  <c r="K208" i="6"/>
  <c r="K392" i="6" s="1"/>
  <c r="L208" i="6"/>
  <c r="L392" i="6" s="1"/>
  <c r="M208" i="6"/>
  <c r="M392" i="6" s="1"/>
  <c r="N208" i="6"/>
  <c r="N392" i="6" s="1"/>
  <c r="O208" i="6"/>
  <c r="O392" i="6" s="1"/>
  <c r="P208" i="6"/>
  <c r="P392" i="6" s="1"/>
  <c r="Q208" i="6"/>
  <c r="Q392" i="6" s="1"/>
  <c r="R208" i="6"/>
  <c r="R392" i="6" s="1"/>
  <c r="S208" i="6"/>
  <c r="S392" i="6" s="1"/>
  <c r="T208" i="6"/>
  <c r="T392" i="6" s="1"/>
  <c r="U208" i="6"/>
  <c r="U392" i="6" s="1"/>
  <c r="V208" i="6"/>
  <c r="V392" i="6" s="1"/>
  <c r="W208" i="6"/>
  <c r="W392" i="6" s="1"/>
  <c r="X208" i="6"/>
  <c r="X392" i="6" s="1"/>
  <c r="Y208" i="6"/>
  <c r="Y392" i="6" s="1"/>
  <c r="Z208" i="6"/>
  <c r="Z392" i="6" s="1"/>
  <c r="AA208" i="6"/>
  <c r="AA392" i="6" s="1"/>
  <c r="A209" i="6"/>
  <c r="A393" i="6" s="1"/>
  <c r="B209" i="6"/>
  <c r="B393" i="6" s="1"/>
  <c r="C209" i="6"/>
  <c r="C393" i="6" s="1"/>
  <c r="D209" i="6"/>
  <c r="D393" i="6" s="1"/>
  <c r="E209" i="6"/>
  <c r="E393" i="6" s="1"/>
  <c r="F209" i="6"/>
  <c r="F393" i="6" s="1"/>
  <c r="G209" i="6"/>
  <c r="G393" i="6" s="1"/>
  <c r="H209" i="6"/>
  <c r="H393" i="6" s="1"/>
  <c r="I209" i="6"/>
  <c r="I393" i="6" s="1"/>
  <c r="J209" i="6"/>
  <c r="J393" i="6" s="1"/>
  <c r="K209" i="6"/>
  <c r="K393" i="6" s="1"/>
  <c r="L209" i="6"/>
  <c r="L393" i="6" s="1"/>
  <c r="M209" i="6"/>
  <c r="M393" i="6" s="1"/>
  <c r="N209" i="6"/>
  <c r="N393" i="6" s="1"/>
  <c r="O209" i="6"/>
  <c r="O393" i="6" s="1"/>
  <c r="P209" i="6"/>
  <c r="P393" i="6" s="1"/>
  <c r="Q209" i="6"/>
  <c r="Q393" i="6" s="1"/>
  <c r="R209" i="6"/>
  <c r="R393" i="6" s="1"/>
  <c r="S209" i="6"/>
  <c r="S393" i="6" s="1"/>
  <c r="T209" i="6"/>
  <c r="T393" i="6" s="1"/>
  <c r="U209" i="6"/>
  <c r="U393" i="6" s="1"/>
  <c r="V209" i="6"/>
  <c r="V393" i="6" s="1"/>
  <c r="W209" i="6"/>
  <c r="W393" i="6" s="1"/>
  <c r="X209" i="6"/>
  <c r="X393" i="6" s="1"/>
  <c r="Y209" i="6"/>
  <c r="Y393" i="6" s="1"/>
  <c r="Z209" i="6"/>
  <c r="Z393" i="6" s="1"/>
  <c r="AA209" i="6"/>
  <c r="AA393" i="6" s="1"/>
  <c r="A210" i="6"/>
  <c r="A394" i="6" s="1"/>
  <c r="B210" i="6"/>
  <c r="B394" i="6" s="1"/>
  <c r="C210" i="6"/>
  <c r="C394" i="6" s="1"/>
  <c r="D210" i="6"/>
  <c r="D394" i="6" s="1"/>
  <c r="E210" i="6"/>
  <c r="E394" i="6" s="1"/>
  <c r="F210" i="6"/>
  <c r="F394" i="6" s="1"/>
  <c r="G210" i="6"/>
  <c r="G394" i="6" s="1"/>
  <c r="H210" i="6"/>
  <c r="H394" i="6" s="1"/>
  <c r="I210" i="6"/>
  <c r="I394" i="6" s="1"/>
  <c r="J210" i="6"/>
  <c r="J394" i="6" s="1"/>
  <c r="K210" i="6"/>
  <c r="K394" i="6" s="1"/>
  <c r="L210" i="6"/>
  <c r="L394" i="6" s="1"/>
  <c r="M210" i="6"/>
  <c r="M394" i="6" s="1"/>
  <c r="N210" i="6"/>
  <c r="N394" i="6" s="1"/>
  <c r="O210" i="6"/>
  <c r="O394" i="6" s="1"/>
  <c r="P210" i="6"/>
  <c r="P394" i="6" s="1"/>
  <c r="Q210" i="6"/>
  <c r="Q394" i="6" s="1"/>
  <c r="R210" i="6"/>
  <c r="R394" i="6" s="1"/>
  <c r="S210" i="6"/>
  <c r="S394" i="6" s="1"/>
  <c r="T210" i="6"/>
  <c r="T394" i="6" s="1"/>
  <c r="U210" i="6"/>
  <c r="U394" i="6" s="1"/>
  <c r="V210" i="6"/>
  <c r="V394" i="6" s="1"/>
  <c r="X210" i="6"/>
  <c r="X394" i="6" s="1"/>
  <c r="Y210" i="6"/>
  <c r="Y394" i="6" s="1"/>
  <c r="Z210" i="6"/>
  <c r="Z394" i="6" s="1"/>
  <c r="AA210" i="6"/>
  <c r="AA394" i="6" s="1"/>
  <c r="A211" i="6"/>
  <c r="A395" i="6" s="1"/>
  <c r="B211" i="6"/>
  <c r="B395" i="6" s="1"/>
  <c r="C211" i="6"/>
  <c r="C395" i="6" s="1"/>
  <c r="D211" i="6"/>
  <c r="D395" i="6" s="1"/>
  <c r="E211" i="6"/>
  <c r="E395" i="6" s="1"/>
  <c r="F211" i="6"/>
  <c r="F395" i="6" s="1"/>
  <c r="G211" i="6"/>
  <c r="G395" i="6" s="1"/>
  <c r="H211" i="6"/>
  <c r="H395" i="6" s="1"/>
  <c r="I211" i="6"/>
  <c r="I395" i="6" s="1"/>
  <c r="J211" i="6"/>
  <c r="J395" i="6" s="1"/>
  <c r="K211" i="6"/>
  <c r="K395" i="6" s="1"/>
  <c r="L211" i="6"/>
  <c r="L395" i="6" s="1"/>
  <c r="M211" i="6"/>
  <c r="M395" i="6" s="1"/>
  <c r="N211" i="6"/>
  <c r="N395" i="6" s="1"/>
  <c r="O211" i="6"/>
  <c r="O395" i="6" s="1"/>
  <c r="P211" i="6"/>
  <c r="P395" i="6" s="1"/>
  <c r="Q211" i="6"/>
  <c r="Q395" i="6" s="1"/>
  <c r="R211" i="6"/>
  <c r="R395" i="6" s="1"/>
  <c r="S211" i="6"/>
  <c r="S395" i="6" s="1"/>
  <c r="T211" i="6"/>
  <c r="T395" i="6" s="1"/>
  <c r="U211" i="6"/>
  <c r="U395" i="6" s="1"/>
  <c r="V211" i="6"/>
  <c r="V395" i="6" s="1"/>
  <c r="X211" i="6"/>
  <c r="X395" i="6" s="1"/>
  <c r="Y211" i="6"/>
  <c r="Y395" i="6" s="1"/>
  <c r="Z211" i="6"/>
  <c r="Z395" i="6" s="1"/>
  <c r="AA211" i="6"/>
  <c r="AA395" i="6" s="1"/>
  <c r="A212" i="6"/>
  <c r="A396" i="6" s="1"/>
  <c r="B212" i="6"/>
  <c r="B396" i="6" s="1"/>
  <c r="C212" i="6"/>
  <c r="C396" i="6" s="1"/>
  <c r="D212" i="6"/>
  <c r="D396" i="6" s="1"/>
  <c r="E212" i="6"/>
  <c r="E396" i="6" s="1"/>
  <c r="F212" i="6"/>
  <c r="F396" i="6" s="1"/>
  <c r="G396" i="6"/>
  <c r="J212" i="6"/>
  <c r="J396" i="6" s="1"/>
  <c r="K212" i="6"/>
  <c r="K396" i="6" s="1"/>
  <c r="L212" i="6"/>
  <c r="L396" i="6" s="1"/>
  <c r="M212" i="6"/>
  <c r="M396" i="6" s="1"/>
  <c r="N212" i="6"/>
  <c r="N396" i="6" s="1"/>
  <c r="O212" i="6"/>
  <c r="O396" i="6" s="1"/>
  <c r="P212" i="6"/>
  <c r="P396" i="6" s="1"/>
  <c r="Q212" i="6"/>
  <c r="Q396" i="6" s="1"/>
  <c r="R212" i="6"/>
  <c r="R396" i="6" s="1"/>
  <c r="S212" i="6"/>
  <c r="S396" i="6" s="1"/>
  <c r="T212" i="6"/>
  <c r="T396" i="6" s="1"/>
  <c r="U212" i="6"/>
  <c r="U396" i="6" s="1"/>
  <c r="V212" i="6"/>
  <c r="V396" i="6" s="1"/>
  <c r="W212" i="6"/>
  <c r="W396" i="6" s="1"/>
  <c r="X212" i="6"/>
  <c r="X396" i="6" s="1"/>
  <c r="Y212" i="6"/>
  <c r="Y396" i="6" s="1"/>
  <c r="Z212" i="6"/>
  <c r="Z396" i="6" s="1"/>
  <c r="AA212" i="6"/>
  <c r="AA396" i="6" s="1"/>
  <c r="A213" i="6"/>
  <c r="A397" i="6" s="1"/>
  <c r="B213" i="6"/>
  <c r="B397" i="6" s="1"/>
  <c r="C213" i="6"/>
  <c r="C397" i="6" s="1"/>
  <c r="D213" i="6"/>
  <c r="D397" i="6" s="1"/>
  <c r="E213" i="6"/>
  <c r="E397" i="6" s="1"/>
  <c r="F213" i="6"/>
  <c r="F397" i="6" s="1"/>
  <c r="G397" i="6"/>
  <c r="J213" i="6"/>
  <c r="J397" i="6" s="1"/>
  <c r="K213" i="6"/>
  <c r="K397" i="6" s="1"/>
  <c r="L213" i="6"/>
  <c r="L397" i="6" s="1"/>
  <c r="M213" i="6"/>
  <c r="M397" i="6" s="1"/>
  <c r="N213" i="6"/>
  <c r="N397" i="6" s="1"/>
  <c r="O213" i="6"/>
  <c r="O397" i="6" s="1"/>
  <c r="P213" i="6"/>
  <c r="P397" i="6" s="1"/>
  <c r="Q213" i="6"/>
  <c r="Q397" i="6" s="1"/>
  <c r="R213" i="6"/>
  <c r="R397" i="6" s="1"/>
  <c r="S213" i="6"/>
  <c r="S397" i="6" s="1"/>
  <c r="T213" i="6"/>
  <c r="T397" i="6" s="1"/>
  <c r="U213" i="6"/>
  <c r="U397" i="6" s="1"/>
  <c r="V213" i="6"/>
  <c r="V397" i="6" s="1"/>
  <c r="W213" i="6"/>
  <c r="W397" i="6" s="1"/>
  <c r="X213" i="6"/>
  <c r="X397" i="6" s="1"/>
  <c r="Y213" i="6"/>
  <c r="Y397" i="6" s="1"/>
  <c r="Z213" i="6"/>
  <c r="Z397" i="6" s="1"/>
  <c r="AA213" i="6"/>
  <c r="AA397" i="6" s="1"/>
  <c r="A214" i="6"/>
  <c r="A398" i="6" s="1"/>
  <c r="B214" i="6"/>
  <c r="B398" i="6" s="1"/>
  <c r="C214" i="6"/>
  <c r="C398" i="6" s="1"/>
  <c r="D214" i="6"/>
  <c r="D398" i="6" s="1"/>
  <c r="E214" i="6"/>
  <c r="E398" i="6" s="1"/>
  <c r="H214" i="6"/>
  <c r="H398" i="6" s="1"/>
  <c r="J214" i="6"/>
  <c r="J398" i="6" s="1"/>
  <c r="K214" i="6"/>
  <c r="K398" i="6" s="1"/>
  <c r="L214" i="6"/>
  <c r="L398" i="6" s="1"/>
  <c r="M214" i="6"/>
  <c r="N214" i="6"/>
  <c r="O214" i="6"/>
  <c r="O398" i="6" s="1"/>
  <c r="P214" i="6"/>
  <c r="P398" i="6" s="1"/>
  <c r="Q214" i="6"/>
  <c r="Q398" i="6" s="1"/>
  <c r="R214" i="6"/>
  <c r="R398" i="6" s="1"/>
  <c r="S214" i="6"/>
  <c r="S398" i="6" s="1"/>
  <c r="T214" i="6"/>
  <c r="T398" i="6" s="1"/>
  <c r="U214" i="6"/>
  <c r="U398" i="6" s="1"/>
  <c r="V214" i="6"/>
  <c r="V398" i="6" s="1"/>
  <c r="W214" i="6"/>
  <c r="W398" i="6" s="1"/>
  <c r="Z214" i="6"/>
  <c r="Z398" i="6" s="1"/>
  <c r="AA214" i="6"/>
  <c r="AA398" i="6" s="1"/>
  <c r="A215" i="6"/>
  <c r="A399" i="6" s="1"/>
  <c r="B215" i="6"/>
  <c r="B399" i="6" s="1"/>
  <c r="C215" i="6"/>
  <c r="C399" i="6" s="1"/>
  <c r="D215" i="6"/>
  <c r="D399" i="6" s="1"/>
  <c r="E215" i="6"/>
  <c r="E399" i="6" s="1"/>
  <c r="F215" i="6"/>
  <c r="F399" i="6" s="1"/>
  <c r="G215" i="6"/>
  <c r="G399" i="6" s="1"/>
  <c r="H215" i="6"/>
  <c r="H399" i="6" s="1"/>
  <c r="J215" i="6"/>
  <c r="J399" i="6" s="1"/>
  <c r="K215" i="6"/>
  <c r="K399" i="6" s="1"/>
  <c r="L215" i="6"/>
  <c r="L399" i="6" s="1"/>
  <c r="M215" i="6"/>
  <c r="N215" i="6"/>
  <c r="O215" i="6"/>
  <c r="O399" i="6" s="1"/>
  <c r="P215" i="6"/>
  <c r="P399" i="6" s="1"/>
  <c r="Q215" i="6"/>
  <c r="Q399" i="6" s="1"/>
  <c r="R215" i="6"/>
  <c r="R399" i="6" s="1"/>
  <c r="S215" i="6"/>
  <c r="S399" i="6" s="1"/>
  <c r="T215" i="6"/>
  <c r="T399" i="6" s="1"/>
  <c r="U215" i="6"/>
  <c r="U399" i="6" s="1"/>
  <c r="V215" i="6"/>
  <c r="V399" i="6" s="1"/>
  <c r="W215" i="6"/>
  <c r="W399" i="6" s="1"/>
  <c r="X215" i="6"/>
  <c r="X399" i="6" s="1"/>
  <c r="Y215" i="6"/>
  <c r="Y399" i="6" s="1"/>
  <c r="Z215" i="6"/>
  <c r="Z399" i="6" s="1"/>
  <c r="AA215" i="6"/>
  <c r="AA399" i="6" s="1"/>
  <c r="A216" i="6"/>
  <c r="A400" i="6" s="1"/>
  <c r="B216" i="6"/>
  <c r="B400" i="6" s="1"/>
  <c r="C216" i="6"/>
  <c r="C400" i="6" s="1"/>
  <c r="D216" i="6"/>
  <c r="D400" i="6" s="1"/>
  <c r="E216" i="6"/>
  <c r="E400" i="6" s="1"/>
  <c r="F216" i="6"/>
  <c r="F400" i="6" s="1"/>
  <c r="G216" i="6"/>
  <c r="G400" i="6" s="1"/>
  <c r="H216" i="6"/>
  <c r="H400" i="6" s="1"/>
  <c r="J216" i="6"/>
  <c r="J400" i="6" s="1"/>
  <c r="K216" i="6"/>
  <c r="K400" i="6" s="1"/>
  <c r="L216" i="6"/>
  <c r="L400" i="6" s="1"/>
  <c r="M216" i="6"/>
  <c r="M400" i="6" s="1"/>
  <c r="O216" i="6"/>
  <c r="O400" i="6" s="1"/>
  <c r="P216" i="6"/>
  <c r="P400" i="6" s="1"/>
  <c r="Q216" i="6"/>
  <c r="Q400" i="6" s="1"/>
  <c r="R216" i="6"/>
  <c r="R400" i="6" s="1"/>
  <c r="S216" i="6"/>
  <c r="S400" i="6" s="1"/>
  <c r="T216" i="6"/>
  <c r="T400" i="6" s="1"/>
  <c r="V216" i="6"/>
  <c r="V400" i="6" s="1"/>
  <c r="Z216" i="6"/>
  <c r="Z400" i="6" s="1"/>
  <c r="AA216" i="6"/>
  <c r="AA400" i="6" s="1"/>
  <c r="A217" i="6"/>
  <c r="A401" i="6" s="1"/>
  <c r="B217" i="6"/>
  <c r="B401" i="6" s="1"/>
  <c r="C217" i="6"/>
  <c r="C401" i="6" s="1"/>
  <c r="D217" i="6"/>
  <c r="D401" i="6" s="1"/>
  <c r="E217" i="6"/>
  <c r="E401" i="6" s="1"/>
  <c r="F217" i="6"/>
  <c r="F401" i="6" s="1"/>
  <c r="G217" i="6"/>
  <c r="G401" i="6" s="1"/>
  <c r="H217" i="6"/>
  <c r="H401" i="6" s="1"/>
  <c r="J217" i="6"/>
  <c r="J401" i="6" s="1"/>
  <c r="K217" i="6"/>
  <c r="K401" i="6" s="1"/>
  <c r="M217" i="6"/>
  <c r="M401" i="6" s="1"/>
  <c r="O217" i="6"/>
  <c r="O401" i="6" s="1"/>
  <c r="P217" i="6"/>
  <c r="P401" i="6" s="1"/>
  <c r="Q217" i="6"/>
  <c r="Q401" i="6" s="1"/>
  <c r="R217" i="6"/>
  <c r="R401" i="6" s="1"/>
  <c r="T217" i="6"/>
  <c r="T401" i="6" s="1"/>
  <c r="U217" i="6"/>
  <c r="U401" i="6" s="1"/>
  <c r="V217" i="6"/>
  <c r="V401" i="6" s="1"/>
  <c r="Z217" i="6"/>
  <c r="Z401" i="6" s="1"/>
  <c r="AA217" i="6"/>
  <c r="AA401" i="6" s="1"/>
  <c r="A218" i="6"/>
  <c r="A402" i="6" s="1"/>
  <c r="B218" i="6"/>
  <c r="B402" i="6" s="1"/>
  <c r="C218" i="6"/>
  <c r="C402" i="6" s="1"/>
  <c r="D218" i="6"/>
  <c r="D402" i="6" s="1"/>
  <c r="E218" i="6"/>
  <c r="E402" i="6" s="1"/>
  <c r="F218" i="6"/>
  <c r="F402" i="6" s="1"/>
  <c r="G218" i="6"/>
  <c r="G402" i="6" s="1"/>
  <c r="H218" i="6"/>
  <c r="H402" i="6" s="1"/>
  <c r="J218" i="6"/>
  <c r="J402" i="6" s="1"/>
  <c r="K218" i="6"/>
  <c r="K402" i="6" s="1"/>
  <c r="O218" i="6"/>
  <c r="O402" i="6" s="1"/>
  <c r="P218" i="6"/>
  <c r="P402" i="6" s="1"/>
  <c r="Q218" i="6"/>
  <c r="Q402" i="6" s="1"/>
  <c r="R218" i="6"/>
  <c r="R402" i="6" s="1"/>
  <c r="T218" i="6"/>
  <c r="T402" i="6" s="1"/>
  <c r="U218" i="6"/>
  <c r="U402" i="6" s="1"/>
  <c r="V218" i="6"/>
  <c r="V402" i="6" s="1"/>
  <c r="W218" i="6"/>
  <c r="W402" i="6" s="1"/>
  <c r="X218" i="6"/>
  <c r="X402" i="6" s="1"/>
  <c r="Y218" i="6"/>
  <c r="Y402" i="6" s="1"/>
  <c r="Z218" i="6"/>
  <c r="Z402" i="6" s="1"/>
  <c r="AA218" i="6"/>
  <c r="AA402" i="6" s="1"/>
  <c r="A219" i="6"/>
  <c r="A403" i="6" s="1"/>
  <c r="B219" i="6"/>
  <c r="B403" i="6" s="1"/>
  <c r="C219" i="6"/>
  <c r="C403" i="6" s="1"/>
  <c r="D219" i="6"/>
  <c r="D403" i="6" s="1"/>
  <c r="E219" i="6"/>
  <c r="E403" i="6" s="1"/>
  <c r="F219" i="6"/>
  <c r="F403" i="6" s="1"/>
  <c r="G219" i="6"/>
  <c r="G403" i="6" s="1"/>
  <c r="H219" i="6"/>
  <c r="H403" i="6" s="1"/>
  <c r="J219" i="6"/>
  <c r="J403" i="6" s="1"/>
  <c r="K219" i="6"/>
  <c r="K403" i="6" s="1"/>
  <c r="O219" i="6"/>
  <c r="O403" i="6" s="1"/>
  <c r="P219" i="6"/>
  <c r="P403" i="6" s="1"/>
  <c r="Q219" i="6"/>
  <c r="Q403" i="6" s="1"/>
  <c r="R219" i="6"/>
  <c r="R403" i="6" s="1"/>
  <c r="T219" i="6"/>
  <c r="T403" i="6" s="1"/>
  <c r="U219" i="6"/>
  <c r="U403" i="6" s="1"/>
  <c r="V219" i="6"/>
  <c r="V403" i="6" s="1"/>
  <c r="Z219" i="6"/>
  <c r="Z403" i="6" s="1"/>
  <c r="AA219" i="6"/>
  <c r="AA403" i="6" s="1"/>
  <c r="A220" i="6"/>
  <c r="A404" i="6" s="1"/>
  <c r="B220" i="6"/>
  <c r="B404" i="6" s="1"/>
  <c r="C220" i="6"/>
  <c r="C404" i="6" s="1"/>
  <c r="D220" i="6"/>
  <c r="D404" i="6" s="1"/>
  <c r="E220" i="6"/>
  <c r="E404" i="6" s="1"/>
  <c r="F220" i="6"/>
  <c r="F404" i="6" s="1"/>
  <c r="G220" i="6"/>
  <c r="G404" i="6" s="1"/>
  <c r="H220" i="6"/>
  <c r="H404" i="6" s="1"/>
  <c r="J220" i="6"/>
  <c r="J404" i="6" s="1"/>
  <c r="K220" i="6"/>
  <c r="K404" i="6" s="1"/>
  <c r="L220" i="6"/>
  <c r="L404" i="6" s="1"/>
  <c r="M220" i="6"/>
  <c r="M404" i="6" s="1"/>
  <c r="N220" i="6"/>
  <c r="N404" i="6" s="1"/>
  <c r="O220" i="6"/>
  <c r="O404" i="6" s="1"/>
  <c r="R220" i="6"/>
  <c r="R404" i="6" s="1"/>
  <c r="T220" i="6"/>
  <c r="T404" i="6" s="1"/>
  <c r="U220" i="6"/>
  <c r="U404" i="6" s="1"/>
  <c r="V220" i="6"/>
  <c r="V404" i="6" s="1"/>
  <c r="Z220" i="6"/>
  <c r="Z404" i="6" s="1"/>
  <c r="AA220" i="6"/>
  <c r="AA404" i="6" s="1"/>
  <c r="A221" i="6"/>
  <c r="A405" i="6" s="1"/>
  <c r="B221" i="6"/>
  <c r="B405" i="6" s="1"/>
  <c r="C221" i="6"/>
  <c r="C405" i="6" s="1"/>
  <c r="D221" i="6"/>
  <c r="D405" i="6" s="1"/>
  <c r="E221" i="6"/>
  <c r="E405" i="6" s="1"/>
  <c r="F221" i="6"/>
  <c r="F405" i="6" s="1"/>
  <c r="G221" i="6"/>
  <c r="G405" i="6" s="1"/>
  <c r="H221" i="6"/>
  <c r="H405" i="6" s="1"/>
  <c r="J221" i="6"/>
  <c r="J405" i="6" s="1"/>
  <c r="K221" i="6"/>
  <c r="K405" i="6" s="1"/>
  <c r="L221" i="6"/>
  <c r="L405" i="6" s="1"/>
  <c r="M221" i="6"/>
  <c r="M405" i="6" s="1"/>
  <c r="N221" i="6"/>
  <c r="N405" i="6" s="1"/>
  <c r="O221" i="6"/>
  <c r="O405" i="6" s="1"/>
  <c r="P221" i="6"/>
  <c r="P405" i="6" s="1"/>
  <c r="Q221" i="6"/>
  <c r="Q405" i="6" s="1"/>
  <c r="T221" i="6"/>
  <c r="T405" i="6" s="1"/>
  <c r="U221" i="6"/>
  <c r="U405" i="6" s="1"/>
  <c r="V221" i="6"/>
  <c r="V405" i="6" s="1"/>
  <c r="W221" i="6"/>
  <c r="W405" i="6" s="1"/>
  <c r="X221" i="6"/>
  <c r="X405" i="6" s="1"/>
  <c r="Y221" i="6"/>
  <c r="Y405" i="6" s="1"/>
  <c r="Z221" i="6"/>
  <c r="Z405" i="6" s="1"/>
  <c r="AA221" i="6"/>
  <c r="AA405" i="6" s="1"/>
  <c r="A222" i="6"/>
  <c r="A406" i="6" s="1"/>
  <c r="B222" i="6"/>
  <c r="B406" i="6" s="1"/>
  <c r="C222" i="6"/>
  <c r="C406" i="6" s="1"/>
  <c r="D222" i="6"/>
  <c r="D406" i="6" s="1"/>
  <c r="E222" i="6"/>
  <c r="E406" i="6" s="1"/>
  <c r="F222" i="6"/>
  <c r="F406" i="6" s="1"/>
  <c r="G222" i="6"/>
  <c r="G406" i="6" s="1"/>
  <c r="H222" i="6"/>
  <c r="H406" i="6" s="1"/>
  <c r="J222" i="6"/>
  <c r="J406" i="6" s="1"/>
  <c r="K222" i="6"/>
  <c r="K406" i="6" s="1"/>
  <c r="L222" i="6"/>
  <c r="L406" i="6" s="1"/>
  <c r="M222" i="6"/>
  <c r="M406" i="6" s="1"/>
  <c r="N222" i="6"/>
  <c r="N406" i="6" s="1"/>
  <c r="O222" i="6"/>
  <c r="O406" i="6" s="1"/>
  <c r="P222" i="6"/>
  <c r="P406" i="6" s="1"/>
  <c r="Q222" i="6"/>
  <c r="Q406" i="6" s="1"/>
  <c r="T222" i="6"/>
  <c r="T406" i="6" s="1"/>
  <c r="V222" i="6"/>
  <c r="V406" i="6" s="1"/>
  <c r="Z222" i="6"/>
  <c r="Z406" i="6" s="1"/>
  <c r="AA222" i="6"/>
  <c r="AA406" i="6" s="1"/>
  <c r="A223" i="6"/>
  <c r="A407" i="6" s="1"/>
  <c r="B223" i="6"/>
  <c r="B407" i="6" s="1"/>
  <c r="C223" i="6"/>
  <c r="C407" i="6" s="1"/>
  <c r="D223" i="6"/>
  <c r="D407" i="6" s="1"/>
  <c r="E223" i="6"/>
  <c r="E407" i="6" s="1"/>
  <c r="F223" i="6"/>
  <c r="F407" i="6" s="1"/>
  <c r="G223" i="6"/>
  <c r="G407" i="6" s="1"/>
  <c r="H223" i="6"/>
  <c r="H407" i="6" s="1"/>
  <c r="J223" i="6"/>
  <c r="J407" i="6" s="1"/>
  <c r="K223" i="6"/>
  <c r="K407" i="6" s="1"/>
  <c r="L223" i="6"/>
  <c r="L407" i="6" s="1"/>
  <c r="N223" i="6"/>
  <c r="N407" i="6" s="1"/>
  <c r="O223" i="6"/>
  <c r="O407" i="6" s="1"/>
  <c r="P223" i="6"/>
  <c r="P407" i="6" s="1"/>
  <c r="Q223" i="6"/>
  <c r="Q407" i="6" s="1"/>
  <c r="R223" i="6"/>
  <c r="R407" i="6" s="1"/>
  <c r="S223" i="6"/>
  <c r="S407" i="6" s="1"/>
  <c r="U407" i="6"/>
  <c r="V223" i="6"/>
  <c r="V407" i="6" s="1"/>
  <c r="Z223" i="6"/>
  <c r="Z407" i="6" s="1"/>
  <c r="AA223" i="6"/>
  <c r="AA407" i="6" s="1"/>
  <c r="A224" i="6"/>
  <c r="A408" i="6" s="1"/>
  <c r="B224" i="6"/>
  <c r="B408" i="6" s="1"/>
  <c r="C224" i="6"/>
  <c r="C408" i="6" s="1"/>
  <c r="D224" i="6"/>
  <c r="D408" i="6" s="1"/>
  <c r="E224" i="6"/>
  <c r="E408" i="6" s="1"/>
  <c r="F224" i="6"/>
  <c r="F408" i="6" s="1"/>
  <c r="G224" i="6"/>
  <c r="G408" i="6" s="1"/>
  <c r="H224" i="6"/>
  <c r="H408" i="6" s="1"/>
  <c r="J224" i="6"/>
  <c r="J408" i="6" s="1"/>
  <c r="K224" i="6"/>
  <c r="K408" i="6" s="1"/>
  <c r="L224" i="6"/>
  <c r="L408" i="6" s="1"/>
  <c r="M224" i="6"/>
  <c r="M408" i="6" s="1"/>
  <c r="N224" i="6"/>
  <c r="N408" i="6" s="1"/>
  <c r="O224" i="6"/>
  <c r="O408" i="6" s="1"/>
  <c r="P224" i="6"/>
  <c r="P408" i="6" s="1"/>
  <c r="Q224" i="6"/>
  <c r="Q408" i="6" s="1"/>
  <c r="R224" i="6"/>
  <c r="R408" i="6" s="1"/>
  <c r="S224" i="6"/>
  <c r="S408" i="6" s="1"/>
  <c r="T224" i="6"/>
  <c r="T408" i="6" s="1"/>
  <c r="U224" i="6"/>
  <c r="U408" i="6" s="1"/>
  <c r="V224" i="6"/>
  <c r="V408" i="6" s="1"/>
  <c r="W224" i="6"/>
  <c r="W408" i="6" s="1"/>
  <c r="X224" i="6"/>
  <c r="X408" i="6" s="1"/>
  <c r="Y224" i="6"/>
  <c r="Y408" i="6" s="1"/>
  <c r="Z224" i="6"/>
  <c r="Z408" i="6" s="1"/>
  <c r="AA224" i="6"/>
  <c r="AA408" i="6" s="1"/>
  <c r="A225" i="6"/>
  <c r="A409" i="6" s="1"/>
  <c r="B225" i="6"/>
  <c r="B409" i="6" s="1"/>
  <c r="C225" i="6"/>
  <c r="C409" i="6" s="1"/>
  <c r="D225" i="6"/>
  <c r="D409" i="6" s="1"/>
  <c r="E225" i="6"/>
  <c r="E409" i="6" s="1"/>
  <c r="F225" i="6"/>
  <c r="F409" i="6" s="1"/>
  <c r="G225" i="6"/>
  <c r="G409" i="6" s="1"/>
  <c r="H225" i="6"/>
  <c r="H409" i="6" s="1"/>
  <c r="J225" i="6"/>
  <c r="J409" i="6" s="1"/>
  <c r="K225" i="6"/>
  <c r="K409" i="6" s="1"/>
  <c r="M225" i="6"/>
  <c r="M409" i="6" s="1"/>
  <c r="N225" i="6"/>
  <c r="N409" i="6" s="1"/>
  <c r="O225" i="6"/>
  <c r="O409" i="6" s="1"/>
  <c r="P225" i="6"/>
  <c r="P409" i="6" s="1"/>
  <c r="Q225" i="6"/>
  <c r="Q409" i="6" s="1"/>
  <c r="R225" i="6"/>
  <c r="R409" i="6" s="1"/>
  <c r="V225" i="6"/>
  <c r="V409" i="6" s="1"/>
  <c r="W225" i="6"/>
  <c r="W409" i="6" s="1"/>
  <c r="X225" i="6"/>
  <c r="X409" i="6" s="1"/>
  <c r="Y225" i="6"/>
  <c r="Y409" i="6" s="1"/>
  <c r="Z225" i="6"/>
  <c r="Z409" i="6" s="1"/>
  <c r="AA225" i="6"/>
  <c r="AA409" i="6" s="1"/>
  <c r="A226" i="6"/>
  <c r="A410" i="6" s="1"/>
  <c r="B226" i="6"/>
  <c r="B410" i="6" s="1"/>
  <c r="C226" i="6"/>
  <c r="C410" i="6" s="1"/>
  <c r="D226" i="6"/>
  <c r="D410" i="6" s="1"/>
  <c r="E226" i="6"/>
  <c r="E410" i="6" s="1"/>
  <c r="F226" i="6"/>
  <c r="F410" i="6" s="1"/>
  <c r="G226" i="6"/>
  <c r="G410" i="6" s="1"/>
  <c r="K226" i="6"/>
  <c r="K410" i="6" s="1"/>
  <c r="M226" i="6"/>
  <c r="M410" i="6" s="1"/>
  <c r="N226" i="6"/>
  <c r="P226" i="6"/>
  <c r="P410" i="6" s="1"/>
  <c r="Q226" i="6"/>
  <c r="Q410" i="6" s="1"/>
  <c r="R226" i="6"/>
  <c r="R410" i="6" s="1"/>
  <c r="V226" i="6"/>
  <c r="V410" i="6" s="1"/>
  <c r="W226" i="6"/>
  <c r="W410" i="6" s="1"/>
  <c r="X226" i="6"/>
  <c r="X410" i="6" s="1"/>
  <c r="Y226" i="6"/>
  <c r="Y410" i="6" s="1"/>
  <c r="Z226" i="6"/>
  <c r="Z410" i="6" s="1"/>
  <c r="AA226" i="6"/>
  <c r="AA410" i="6" s="1"/>
  <c r="A227" i="6"/>
  <c r="A411" i="6" s="1"/>
  <c r="B227" i="6"/>
  <c r="B411" i="6" s="1"/>
  <c r="C227" i="6"/>
  <c r="C411" i="6" s="1"/>
  <c r="D227" i="6"/>
  <c r="D411" i="6" s="1"/>
  <c r="E227" i="6"/>
  <c r="E411" i="6" s="1"/>
  <c r="F227" i="6"/>
  <c r="F411" i="6" s="1"/>
  <c r="G227" i="6"/>
  <c r="G411" i="6" s="1"/>
  <c r="H227" i="6"/>
  <c r="H411" i="6" s="1"/>
  <c r="I227" i="6"/>
  <c r="I411" i="6" s="1"/>
  <c r="J227" i="6"/>
  <c r="J411" i="6" s="1"/>
  <c r="M227" i="6"/>
  <c r="M411" i="6" s="1"/>
  <c r="N227" i="6"/>
  <c r="P227" i="6"/>
  <c r="P411" i="6" s="1"/>
  <c r="Q227" i="6"/>
  <c r="Q411" i="6" s="1"/>
  <c r="R227" i="6"/>
  <c r="R411" i="6" s="1"/>
  <c r="S227" i="6"/>
  <c r="S411" i="6" s="1"/>
  <c r="T227" i="6"/>
  <c r="T411" i="6" s="1"/>
  <c r="U227" i="6"/>
  <c r="U411" i="6" s="1"/>
  <c r="V227" i="6"/>
  <c r="V411" i="6" s="1"/>
  <c r="W227" i="6"/>
  <c r="W411" i="6" s="1"/>
  <c r="X227" i="6"/>
  <c r="X411" i="6" s="1"/>
  <c r="Y227" i="6"/>
  <c r="Y411" i="6" s="1"/>
  <c r="Z227" i="6"/>
  <c r="Z411" i="6" s="1"/>
  <c r="AA227" i="6"/>
  <c r="AA411" i="6" s="1"/>
  <c r="A228" i="6"/>
  <c r="A412" i="6" s="1"/>
  <c r="B228" i="6"/>
  <c r="B412" i="6" s="1"/>
  <c r="C228" i="6"/>
  <c r="C412" i="6" s="1"/>
  <c r="D228" i="6"/>
  <c r="D412" i="6" s="1"/>
  <c r="E228" i="6"/>
  <c r="E412" i="6" s="1"/>
  <c r="F228" i="6"/>
  <c r="F412" i="6" s="1"/>
  <c r="G228" i="6"/>
  <c r="G412" i="6" s="1"/>
  <c r="H228" i="6"/>
  <c r="H412" i="6" s="1"/>
  <c r="I228" i="6"/>
  <c r="I412" i="6" s="1"/>
  <c r="J228" i="6"/>
  <c r="J412" i="6" s="1"/>
  <c r="M228" i="6"/>
  <c r="M412" i="6" s="1"/>
  <c r="N228" i="6"/>
  <c r="N412" i="6" s="1"/>
  <c r="P228" i="6"/>
  <c r="P412" i="6" s="1"/>
  <c r="Q228" i="6"/>
  <c r="Q412" i="6" s="1"/>
  <c r="R228" i="6"/>
  <c r="R412" i="6" s="1"/>
  <c r="V228" i="6"/>
  <c r="V412" i="6" s="1"/>
  <c r="W228" i="6"/>
  <c r="W412" i="6" s="1"/>
  <c r="X228" i="6"/>
  <c r="X412" i="6" s="1"/>
  <c r="Y228" i="6"/>
  <c r="Y412" i="6" s="1"/>
  <c r="Z228" i="6"/>
  <c r="Z412" i="6" s="1"/>
  <c r="AA228" i="6"/>
  <c r="AA412" i="6" s="1"/>
  <c r="A229" i="6"/>
  <c r="A413" i="6" s="1"/>
  <c r="B229" i="6"/>
  <c r="B413" i="6" s="1"/>
  <c r="C229" i="6"/>
  <c r="C413" i="6" s="1"/>
  <c r="D229" i="6"/>
  <c r="D413" i="6" s="1"/>
  <c r="E229" i="6"/>
  <c r="E413" i="6" s="1"/>
  <c r="F229" i="6"/>
  <c r="F413" i="6" s="1"/>
  <c r="G229" i="6"/>
  <c r="G413" i="6" s="1"/>
  <c r="H229" i="6"/>
  <c r="H413" i="6" s="1"/>
  <c r="I229" i="6"/>
  <c r="I413" i="6" s="1"/>
  <c r="J229" i="6"/>
  <c r="J413" i="6" s="1"/>
  <c r="K229" i="6"/>
  <c r="K413" i="6" s="1"/>
  <c r="N229" i="6"/>
  <c r="N413" i="6" s="1"/>
  <c r="P229" i="6"/>
  <c r="P413" i="6" s="1"/>
  <c r="Q229" i="6"/>
  <c r="Q413" i="6" s="1"/>
  <c r="R229" i="6"/>
  <c r="R413" i="6" s="1"/>
  <c r="V229" i="6"/>
  <c r="V413" i="6" s="1"/>
  <c r="W229" i="6"/>
  <c r="W413" i="6" s="1"/>
  <c r="X229" i="6"/>
  <c r="X413" i="6" s="1"/>
  <c r="Y229" i="6"/>
  <c r="Y413" i="6" s="1"/>
  <c r="Z229" i="6"/>
  <c r="Z413" i="6" s="1"/>
  <c r="AA229" i="6"/>
  <c r="AA413" i="6" s="1"/>
  <c r="A230" i="6"/>
  <c r="A414" i="6" s="1"/>
  <c r="B230" i="6"/>
  <c r="B414" i="6" s="1"/>
  <c r="C230" i="6"/>
  <c r="C414" i="6" s="1"/>
  <c r="D230" i="6"/>
  <c r="D414" i="6" s="1"/>
  <c r="E230" i="6"/>
  <c r="E414" i="6" s="1"/>
  <c r="F230" i="6"/>
  <c r="F414" i="6" s="1"/>
  <c r="G230" i="6"/>
  <c r="G414" i="6" s="1"/>
  <c r="H230" i="6"/>
  <c r="H414" i="6" s="1"/>
  <c r="I230" i="6"/>
  <c r="I414" i="6" s="1"/>
  <c r="J230" i="6"/>
  <c r="J414" i="6" s="1"/>
  <c r="K230" i="6"/>
  <c r="K414" i="6" s="1"/>
  <c r="L230" i="6"/>
  <c r="L414" i="6" s="1"/>
  <c r="M230" i="6"/>
  <c r="M414" i="6" s="1"/>
  <c r="P230" i="6"/>
  <c r="P414" i="6" s="1"/>
  <c r="Q230" i="6"/>
  <c r="Q414" i="6" s="1"/>
  <c r="R230" i="6"/>
  <c r="R414" i="6" s="1"/>
  <c r="S230" i="6"/>
  <c r="S414" i="6" s="1"/>
  <c r="T230" i="6"/>
  <c r="T414" i="6" s="1"/>
  <c r="U230" i="6"/>
  <c r="U414" i="6" s="1"/>
  <c r="V230" i="6"/>
  <c r="V414" i="6" s="1"/>
  <c r="W230" i="6"/>
  <c r="W414" i="6" s="1"/>
  <c r="X230" i="6"/>
  <c r="X414" i="6" s="1"/>
  <c r="Y230" i="6"/>
  <c r="Y414" i="6" s="1"/>
  <c r="Z230" i="6"/>
  <c r="Z414" i="6" s="1"/>
  <c r="AA230" i="6"/>
  <c r="AA414" i="6" s="1"/>
  <c r="A231" i="6"/>
  <c r="A415" i="6" s="1"/>
  <c r="B231" i="6"/>
  <c r="B415" i="6" s="1"/>
  <c r="C231" i="6"/>
  <c r="C415" i="6" s="1"/>
  <c r="D231" i="6"/>
  <c r="D415" i="6" s="1"/>
  <c r="E231" i="6"/>
  <c r="E415" i="6" s="1"/>
  <c r="F231" i="6"/>
  <c r="F415" i="6" s="1"/>
  <c r="G231" i="6"/>
  <c r="G415" i="6" s="1"/>
  <c r="H231" i="6"/>
  <c r="H415" i="6" s="1"/>
  <c r="I231" i="6"/>
  <c r="I415" i="6" s="1"/>
  <c r="J231" i="6"/>
  <c r="J415" i="6" s="1"/>
  <c r="K231" i="6"/>
  <c r="K415" i="6" s="1"/>
  <c r="L231" i="6"/>
  <c r="L415" i="6" s="1"/>
  <c r="M231" i="6"/>
  <c r="M415" i="6" s="1"/>
  <c r="P231" i="6"/>
  <c r="P415" i="6" s="1"/>
  <c r="Q231" i="6"/>
  <c r="Q415" i="6" s="1"/>
  <c r="R231" i="6"/>
  <c r="R415" i="6" s="1"/>
  <c r="V231" i="6"/>
  <c r="V415" i="6" s="1"/>
  <c r="W231" i="6"/>
  <c r="W415" i="6" s="1"/>
  <c r="X231" i="6"/>
  <c r="X415" i="6" s="1"/>
  <c r="Y231" i="6"/>
  <c r="Y415" i="6" s="1"/>
  <c r="Z231" i="6"/>
  <c r="Z415" i="6" s="1"/>
  <c r="AA231" i="6"/>
  <c r="AA415" i="6" s="1"/>
  <c r="A232" i="6"/>
  <c r="A416" i="6" s="1"/>
  <c r="B232" i="6"/>
  <c r="B416" i="6" s="1"/>
  <c r="C232" i="6"/>
  <c r="C416" i="6" s="1"/>
  <c r="D232" i="6"/>
  <c r="D416" i="6" s="1"/>
  <c r="E232" i="6"/>
  <c r="E416" i="6" s="1"/>
  <c r="F232" i="6"/>
  <c r="F416" i="6" s="1"/>
  <c r="G232" i="6"/>
  <c r="G416" i="6" s="1"/>
  <c r="H232" i="6"/>
  <c r="H416" i="6" s="1"/>
  <c r="I232" i="6"/>
  <c r="I416" i="6" s="1"/>
  <c r="J232" i="6"/>
  <c r="J416" i="6" s="1"/>
  <c r="K232" i="6"/>
  <c r="K416" i="6" s="1"/>
  <c r="L232" i="6"/>
  <c r="L416" i="6" s="1"/>
  <c r="M232" i="6"/>
  <c r="M416" i="6" s="1"/>
  <c r="N232" i="6"/>
  <c r="N416" i="6" s="1"/>
  <c r="O232" i="6"/>
  <c r="O416" i="6" s="1"/>
  <c r="P232" i="6"/>
  <c r="P416" i="6" s="1"/>
  <c r="Q232" i="6"/>
  <c r="Q416" i="6" s="1"/>
  <c r="R232" i="6"/>
  <c r="R416" i="6" s="1"/>
  <c r="V232" i="6"/>
  <c r="V416" i="6" s="1"/>
  <c r="W232" i="6"/>
  <c r="W416" i="6" s="1"/>
  <c r="X232" i="6"/>
  <c r="X416" i="6" s="1"/>
  <c r="Y232" i="6"/>
  <c r="Y416" i="6" s="1"/>
  <c r="Z232" i="6"/>
  <c r="Z416" i="6" s="1"/>
  <c r="AA232" i="6"/>
  <c r="AA416" i="6" s="1"/>
  <c r="A233" i="6"/>
  <c r="A417" i="6" s="1"/>
  <c r="B233" i="6"/>
  <c r="B417" i="6" s="1"/>
  <c r="C233" i="6"/>
  <c r="C417" i="6" s="1"/>
  <c r="D233" i="6"/>
  <c r="D417" i="6" s="1"/>
  <c r="E233" i="6"/>
  <c r="E417" i="6" s="1"/>
  <c r="F233" i="6"/>
  <c r="F417" i="6" s="1"/>
  <c r="G233" i="6"/>
  <c r="G417" i="6" s="1"/>
  <c r="H233" i="6"/>
  <c r="H417" i="6" s="1"/>
  <c r="I233" i="6"/>
  <c r="I417" i="6" s="1"/>
  <c r="J233" i="6"/>
  <c r="J417" i="6" s="1"/>
  <c r="K233" i="6"/>
  <c r="K417" i="6" s="1"/>
  <c r="L233" i="6"/>
  <c r="L417" i="6" s="1"/>
  <c r="M233" i="6"/>
  <c r="M417" i="6" s="1"/>
  <c r="N233" i="6"/>
  <c r="N417" i="6" s="1"/>
  <c r="O233" i="6"/>
  <c r="O417" i="6" s="1"/>
  <c r="P233" i="6"/>
  <c r="P417" i="6" s="1"/>
  <c r="Q233" i="6"/>
  <c r="Q417" i="6" s="1"/>
  <c r="R233" i="6"/>
  <c r="R417" i="6" s="1"/>
  <c r="S233" i="6"/>
  <c r="S417" i="6" s="1"/>
  <c r="T233" i="6"/>
  <c r="T417" i="6" s="1"/>
  <c r="U233" i="6"/>
  <c r="U417" i="6" s="1"/>
  <c r="V233" i="6"/>
  <c r="V417" i="6" s="1"/>
  <c r="W233" i="6"/>
  <c r="W417" i="6" s="1"/>
  <c r="X233" i="6"/>
  <c r="X417" i="6" s="1"/>
  <c r="Y233" i="6"/>
  <c r="Y417" i="6" s="1"/>
  <c r="Z233" i="6"/>
  <c r="Z417" i="6" s="1"/>
  <c r="AA233" i="6"/>
  <c r="AA417" i="6" s="1"/>
  <c r="A234" i="6"/>
  <c r="A418" i="6" s="1"/>
  <c r="B234" i="6"/>
  <c r="B418" i="6" s="1"/>
  <c r="C234" i="6"/>
  <c r="C418" i="6" s="1"/>
  <c r="D234" i="6"/>
  <c r="D418" i="6" s="1"/>
  <c r="E234" i="6"/>
  <c r="E418" i="6" s="1"/>
  <c r="F234" i="6"/>
  <c r="F418" i="6" s="1"/>
  <c r="G234" i="6"/>
  <c r="G418" i="6" s="1"/>
  <c r="H234" i="6"/>
  <c r="H418" i="6" s="1"/>
  <c r="I234" i="6"/>
  <c r="I418" i="6" s="1"/>
  <c r="J234" i="6"/>
  <c r="J418" i="6" s="1"/>
  <c r="K234" i="6"/>
  <c r="K418" i="6" s="1"/>
  <c r="L234" i="6"/>
  <c r="L418" i="6" s="1"/>
  <c r="M234" i="6"/>
  <c r="M418" i="6" s="1"/>
  <c r="N234" i="6"/>
  <c r="N418" i="6" s="1"/>
  <c r="O234" i="6"/>
  <c r="O418" i="6" s="1"/>
  <c r="P234" i="6"/>
  <c r="P418" i="6" s="1"/>
  <c r="Q234" i="6"/>
  <c r="Q418" i="6" s="1"/>
  <c r="R234" i="6"/>
  <c r="R418" i="6" s="1"/>
  <c r="T234" i="6"/>
  <c r="T418" i="6" s="1"/>
  <c r="U234" i="6"/>
  <c r="U418" i="6" s="1"/>
  <c r="V234" i="6"/>
  <c r="V418" i="6" s="1"/>
  <c r="X234" i="6"/>
  <c r="X418" i="6" s="1"/>
  <c r="Y234" i="6"/>
  <c r="Y418" i="6" s="1"/>
  <c r="Z234" i="6"/>
  <c r="Z418" i="6" s="1"/>
  <c r="AA234" i="6"/>
  <c r="AA418" i="6" s="1"/>
  <c r="A235" i="6"/>
  <c r="A419" i="6" s="1"/>
  <c r="B235" i="6"/>
  <c r="B419" i="6" s="1"/>
  <c r="C235" i="6"/>
  <c r="C419" i="6" s="1"/>
  <c r="D235" i="6"/>
  <c r="D419" i="6" s="1"/>
  <c r="G235" i="6"/>
  <c r="G419" i="6" s="1"/>
  <c r="H235" i="6"/>
  <c r="H419" i="6" s="1"/>
  <c r="I235" i="6"/>
  <c r="I419" i="6" s="1"/>
  <c r="J235" i="6"/>
  <c r="J419" i="6" s="1"/>
  <c r="K235" i="6"/>
  <c r="K419" i="6" s="1"/>
  <c r="L235" i="6"/>
  <c r="L419" i="6" s="1"/>
  <c r="M235" i="6"/>
  <c r="M419" i="6" s="1"/>
  <c r="N235" i="6"/>
  <c r="N419" i="6" s="1"/>
  <c r="O235" i="6"/>
  <c r="O419" i="6" s="1"/>
  <c r="P235" i="6"/>
  <c r="P419" i="6" s="1"/>
  <c r="Q235" i="6"/>
  <c r="Q419" i="6" s="1"/>
  <c r="R235" i="6"/>
  <c r="R419" i="6" s="1"/>
  <c r="S235" i="6"/>
  <c r="S419" i="6" s="1"/>
  <c r="T235" i="6"/>
  <c r="T419" i="6" s="1"/>
  <c r="U235" i="6"/>
  <c r="U419" i="6" s="1"/>
  <c r="V235" i="6"/>
  <c r="V419" i="6" s="1"/>
  <c r="W235" i="6"/>
  <c r="W419" i="6" s="1"/>
  <c r="X235" i="6"/>
  <c r="X419" i="6" s="1"/>
  <c r="Y235" i="6"/>
  <c r="Y419" i="6" s="1"/>
  <c r="Z235" i="6"/>
  <c r="Z419" i="6" s="1"/>
  <c r="AA235" i="6"/>
  <c r="AA419" i="6" s="1"/>
  <c r="A236" i="6"/>
  <c r="A420" i="6" s="1"/>
  <c r="B236" i="6"/>
  <c r="B420" i="6" s="1"/>
  <c r="C236" i="6"/>
  <c r="C420" i="6" s="1"/>
  <c r="D236" i="6"/>
  <c r="D420" i="6" s="1"/>
  <c r="G236" i="6"/>
  <c r="G420" i="6" s="1"/>
  <c r="H236" i="6"/>
  <c r="H420" i="6" s="1"/>
  <c r="I236" i="6"/>
  <c r="I420" i="6" s="1"/>
  <c r="J236" i="6"/>
  <c r="J420" i="6" s="1"/>
  <c r="K236" i="6"/>
  <c r="K420" i="6" s="1"/>
  <c r="L236" i="6"/>
  <c r="L420" i="6" s="1"/>
  <c r="M236" i="6"/>
  <c r="M420" i="6" s="1"/>
  <c r="N236" i="6"/>
  <c r="N420" i="6" s="1"/>
  <c r="O236" i="6"/>
  <c r="O420" i="6" s="1"/>
  <c r="P236" i="6"/>
  <c r="P420" i="6" s="1"/>
  <c r="Q236" i="6"/>
  <c r="Q420" i="6" s="1"/>
  <c r="R236" i="6"/>
  <c r="R420" i="6" s="1"/>
  <c r="S236" i="6"/>
  <c r="S420" i="6" s="1"/>
  <c r="T236" i="6"/>
  <c r="T420" i="6" s="1"/>
  <c r="U236" i="6"/>
  <c r="U420" i="6" s="1"/>
  <c r="V236" i="6"/>
  <c r="V420" i="6" s="1"/>
  <c r="W236" i="6"/>
  <c r="W420" i="6" s="1"/>
  <c r="X236" i="6"/>
  <c r="X420" i="6" s="1"/>
  <c r="Y236" i="6"/>
  <c r="Y420" i="6" s="1"/>
  <c r="Z236" i="6"/>
  <c r="Z420" i="6" s="1"/>
  <c r="AA236" i="6"/>
  <c r="AA420" i="6" s="1"/>
  <c r="A237" i="6"/>
  <c r="A421" i="6" s="1"/>
  <c r="B237" i="6"/>
  <c r="B421" i="6" s="1"/>
  <c r="C237" i="6"/>
  <c r="D237" i="6"/>
  <c r="D421" i="6" s="1"/>
  <c r="G237" i="6"/>
  <c r="G421" i="6" s="1"/>
  <c r="H237" i="6"/>
  <c r="H421" i="6" s="1"/>
  <c r="I237" i="6"/>
  <c r="I421" i="6" s="1"/>
  <c r="J237" i="6"/>
  <c r="J421" i="6" s="1"/>
  <c r="K237" i="6"/>
  <c r="K421" i="6" s="1"/>
  <c r="L237" i="6"/>
  <c r="L421" i="6" s="1"/>
  <c r="M237" i="6"/>
  <c r="M421" i="6" s="1"/>
  <c r="N237" i="6"/>
  <c r="N421" i="6" s="1"/>
  <c r="O237" i="6"/>
  <c r="O421" i="6" s="1"/>
  <c r="P237" i="6"/>
  <c r="P421" i="6" s="1"/>
  <c r="Q237" i="6"/>
  <c r="Q421" i="6" s="1"/>
  <c r="R237" i="6"/>
  <c r="R421" i="6" s="1"/>
  <c r="S237" i="6"/>
  <c r="S421" i="6" s="1"/>
  <c r="T237" i="6"/>
  <c r="T421" i="6" s="1"/>
  <c r="U237" i="6"/>
  <c r="U421" i="6" s="1"/>
  <c r="V237" i="6"/>
  <c r="V421" i="6" s="1"/>
  <c r="W237" i="6"/>
  <c r="W421" i="6" s="1"/>
  <c r="X237" i="6"/>
  <c r="X421" i="6" s="1"/>
  <c r="Y237" i="6"/>
  <c r="Y421" i="6" s="1"/>
  <c r="Z237" i="6"/>
  <c r="Z421" i="6" s="1"/>
  <c r="AA237" i="6"/>
  <c r="AA421" i="6" s="1"/>
  <c r="A238" i="6"/>
  <c r="A422" i="6" s="1"/>
  <c r="B238" i="6"/>
  <c r="B422" i="6" s="1"/>
  <c r="C238" i="6"/>
  <c r="C422" i="6" s="1"/>
  <c r="D238" i="6"/>
  <c r="D422" i="6" s="1"/>
  <c r="E238" i="6"/>
  <c r="E422" i="6" s="1"/>
  <c r="G238" i="6"/>
  <c r="G422" i="6" s="1"/>
  <c r="H238" i="6"/>
  <c r="H422" i="6" s="1"/>
  <c r="I238" i="6"/>
  <c r="I422" i="6" s="1"/>
  <c r="J238" i="6"/>
  <c r="J422" i="6" s="1"/>
  <c r="K238" i="6"/>
  <c r="K422" i="6" s="1"/>
  <c r="L238" i="6"/>
  <c r="L422" i="6" s="1"/>
  <c r="M238" i="6"/>
  <c r="M422" i="6" s="1"/>
  <c r="N238" i="6"/>
  <c r="N422" i="6" s="1"/>
  <c r="O238" i="6"/>
  <c r="O422" i="6" s="1"/>
  <c r="P238" i="6"/>
  <c r="P422" i="6" s="1"/>
  <c r="Q238" i="6"/>
  <c r="Q422" i="6" s="1"/>
  <c r="R238" i="6"/>
  <c r="R422" i="6" s="1"/>
  <c r="S238" i="6"/>
  <c r="S422" i="6" s="1"/>
  <c r="T238" i="6"/>
  <c r="T422" i="6" s="1"/>
  <c r="U238" i="6"/>
  <c r="U422" i="6" s="1"/>
  <c r="V238" i="6"/>
  <c r="V422" i="6" s="1"/>
  <c r="W238" i="6"/>
  <c r="W422" i="6" s="1"/>
  <c r="X238" i="6"/>
  <c r="X422" i="6" s="1"/>
  <c r="Y238" i="6"/>
  <c r="Y422" i="6" s="1"/>
  <c r="Z238" i="6"/>
  <c r="Z422" i="6" s="1"/>
  <c r="AA238" i="6"/>
  <c r="AA422" i="6" s="1"/>
  <c r="A239" i="6"/>
  <c r="A423" i="6" s="1"/>
  <c r="B239" i="6"/>
  <c r="B423" i="6" s="1"/>
  <c r="C239" i="6"/>
  <c r="C423" i="6" s="1"/>
  <c r="D239" i="6"/>
  <c r="D423" i="6" s="1"/>
  <c r="G239" i="6"/>
  <c r="G423" i="6" s="1"/>
  <c r="H239" i="6"/>
  <c r="H423" i="6" s="1"/>
  <c r="I239" i="6"/>
  <c r="I423" i="6" s="1"/>
  <c r="J239" i="6"/>
  <c r="J423" i="6" s="1"/>
  <c r="K239" i="6"/>
  <c r="K423" i="6" s="1"/>
  <c r="M239" i="6"/>
  <c r="M423" i="6" s="1"/>
  <c r="N239" i="6"/>
  <c r="N423" i="6" s="1"/>
  <c r="O239" i="6"/>
  <c r="O423" i="6" s="1"/>
  <c r="P239" i="6"/>
  <c r="P423" i="6" s="1"/>
  <c r="Q239" i="6"/>
  <c r="Q423" i="6" s="1"/>
  <c r="S239" i="6"/>
  <c r="S423" i="6" s="1"/>
  <c r="T239" i="6"/>
  <c r="T423" i="6" s="1"/>
  <c r="U239" i="6"/>
  <c r="U423" i="6" s="1"/>
  <c r="V239" i="6"/>
  <c r="V423" i="6" s="1"/>
  <c r="X239" i="6"/>
  <c r="X423" i="6" s="1"/>
  <c r="Y239" i="6"/>
  <c r="Y423" i="6" s="1"/>
  <c r="Z239" i="6"/>
  <c r="Z423" i="6" s="1"/>
  <c r="AA239" i="6"/>
  <c r="AA423" i="6" s="1"/>
  <c r="A240" i="6"/>
  <c r="A424" i="6" s="1"/>
  <c r="B240" i="6"/>
  <c r="B424" i="6" s="1"/>
  <c r="C240" i="6"/>
  <c r="C424" i="6" s="1"/>
  <c r="D240" i="6"/>
  <c r="D424" i="6" s="1"/>
  <c r="G240" i="6"/>
  <c r="G424" i="6" s="1"/>
  <c r="H240" i="6"/>
  <c r="H424" i="6" s="1"/>
  <c r="I240" i="6"/>
  <c r="I424" i="6" s="1"/>
  <c r="J240" i="6"/>
  <c r="J424" i="6" s="1"/>
  <c r="K240" i="6"/>
  <c r="K424" i="6" s="1"/>
  <c r="L240" i="6"/>
  <c r="L424" i="6" s="1"/>
  <c r="M240" i="6"/>
  <c r="M424" i="6" s="1"/>
  <c r="N240" i="6"/>
  <c r="N424" i="6" s="1"/>
  <c r="O240" i="6"/>
  <c r="O424" i="6" s="1"/>
  <c r="P240" i="6"/>
  <c r="P424" i="6" s="1"/>
  <c r="Q240" i="6"/>
  <c r="Q424" i="6" s="1"/>
  <c r="R240" i="6"/>
  <c r="R424" i="6" s="1"/>
  <c r="S240" i="6"/>
  <c r="S424" i="6" s="1"/>
  <c r="T240" i="6"/>
  <c r="T424" i="6" s="1"/>
  <c r="U240" i="6"/>
  <c r="U424" i="6" s="1"/>
  <c r="V240" i="6"/>
  <c r="V424" i="6" s="1"/>
  <c r="X240" i="6"/>
  <c r="X424" i="6" s="1"/>
  <c r="Y240" i="6"/>
  <c r="Y424" i="6" s="1"/>
  <c r="Z240" i="6"/>
  <c r="Z424" i="6" s="1"/>
  <c r="AA240" i="6"/>
  <c r="AA424" i="6" s="1"/>
  <c r="A241" i="6"/>
  <c r="A425" i="6" s="1"/>
  <c r="B241" i="6"/>
  <c r="B425" i="6" s="1"/>
  <c r="C241" i="6"/>
  <c r="C425" i="6" s="1"/>
  <c r="D241" i="6"/>
  <c r="D425" i="6" s="1"/>
  <c r="E241" i="6"/>
  <c r="F241" i="6"/>
  <c r="G241" i="6"/>
  <c r="G425" i="6" s="1"/>
  <c r="H241" i="6"/>
  <c r="H425" i="6" s="1"/>
  <c r="I241" i="6"/>
  <c r="I425" i="6" s="1"/>
  <c r="J241" i="6"/>
  <c r="J425" i="6" s="1"/>
  <c r="K241" i="6"/>
  <c r="K425" i="6" s="1"/>
  <c r="L241" i="6"/>
  <c r="L425" i="6" s="1"/>
  <c r="M241" i="6"/>
  <c r="M425" i="6" s="1"/>
  <c r="N241" i="6"/>
  <c r="N425" i="6" s="1"/>
  <c r="O241" i="6"/>
  <c r="P241" i="6"/>
  <c r="P425" i="6" s="1"/>
  <c r="Q241" i="6"/>
  <c r="Q425" i="6" s="1"/>
  <c r="R241" i="6"/>
  <c r="R425" i="6" s="1"/>
  <c r="S241" i="6"/>
  <c r="S425" i="6" s="1"/>
  <c r="T241" i="6"/>
  <c r="T425" i="6" s="1"/>
  <c r="U241" i="6"/>
  <c r="U425" i="6" s="1"/>
  <c r="V241" i="6"/>
  <c r="V425" i="6" s="1"/>
  <c r="W241" i="6"/>
  <c r="W425" i="6" s="1"/>
  <c r="Y425" i="6"/>
  <c r="Z241" i="6"/>
  <c r="Z425" i="6" s="1"/>
  <c r="AA241" i="6"/>
  <c r="AA425" i="6" s="1"/>
  <c r="A242" i="6"/>
  <c r="A426" i="6" s="1"/>
  <c r="B242" i="6"/>
  <c r="B426" i="6" s="1"/>
  <c r="C242" i="6"/>
  <c r="C426" i="6" s="1"/>
  <c r="D242" i="6"/>
  <c r="D426" i="6" s="1"/>
  <c r="E242" i="6"/>
  <c r="E426" i="6" s="1"/>
  <c r="F242" i="6"/>
  <c r="F426" i="6" s="1"/>
  <c r="G242" i="6"/>
  <c r="G426" i="6" s="1"/>
  <c r="H242" i="6"/>
  <c r="H426" i="6" s="1"/>
  <c r="I242" i="6"/>
  <c r="I426" i="6" s="1"/>
  <c r="J242" i="6"/>
  <c r="J426" i="6" s="1"/>
  <c r="K242" i="6"/>
  <c r="K426" i="6" s="1"/>
  <c r="L242" i="6"/>
  <c r="L426" i="6" s="1"/>
  <c r="M242" i="6"/>
  <c r="M426" i="6" s="1"/>
  <c r="N242" i="6"/>
  <c r="N426" i="6" s="1"/>
  <c r="O242" i="6"/>
  <c r="P242" i="6"/>
  <c r="P426" i="6" s="1"/>
  <c r="Q242" i="6"/>
  <c r="Q426" i="6" s="1"/>
  <c r="R242" i="6"/>
  <c r="R426" i="6" s="1"/>
  <c r="S242" i="6"/>
  <c r="S426" i="6" s="1"/>
  <c r="T242" i="6"/>
  <c r="T426" i="6" s="1"/>
  <c r="U242" i="6"/>
  <c r="U426" i="6" s="1"/>
  <c r="V242" i="6"/>
  <c r="V426" i="6" s="1"/>
  <c r="W242" i="6"/>
  <c r="W426" i="6" s="1"/>
  <c r="X242" i="6"/>
  <c r="X426" i="6" s="1"/>
  <c r="Y242" i="6"/>
  <c r="Y426" i="6" s="1"/>
  <c r="Z242" i="6"/>
  <c r="Z426" i="6" s="1"/>
  <c r="AA242" i="6"/>
  <c r="AA426" i="6" s="1"/>
  <c r="A243" i="6"/>
  <c r="A427" i="6" s="1"/>
  <c r="B243" i="6"/>
  <c r="B427" i="6" s="1"/>
  <c r="C243" i="6"/>
  <c r="C427" i="6" s="1"/>
  <c r="D243" i="6"/>
  <c r="D427" i="6" s="1"/>
  <c r="E243" i="6"/>
  <c r="E427" i="6" s="1"/>
  <c r="F243" i="6"/>
  <c r="F427" i="6" s="1"/>
  <c r="G243" i="6"/>
  <c r="G427" i="6" s="1"/>
  <c r="H243" i="6"/>
  <c r="H427" i="6" s="1"/>
  <c r="I243" i="6"/>
  <c r="I427" i="6" s="1"/>
  <c r="J243" i="6"/>
  <c r="J427" i="6" s="1"/>
  <c r="K243" i="6"/>
  <c r="K427" i="6" s="1"/>
  <c r="L243" i="6"/>
  <c r="L427" i="6" s="1"/>
  <c r="M243" i="6"/>
  <c r="M427" i="6" s="1"/>
  <c r="N243" i="6"/>
  <c r="N427" i="6" s="1"/>
  <c r="O243" i="6"/>
  <c r="O427" i="6" s="1"/>
  <c r="P243" i="6"/>
  <c r="P427" i="6" s="1"/>
  <c r="Q243" i="6"/>
  <c r="Q427" i="6" s="1"/>
  <c r="R243" i="6"/>
  <c r="R427" i="6" s="1"/>
  <c r="S243" i="6"/>
  <c r="S427" i="6" s="1"/>
  <c r="V243" i="6"/>
  <c r="V427" i="6" s="1"/>
  <c r="Z243" i="6"/>
  <c r="Z427" i="6" s="1"/>
  <c r="AA243" i="6"/>
  <c r="AA427" i="6" s="1"/>
  <c r="A244" i="6"/>
  <c r="A428" i="6" s="1"/>
  <c r="B244" i="6"/>
  <c r="B428" i="6" s="1"/>
  <c r="C244" i="6"/>
  <c r="C428" i="6" s="1"/>
  <c r="D244" i="6"/>
  <c r="D428" i="6" s="1"/>
  <c r="E244" i="6"/>
  <c r="E428" i="6" s="1"/>
  <c r="F244" i="6"/>
  <c r="F428" i="6" s="1"/>
  <c r="G244" i="6"/>
  <c r="G428" i="6" s="1"/>
  <c r="H244" i="6"/>
  <c r="H428" i="6" s="1"/>
  <c r="I244" i="6"/>
  <c r="I428" i="6" s="1"/>
  <c r="J244" i="6"/>
  <c r="J428" i="6" s="1"/>
  <c r="K244" i="6"/>
  <c r="K428" i="6" s="1"/>
  <c r="L244" i="6"/>
  <c r="L428" i="6" s="1"/>
  <c r="M244" i="6"/>
  <c r="M428" i="6" s="1"/>
  <c r="N244" i="6"/>
  <c r="N428" i="6" s="1"/>
  <c r="O244" i="6"/>
  <c r="O428" i="6" s="1"/>
  <c r="P428" i="6"/>
  <c r="S244" i="6"/>
  <c r="S428" i="6" s="1"/>
  <c r="T244" i="6"/>
  <c r="T428" i="6" s="1"/>
  <c r="U244" i="6"/>
  <c r="U428" i="6" s="1"/>
  <c r="V244" i="6"/>
  <c r="V428" i="6" s="1"/>
  <c r="Z244" i="6"/>
  <c r="Z428" i="6" s="1"/>
  <c r="AA244" i="6"/>
  <c r="AA428" i="6" s="1"/>
  <c r="A245" i="6"/>
  <c r="A429" i="6" s="1"/>
  <c r="B245" i="6"/>
  <c r="B429" i="6" s="1"/>
  <c r="C245" i="6"/>
  <c r="C429" i="6" s="1"/>
  <c r="D245" i="6"/>
  <c r="D429" i="6" s="1"/>
  <c r="E245" i="6"/>
  <c r="E429" i="6" s="1"/>
  <c r="F245" i="6"/>
  <c r="F429" i="6" s="1"/>
  <c r="G245" i="6"/>
  <c r="G429" i="6" s="1"/>
  <c r="H245" i="6"/>
  <c r="H429" i="6" s="1"/>
  <c r="I245" i="6"/>
  <c r="I429" i="6" s="1"/>
  <c r="J245" i="6"/>
  <c r="J429" i="6" s="1"/>
  <c r="K245" i="6"/>
  <c r="K429" i="6" s="1"/>
  <c r="L245" i="6"/>
  <c r="L429" i="6" s="1"/>
  <c r="M245" i="6"/>
  <c r="M429" i="6" s="1"/>
  <c r="N245" i="6"/>
  <c r="N429" i="6" s="1"/>
  <c r="O245" i="6"/>
  <c r="O429" i="6" s="1"/>
  <c r="P429" i="6"/>
  <c r="S245" i="6"/>
  <c r="S429" i="6" s="1"/>
  <c r="T245" i="6"/>
  <c r="T429" i="6" s="1"/>
  <c r="U245" i="6"/>
  <c r="U429" i="6" s="1"/>
  <c r="V245" i="6"/>
  <c r="V429" i="6" s="1"/>
  <c r="W245" i="6"/>
  <c r="W429" i="6" s="1"/>
  <c r="X245" i="6"/>
  <c r="X429" i="6" s="1"/>
  <c r="Y245" i="6"/>
  <c r="Y429" i="6" s="1"/>
  <c r="Z245" i="6"/>
  <c r="Z429" i="6" s="1"/>
  <c r="AA245" i="6"/>
  <c r="AA429" i="6" s="1"/>
  <c r="A246" i="6"/>
  <c r="A430" i="6" s="1"/>
  <c r="B246" i="6"/>
  <c r="B430" i="6" s="1"/>
  <c r="C246" i="6"/>
  <c r="C430" i="6" s="1"/>
  <c r="D246" i="6"/>
  <c r="D430" i="6" s="1"/>
  <c r="E246" i="6"/>
  <c r="E430" i="6" s="1"/>
  <c r="F246" i="6"/>
  <c r="F430" i="6" s="1"/>
  <c r="G246" i="6"/>
  <c r="G430" i="6" s="1"/>
  <c r="H246" i="6"/>
  <c r="H430" i="6" s="1"/>
  <c r="I246" i="6"/>
  <c r="I430" i="6" s="1"/>
  <c r="J246" i="6"/>
  <c r="J430" i="6" s="1"/>
  <c r="K246" i="6"/>
  <c r="K430" i="6" s="1"/>
  <c r="L246" i="6"/>
  <c r="L430" i="6" s="1"/>
  <c r="M246" i="6"/>
  <c r="M430" i="6" s="1"/>
  <c r="N246" i="6"/>
  <c r="N430" i="6" s="1"/>
  <c r="O246" i="6"/>
  <c r="O430" i="6" s="1"/>
  <c r="Q246" i="6"/>
  <c r="Q430" i="6" s="1"/>
  <c r="S246" i="6"/>
  <c r="S430" i="6" s="1"/>
  <c r="T246" i="6"/>
  <c r="T430" i="6" s="1"/>
  <c r="V246" i="6"/>
  <c r="V430" i="6" s="1"/>
  <c r="Z246" i="6"/>
  <c r="Z430" i="6" s="1"/>
  <c r="AA246" i="6"/>
  <c r="AA430" i="6" s="1"/>
  <c r="A247" i="6"/>
  <c r="A431" i="6" s="1"/>
  <c r="B247" i="6"/>
  <c r="B431" i="6" s="1"/>
  <c r="C247" i="6"/>
  <c r="C431" i="6" s="1"/>
  <c r="D247" i="6"/>
  <c r="D431" i="6" s="1"/>
  <c r="E247" i="6"/>
  <c r="E431" i="6" s="1"/>
  <c r="F247" i="6"/>
  <c r="F431" i="6" s="1"/>
  <c r="G247" i="6"/>
  <c r="G431" i="6" s="1"/>
  <c r="H247" i="6"/>
  <c r="H431" i="6" s="1"/>
  <c r="I247" i="6"/>
  <c r="I431" i="6" s="1"/>
  <c r="J247" i="6"/>
  <c r="J431" i="6" s="1"/>
  <c r="K247" i="6"/>
  <c r="K431" i="6" s="1"/>
  <c r="L247" i="6"/>
  <c r="L431" i="6" s="1"/>
  <c r="M247" i="6"/>
  <c r="M431" i="6" s="1"/>
  <c r="N247" i="6"/>
  <c r="N431" i="6" s="1"/>
  <c r="O247" i="6"/>
  <c r="O431" i="6" s="1"/>
  <c r="P247" i="6"/>
  <c r="P431" i="6" s="1"/>
  <c r="Q247" i="6"/>
  <c r="Q431" i="6" s="1"/>
  <c r="S247" i="6"/>
  <c r="S431" i="6" s="1"/>
  <c r="T247" i="6"/>
  <c r="T431" i="6" s="1"/>
  <c r="U247" i="6"/>
  <c r="U431" i="6" s="1"/>
  <c r="V247" i="6"/>
  <c r="V431" i="6" s="1"/>
  <c r="Z247" i="6"/>
  <c r="Z431" i="6" s="1"/>
  <c r="AA247" i="6"/>
  <c r="AA431" i="6" s="1"/>
  <c r="A248" i="6"/>
  <c r="A432" i="6" s="1"/>
  <c r="B248" i="6"/>
  <c r="B432" i="6" s="1"/>
  <c r="C248" i="6"/>
  <c r="C432" i="6" s="1"/>
  <c r="D248" i="6"/>
  <c r="D432" i="6" s="1"/>
  <c r="E248" i="6"/>
  <c r="E432" i="6" s="1"/>
  <c r="F248" i="6"/>
  <c r="F432" i="6" s="1"/>
  <c r="G248" i="6"/>
  <c r="G432" i="6" s="1"/>
  <c r="H248" i="6"/>
  <c r="H432" i="6" s="1"/>
  <c r="I248" i="6"/>
  <c r="I432" i="6" s="1"/>
  <c r="J248" i="6"/>
  <c r="J432" i="6" s="1"/>
  <c r="K248" i="6"/>
  <c r="K432" i="6" s="1"/>
  <c r="L248" i="6"/>
  <c r="L432" i="6" s="1"/>
  <c r="M248" i="6"/>
  <c r="M432" i="6" s="1"/>
  <c r="N248" i="6"/>
  <c r="N432" i="6" s="1"/>
  <c r="O248" i="6"/>
  <c r="O432" i="6" s="1"/>
  <c r="P248" i="6"/>
  <c r="P432" i="6" s="1"/>
  <c r="Q248" i="6"/>
  <c r="Q432" i="6" s="1"/>
  <c r="R248" i="6"/>
  <c r="R432" i="6" s="1"/>
  <c r="S248" i="6"/>
  <c r="S432" i="6" s="1"/>
  <c r="T248" i="6"/>
  <c r="T432" i="6" s="1"/>
  <c r="U248" i="6"/>
  <c r="U432" i="6" s="1"/>
  <c r="V248" i="6"/>
  <c r="V432" i="6" s="1"/>
  <c r="W248" i="6"/>
  <c r="W432" i="6" s="1"/>
  <c r="X248" i="6"/>
  <c r="X432" i="6" s="1"/>
  <c r="Y248" i="6"/>
  <c r="Y432" i="6" s="1"/>
  <c r="Z248" i="6"/>
  <c r="Z432" i="6" s="1"/>
  <c r="AA248" i="6"/>
  <c r="AA432" i="6" s="1"/>
  <c r="A249" i="6"/>
  <c r="A433" i="6" s="1"/>
  <c r="B249" i="6"/>
  <c r="B433" i="6" s="1"/>
  <c r="C249" i="6"/>
  <c r="C433" i="6" s="1"/>
  <c r="D249" i="6"/>
  <c r="D433" i="6" s="1"/>
  <c r="E249" i="6"/>
  <c r="E433" i="6" s="1"/>
  <c r="F249" i="6"/>
  <c r="F433" i="6" s="1"/>
  <c r="G249" i="6"/>
  <c r="G433" i="6" s="1"/>
  <c r="H249" i="6"/>
  <c r="H433" i="6" s="1"/>
  <c r="I249" i="6"/>
  <c r="I433" i="6" s="1"/>
  <c r="J249" i="6"/>
  <c r="J433" i="6" s="1"/>
  <c r="K249" i="6"/>
  <c r="K433" i="6" s="1"/>
  <c r="L249" i="6"/>
  <c r="L433" i="6" s="1"/>
  <c r="M249" i="6"/>
  <c r="M433" i="6" s="1"/>
  <c r="P249" i="6"/>
  <c r="P433" i="6" s="1"/>
  <c r="Q249" i="6"/>
  <c r="Q433" i="6" s="1"/>
  <c r="R249" i="6"/>
  <c r="R433" i="6" s="1"/>
  <c r="S249" i="6"/>
  <c r="S433" i="6" s="1"/>
  <c r="V249" i="6"/>
  <c r="V433" i="6" s="1"/>
  <c r="Z249" i="6"/>
  <c r="Z433" i="6" s="1"/>
  <c r="AA249" i="6"/>
  <c r="AA433" i="6" s="1"/>
  <c r="A250" i="6"/>
  <c r="A434" i="6" s="1"/>
  <c r="B250" i="6"/>
  <c r="B434" i="6" s="1"/>
  <c r="C250" i="6"/>
  <c r="C434" i="6" s="1"/>
  <c r="D250" i="6"/>
  <c r="D434" i="6" s="1"/>
  <c r="E250" i="6"/>
  <c r="E434" i="6" s="1"/>
  <c r="F250" i="6"/>
  <c r="F434" i="6" s="1"/>
  <c r="G250" i="6"/>
  <c r="G434" i="6" s="1"/>
  <c r="H250" i="6"/>
  <c r="H434" i="6" s="1"/>
  <c r="I250" i="6"/>
  <c r="I434" i="6" s="1"/>
  <c r="J250" i="6"/>
  <c r="J434" i="6" s="1"/>
  <c r="K250" i="6"/>
  <c r="K434" i="6" s="1"/>
  <c r="L250" i="6"/>
  <c r="L434" i="6" s="1"/>
  <c r="M250" i="6"/>
  <c r="M434" i="6" s="1"/>
  <c r="P250" i="6"/>
  <c r="P434" i="6" s="1"/>
  <c r="Q250" i="6"/>
  <c r="Q434" i="6" s="1"/>
  <c r="R250" i="6"/>
  <c r="R434" i="6" s="1"/>
  <c r="S250" i="6"/>
  <c r="S434" i="6" s="1"/>
  <c r="T250" i="6"/>
  <c r="T434" i="6" s="1"/>
  <c r="U250" i="6"/>
  <c r="U434" i="6" s="1"/>
  <c r="V250" i="6"/>
  <c r="V434" i="6" s="1"/>
  <c r="Z250" i="6"/>
  <c r="Z434" i="6" s="1"/>
  <c r="AA250" i="6"/>
  <c r="AA434" i="6" s="1"/>
  <c r="A251" i="6"/>
  <c r="A435" i="6" s="1"/>
  <c r="B251" i="6"/>
  <c r="B435" i="6" s="1"/>
  <c r="C251" i="6"/>
  <c r="C435" i="6" s="1"/>
  <c r="D251" i="6"/>
  <c r="D435" i="6" s="1"/>
  <c r="E251" i="6"/>
  <c r="E435" i="6" s="1"/>
  <c r="F251" i="6"/>
  <c r="F435" i="6" s="1"/>
  <c r="G251" i="6"/>
  <c r="G435" i="6" s="1"/>
  <c r="H251" i="6"/>
  <c r="H435" i="6" s="1"/>
  <c r="N251" i="6"/>
  <c r="N435" i="6" s="1"/>
  <c r="P251" i="6"/>
  <c r="P435" i="6" s="1"/>
  <c r="Q251" i="6"/>
  <c r="Q435" i="6" s="1"/>
  <c r="R251" i="6"/>
  <c r="R435" i="6" s="1"/>
  <c r="S251" i="6"/>
  <c r="S435" i="6" s="1"/>
  <c r="T251" i="6"/>
  <c r="T435" i="6" s="1"/>
  <c r="U251" i="6"/>
  <c r="U435" i="6" s="1"/>
  <c r="V251" i="6"/>
  <c r="V435" i="6" s="1"/>
  <c r="W251" i="6"/>
  <c r="W435" i="6" s="1"/>
  <c r="X251" i="6"/>
  <c r="X435" i="6" s="1"/>
  <c r="Y251" i="6"/>
  <c r="Y435" i="6" s="1"/>
  <c r="Z251" i="6"/>
  <c r="Z435" i="6" s="1"/>
  <c r="AA251" i="6"/>
  <c r="AA435" i="6" s="1"/>
  <c r="A252" i="6"/>
  <c r="A436" i="6" s="1"/>
  <c r="B252" i="6"/>
  <c r="B436" i="6" s="1"/>
  <c r="C252" i="6"/>
  <c r="C436" i="6" s="1"/>
  <c r="D252" i="6"/>
  <c r="D436" i="6" s="1"/>
  <c r="E252" i="6"/>
  <c r="E436" i="6" s="1"/>
  <c r="F252" i="6"/>
  <c r="F436" i="6" s="1"/>
  <c r="G252" i="6"/>
  <c r="G436" i="6" s="1"/>
  <c r="H252" i="6"/>
  <c r="H436" i="6" s="1"/>
  <c r="I252" i="6"/>
  <c r="I436" i="6" s="1"/>
  <c r="J252" i="6"/>
  <c r="J436" i="6" s="1"/>
  <c r="K252" i="6"/>
  <c r="K436" i="6" s="1"/>
  <c r="L252" i="6"/>
  <c r="L436" i="6" s="1"/>
  <c r="N252" i="6"/>
  <c r="N436" i="6" s="1"/>
  <c r="P252" i="6"/>
  <c r="P436" i="6" s="1"/>
  <c r="Q252" i="6"/>
  <c r="Q436" i="6" s="1"/>
  <c r="R252" i="6"/>
  <c r="R436" i="6" s="1"/>
  <c r="S252" i="6"/>
  <c r="S436" i="6" s="1"/>
  <c r="T252" i="6"/>
  <c r="T436" i="6" s="1"/>
  <c r="U252" i="6"/>
  <c r="U436" i="6" s="1"/>
  <c r="V252" i="6"/>
  <c r="V436" i="6" s="1"/>
  <c r="W252" i="6"/>
  <c r="W436" i="6" s="1"/>
  <c r="Y436" i="6"/>
  <c r="Z252" i="6"/>
  <c r="Z436" i="6" s="1"/>
  <c r="AA252" i="6"/>
  <c r="AA436" i="6" s="1"/>
  <c r="A253" i="6"/>
  <c r="A437" i="6" s="1"/>
  <c r="B253" i="6"/>
  <c r="B437" i="6" s="1"/>
  <c r="C253" i="6"/>
  <c r="C437" i="6" s="1"/>
  <c r="D253" i="6"/>
  <c r="D437" i="6" s="1"/>
  <c r="E253" i="6"/>
  <c r="E437" i="6" s="1"/>
  <c r="F253" i="6"/>
  <c r="F437" i="6" s="1"/>
  <c r="G253" i="6"/>
  <c r="G437" i="6" s="1"/>
  <c r="H253" i="6"/>
  <c r="H437" i="6" s="1"/>
  <c r="I253" i="6"/>
  <c r="I437" i="6" s="1"/>
  <c r="J253" i="6"/>
  <c r="J437" i="6" s="1"/>
  <c r="K253" i="6"/>
  <c r="K437" i="6" s="1"/>
  <c r="L253" i="6"/>
  <c r="L437" i="6" s="1"/>
  <c r="M253" i="6"/>
  <c r="M437" i="6" s="1"/>
  <c r="N253" i="6"/>
  <c r="P253" i="6"/>
  <c r="P437" i="6" s="1"/>
  <c r="Q253" i="6"/>
  <c r="Q437" i="6" s="1"/>
  <c r="R253" i="6"/>
  <c r="R437" i="6" s="1"/>
  <c r="S253" i="6"/>
  <c r="S437" i="6" s="1"/>
  <c r="T253" i="6"/>
  <c r="T437" i="6" s="1"/>
  <c r="U253" i="6"/>
  <c r="U437" i="6" s="1"/>
  <c r="V253" i="6"/>
  <c r="V437" i="6" s="1"/>
  <c r="W253" i="6"/>
  <c r="W437" i="6" s="1"/>
  <c r="X253" i="6"/>
  <c r="X437" i="6" s="1"/>
  <c r="Y253" i="6"/>
  <c r="Y437" i="6" s="1"/>
  <c r="Z253" i="6"/>
  <c r="Z437" i="6" s="1"/>
  <c r="AA253" i="6"/>
  <c r="AA437" i="6" s="1"/>
  <c r="A254" i="6"/>
  <c r="A438" i="6" s="1"/>
  <c r="B254" i="6"/>
  <c r="B438" i="6" s="1"/>
  <c r="C254" i="6"/>
  <c r="C438" i="6" s="1"/>
  <c r="D254" i="6"/>
  <c r="D438" i="6" s="1"/>
  <c r="E254" i="6"/>
  <c r="E438" i="6" s="1"/>
  <c r="F254" i="6"/>
  <c r="F438" i="6" s="1"/>
  <c r="G254" i="6"/>
  <c r="G438" i="6" s="1"/>
  <c r="H254" i="6"/>
  <c r="H438" i="6" s="1"/>
  <c r="I254" i="6"/>
  <c r="I438" i="6" s="1"/>
  <c r="J254" i="6"/>
  <c r="J438" i="6" s="1"/>
  <c r="M254" i="6"/>
  <c r="M438" i="6" s="1"/>
  <c r="N254" i="6"/>
  <c r="P254" i="6"/>
  <c r="P438" i="6" s="1"/>
  <c r="Q254" i="6"/>
  <c r="Q438" i="6" s="1"/>
  <c r="R254" i="6"/>
  <c r="R438" i="6" s="1"/>
  <c r="S254" i="6"/>
  <c r="S438" i="6" s="1"/>
  <c r="T254" i="6"/>
  <c r="T438" i="6" s="1"/>
  <c r="V254" i="6"/>
  <c r="V438" i="6" s="1"/>
  <c r="Z254" i="6"/>
  <c r="Z438" i="6" s="1"/>
  <c r="AA254" i="6"/>
  <c r="AA438" i="6" s="1"/>
  <c r="A255" i="6"/>
  <c r="A439" i="6" s="1"/>
  <c r="B255" i="6"/>
  <c r="B439" i="6" s="1"/>
  <c r="C255" i="6"/>
  <c r="C439" i="6" s="1"/>
  <c r="D255" i="6"/>
  <c r="D439" i="6" s="1"/>
  <c r="E255" i="6"/>
  <c r="E439" i="6" s="1"/>
  <c r="F255" i="6"/>
  <c r="F439" i="6" s="1"/>
  <c r="G255" i="6"/>
  <c r="G439" i="6" s="1"/>
  <c r="H255" i="6"/>
  <c r="H439" i="6" s="1"/>
  <c r="I255" i="6"/>
  <c r="I439" i="6" s="1"/>
  <c r="J255" i="6"/>
  <c r="J439" i="6" s="1"/>
  <c r="M255" i="6"/>
  <c r="M439" i="6" s="1"/>
  <c r="N255" i="6"/>
  <c r="N439" i="6" s="1"/>
  <c r="O255" i="6"/>
  <c r="O439" i="6" s="1"/>
  <c r="P255" i="6"/>
  <c r="P439" i="6" s="1"/>
  <c r="Q255" i="6"/>
  <c r="Q439" i="6" s="1"/>
  <c r="R255" i="6"/>
  <c r="R439" i="6" s="1"/>
  <c r="S255" i="6"/>
  <c r="S439" i="6" s="1"/>
  <c r="T255" i="6"/>
  <c r="T439" i="6" s="1"/>
  <c r="U255" i="6"/>
  <c r="U439" i="6" s="1"/>
  <c r="V255" i="6"/>
  <c r="V439" i="6" s="1"/>
  <c r="Z255" i="6"/>
  <c r="Z439" i="6" s="1"/>
  <c r="AA255" i="6"/>
  <c r="AA439" i="6" s="1"/>
  <c r="A256" i="6"/>
  <c r="A440" i="6" s="1"/>
  <c r="B256" i="6"/>
  <c r="B440" i="6" s="1"/>
  <c r="C256" i="6"/>
  <c r="C440" i="6" s="1"/>
  <c r="D256" i="6"/>
  <c r="D440" i="6" s="1"/>
  <c r="E256" i="6"/>
  <c r="E440" i="6" s="1"/>
  <c r="F256" i="6"/>
  <c r="F440" i="6" s="1"/>
  <c r="G256" i="6"/>
  <c r="G440" i="6" s="1"/>
  <c r="H256" i="6"/>
  <c r="H440" i="6" s="1"/>
  <c r="K256" i="6"/>
  <c r="K440" i="6" s="1"/>
  <c r="M256" i="6"/>
  <c r="M440" i="6" s="1"/>
  <c r="N256" i="6"/>
  <c r="N440" i="6" s="1"/>
  <c r="O256" i="6"/>
  <c r="O440" i="6" s="1"/>
  <c r="P256" i="6"/>
  <c r="P440" i="6" s="1"/>
  <c r="Q256" i="6"/>
  <c r="Q440" i="6" s="1"/>
  <c r="R256" i="6"/>
  <c r="R440" i="6" s="1"/>
  <c r="S256" i="6"/>
  <c r="S440" i="6" s="1"/>
  <c r="T256" i="6"/>
  <c r="T440" i="6" s="1"/>
  <c r="U256" i="6"/>
  <c r="U440" i="6" s="1"/>
  <c r="V256" i="6"/>
  <c r="V440" i="6" s="1"/>
  <c r="Z256" i="6"/>
  <c r="Z440" i="6" s="1"/>
  <c r="AA256" i="6"/>
  <c r="AA440" i="6" s="1"/>
  <c r="A257" i="6"/>
  <c r="A441" i="6" s="1"/>
  <c r="B257" i="6"/>
  <c r="B441" i="6" s="1"/>
  <c r="C257" i="6"/>
  <c r="C441" i="6" s="1"/>
  <c r="D257" i="6"/>
  <c r="D441" i="6" s="1"/>
  <c r="E257" i="6"/>
  <c r="E441" i="6" s="1"/>
  <c r="F257" i="6"/>
  <c r="F441" i="6" s="1"/>
  <c r="G257" i="6"/>
  <c r="G441" i="6" s="1"/>
  <c r="H257" i="6"/>
  <c r="H441" i="6" s="1"/>
  <c r="I257" i="6"/>
  <c r="I441" i="6" s="1"/>
  <c r="J257" i="6"/>
  <c r="J441" i="6" s="1"/>
  <c r="K257" i="6"/>
  <c r="K441" i="6" s="1"/>
  <c r="M257" i="6"/>
  <c r="M441" i="6" s="1"/>
  <c r="N257" i="6"/>
  <c r="N441" i="6" s="1"/>
  <c r="O257" i="6"/>
  <c r="O441" i="6" s="1"/>
  <c r="P257" i="6"/>
  <c r="P441" i="6" s="1"/>
  <c r="Q257" i="6"/>
  <c r="Q441" i="6" s="1"/>
  <c r="S257" i="6"/>
  <c r="S441" i="6" s="1"/>
  <c r="T257" i="6"/>
  <c r="T441" i="6" s="1"/>
  <c r="U257" i="6"/>
  <c r="U441" i="6" s="1"/>
  <c r="V257" i="6"/>
  <c r="V441" i="6" s="1"/>
  <c r="Z257" i="6"/>
  <c r="Z441" i="6" s="1"/>
  <c r="AA257" i="6"/>
  <c r="AA441" i="6" s="1"/>
  <c r="A258" i="6"/>
  <c r="A442" i="6" s="1"/>
  <c r="B258" i="6"/>
  <c r="B442" i="6" s="1"/>
  <c r="C258" i="6"/>
  <c r="C442" i="6" s="1"/>
  <c r="D258" i="6"/>
  <c r="D442" i="6" s="1"/>
  <c r="E258" i="6"/>
  <c r="E442" i="6" s="1"/>
  <c r="F258" i="6"/>
  <c r="F442" i="6" s="1"/>
  <c r="G258" i="6"/>
  <c r="G442" i="6" s="1"/>
  <c r="H258" i="6"/>
  <c r="H442" i="6" s="1"/>
  <c r="I258" i="6"/>
  <c r="I442" i="6" s="1"/>
  <c r="J258" i="6"/>
  <c r="J442" i="6" s="1"/>
  <c r="K258" i="6"/>
  <c r="K442" i="6" s="1"/>
  <c r="L258" i="6"/>
  <c r="L442" i="6" s="1"/>
  <c r="M442" i="6"/>
  <c r="N442" i="6"/>
  <c r="O442" i="6"/>
  <c r="Q258" i="6"/>
  <c r="Q442" i="6" s="1"/>
  <c r="S258" i="6"/>
  <c r="S442" i="6" s="1"/>
  <c r="T258" i="6"/>
  <c r="T442" i="6" s="1"/>
  <c r="U258" i="6"/>
  <c r="U442" i="6" s="1"/>
  <c r="V258" i="6"/>
  <c r="V442" i="6" s="1"/>
  <c r="Z258" i="6"/>
  <c r="Z442" i="6" s="1"/>
  <c r="AA258" i="6"/>
  <c r="AA442" i="6" s="1"/>
  <c r="A259" i="6"/>
  <c r="A443" i="6" s="1"/>
  <c r="B259" i="6"/>
  <c r="B443" i="6" s="1"/>
  <c r="C259" i="6"/>
  <c r="C443" i="6" s="1"/>
  <c r="D259" i="6"/>
  <c r="D443" i="6" s="1"/>
  <c r="E259" i="6"/>
  <c r="E443" i="6" s="1"/>
  <c r="F259" i="6"/>
  <c r="F443" i="6" s="1"/>
  <c r="G259" i="6"/>
  <c r="G443" i="6" s="1"/>
  <c r="H259" i="6"/>
  <c r="H443" i="6" s="1"/>
  <c r="I259" i="6"/>
  <c r="I443" i="6" s="1"/>
  <c r="J259" i="6"/>
  <c r="J443" i="6" s="1"/>
  <c r="K259" i="6"/>
  <c r="K443" i="6" s="1"/>
  <c r="L259" i="6"/>
  <c r="L443" i="6" s="1"/>
  <c r="M259" i="6"/>
  <c r="M443" i="6" s="1"/>
  <c r="N259" i="6"/>
  <c r="N443" i="6" s="1"/>
  <c r="Q259" i="6"/>
  <c r="Q443" i="6" s="1"/>
  <c r="R259" i="6"/>
  <c r="R443" i="6" s="1"/>
  <c r="S259" i="6"/>
  <c r="S443" i="6" s="1"/>
  <c r="T259" i="6"/>
  <c r="T443" i="6" s="1"/>
  <c r="U259" i="6"/>
  <c r="U443" i="6" s="1"/>
  <c r="V259" i="6"/>
  <c r="V443" i="6" s="1"/>
  <c r="Z259" i="6"/>
  <c r="Z443" i="6" s="1"/>
  <c r="AA259" i="6"/>
  <c r="AA443" i="6" s="1"/>
  <c r="A260" i="6"/>
  <c r="A444" i="6" s="1"/>
  <c r="B260" i="6"/>
  <c r="B444" i="6" s="1"/>
  <c r="C260" i="6"/>
  <c r="C444" i="6" s="1"/>
  <c r="D260" i="6"/>
  <c r="D444" i="6" s="1"/>
  <c r="E260" i="6"/>
  <c r="E444" i="6" s="1"/>
  <c r="F260" i="6"/>
  <c r="F444" i="6" s="1"/>
  <c r="G260" i="6"/>
  <c r="G444" i="6" s="1"/>
  <c r="H260" i="6"/>
  <c r="H444" i="6" s="1"/>
  <c r="I260" i="6"/>
  <c r="I444" i="6" s="1"/>
  <c r="J260" i="6"/>
  <c r="J444" i="6" s="1"/>
  <c r="K260" i="6"/>
  <c r="K444" i="6" s="1"/>
  <c r="L260" i="6"/>
  <c r="L444" i="6" s="1"/>
  <c r="M260" i="6"/>
  <c r="M444" i="6" s="1"/>
  <c r="N260" i="6"/>
  <c r="N444" i="6" s="1"/>
  <c r="O260" i="6"/>
  <c r="O444" i="6" s="1"/>
  <c r="P260" i="6"/>
  <c r="P444" i="6" s="1"/>
  <c r="Q260" i="6"/>
  <c r="Q444" i="6" s="1"/>
  <c r="R260" i="6"/>
  <c r="R444" i="6" s="1"/>
  <c r="S260" i="6"/>
  <c r="S444" i="6" s="1"/>
  <c r="T260" i="6"/>
  <c r="T444" i="6" s="1"/>
  <c r="V260" i="6"/>
  <c r="V444" i="6" s="1"/>
  <c r="Z260" i="6"/>
  <c r="Z444" i="6" s="1"/>
  <c r="AA260" i="6"/>
  <c r="AA444" i="6" s="1"/>
  <c r="A261" i="6"/>
  <c r="A445" i="6" s="1"/>
  <c r="B261" i="6"/>
  <c r="B445" i="6" s="1"/>
  <c r="C261" i="6"/>
  <c r="C445" i="6" s="1"/>
  <c r="D261" i="6"/>
  <c r="D445" i="6" s="1"/>
  <c r="E261" i="6"/>
  <c r="E445" i="6" s="1"/>
  <c r="F261" i="6"/>
  <c r="F445" i="6" s="1"/>
  <c r="G261" i="6"/>
  <c r="G445" i="6" s="1"/>
  <c r="H261" i="6"/>
  <c r="H445" i="6" s="1"/>
  <c r="I261" i="6"/>
  <c r="I445" i="6" s="1"/>
  <c r="J261" i="6"/>
  <c r="J445" i="6" s="1"/>
  <c r="K261" i="6"/>
  <c r="K445" i="6" s="1"/>
  <c r="L261" i="6"/>
  <c r="L445" i="6" s="1"/>
  <c r="M261" i="6"/>
  <c r="M445" i="6" s="1"/>
  <c r="N261" i="6"/>
  <c r="N445" i="6" s="1"/>
  <c r="O261" i="6"/>
  <c r="O445" i="6" s="1"/>
  <c r="P261" i="6"/>
  <c r="P445" i="6" s="1"/>
  <c r="Q261" i="6"/>
  <c r="Q445" i="6" s="1"/>
  <c r="R261" i="6"/>
  <c r="R445" i="6" s="1"/>
  <c r="S261" i="6"/>
  <c r="S445" i="6" s="1"/>
  <c r="T261" i="6"/>
  <c r="T445" i="6" s="1"/>
  <c r="U261" i="6"/>
  <c r="U445" i="6" s="1"/>
  <c r="V261" i="6"/>
  <c r="V445" i="6" s="1"/>
  <c r="Z261" i="6"/>
  <c r="Z445" i="6" s="1"/>
  <c r="AA261" i="6"/>
  <c r="AA445" i="6" s="1"/>
  <c r="A262" i="6"/>
  <c r="A446" i="6" s="1"/>
  <c r="B262" i="6"/>
  <c r="B446" i="6" s="1"/>
  <c r="C262" i="6"/>
  <c r="C446" i="6" s="1"/>
  <c r="D262" i="6"/>
  <c r="D446" i="6" s="1"/>
  <c r="E262" i="6"/>
  <c r="E446" i="6" s="1"/>
  <c r="F262" i="6"/>
  <c r="F446" i="6" s="1"/>
  <c r="G262" i="6"/>
  <c r="G446" i="6" s="1"/>
  <c r="H262" i="6"/>
  <c r="H446" i="6" s="1"/>
  <c r="J262" i="6"/>
  <c r="J446" i="6" s="1"/>
  <c r="K262" i="6"/>
  <c r="K446" i="6" s="1"/>
  <c r="L262" i="6"/>
  <c r="L446" i="6" s="1"/>
  <c r="N262" i="6"/>
  <c r="N446" i="6" s="1"/>
  <c r="O262" i="6"/>
  <c r="O446" i="6" s="1"/>
  <c r="P262" i="6"/>
  <c r="P446" i="6" s="1"/>
  <c r="Q262" i="6"/>
  <c r="Q446" i="6" s="1"/>
  <c r="R262" i="6"/>
  <c r="R446" i="6" s="1"/>
  <c r="S262" i="6"/>
  <c r="S446" i="6" s="1"/>
  <c r="T262" i="6"/>
  <c r="T446" i="6" s="1"/>
  <c r="U262" i="6"/>
  <c r="U446" i="6" s="1"/>
  <c r="V262" i="6"/>
  <c r="V446" i="6" s="1"/>
  <c r="Z262" i="6"/>
  <c r="Z446" i="6" s="1"/>
  <c r="AA262" i="6"/>
  <c r="AA446" i="6" s="1"/>
  <c r="A263" i="6"/>
  <c r="A447" i="6" s="1"/>
  <c r="B263" i="6"/>
  <c r="B447" i="6" s="1"/>
  <c r="C263" i="6"/>
  <c r="C447" i="6" s="1"/>
  <c r="D263" i="6"/>
  <c r="D447" i="6" s="1"/>
  <c r="E447" i="6"/>
  <c r="H263" i="6"/>
  <c r="H447" i="6" s="1"/>
  <c r="J263" i="6"/>
  <c r="J447" i="6" s="1"/>
  <c r="K263" i="6"/>
  <c r="K447" i="6" s="1"/>
  <c r="L263" i="6"/>
  <c r="L447" i="6" s="1"/>
  <c r="M263" i="6"/>
  <c r="M447" i="6" s="1"/>
  <c r="N263" i="6"/>
  <c r="N447" i="6" s="1"/>
  <c r="O263" i="6"/>
  <c r="O447" i="6" s="1"/>
  <c r="P263" i="6"/>
  <c r="P447" i="6" s="1"/>
  <c r="Q263" i="6"/>
  <c r="Q447" i="6" s="1"/>
  <c r="R263" i="6"/>
  <c r="R447" i="6" s="1"/>
  <c r="S263" i="6"/>
  <c r="S447" i="6" s="1"/>
  <c r="T263" i="6"/>
  <c r="T447" i="6" s="1"/>
  <c r="U263" i="6"/>
  <c r="U447" i="6" s="1"/>
  <c r="V263" i="6"/>
  <c r="V447" i="6" s="1"/>
  <c r="W263" i="6"/>
  <c r="W447" i="6" s="1"/>
  <c r="X263" i="6"/>
  <c r="X447" i="6" s="1"/>
  <c r="Y263" i="6"/>
  <c r="Y447" i="6" s="1"/>
  <c r="Z263" i="6"/>
  <c r="Z447" i="6" s="1"/>
  <c r="AA263" i="6"/>
  <c r="AA447" i="6" s="1"/>
  <c r="A264" i="6"/>
  <c r="A448" i="6" s="1"/>
  <c r="B264" i="6"/>
  <c r="B448" i="6" s="1"/>
  <c r="C264" i="6"/>
  <c r="C448" i="6" s="1"/>
  <c r="D264" i="6"/>
  <c r="D448" i="6" s="1"/>
  <c r="E264" i="6"/>
  <c r="E448" i="6" s="1"/>
  <c r="F264" i="6"/>
  <c r="F448" i="6" s="1"/>
  <c r="G448" i="6"/>
  <c r="J264" i="6"/>
  <c r="J448" i="6" s="1"/>
  <c r="K264" i="6"/>
  <c r="K448" i="6" s="1"/>
  <c r="L264" i="6"/>
  <c r="L448" i="6" s="1"/>
  <c r="M264" i="6"/>
  <c r="M448" i="6" s="1"/>
  <c r="N264" i="6"/>
  <c r="N448" i="6" s="1"/>
  <c r="O264" i="6"/>
  <c r="O448" i="6" s="1"/>
  <c r="P264" i="6"/>
  <c r="P448" i="6" s="1"/>
  <c r="Q264" i="6"/>
  <c r="Q448" i="6" s="1"/>
  <c r="R264" i="6"/>
  <c r="R448" i="6" s="1"/>
  <c r="S264" i="6"/>
  <c r="S448" i="6" s="1"/>
  <c r="T264" i="6"/>
  <c r="T448" i="6" s="1"/>
  <c r="U264" i="6"/>
  <c r="U448" i="6" s="1"/>
  <c r="V264" i="6"/>
  <c r="V448" i="6" s="1"/>
  <c r="W264" i="6"/>
  <c r="W448" i="6" s="1"/>
  <c r="X264" i="6"/>
  <c r="X448" i="6" s="1"/>
  <c r="Y264" i="6"/>
  <c r="Y448" i="6" s="1"/>
  <c r="Z264" i="6"/>
  <c r="Z448" i="6" s="1"/>
  <c r="AA264" i="6"/>
  <c r="AA448" i="6" s="1"/>
  <c r="A265" i="6"/>
  <c r="A449" i="6" s="1"/>
  <c r="B265" i="6"/>
  <c r="B449" i="6" s="1"/>
  <c r="C265" i="6"/>
  <c r="C449" i="6" s="1"/>
  <c r="D265" i="6"/>
  <c r="D449" i="6" s="1"/>
  <c r="E265" i="6"/>
  <c r="E449" i="6" s="1"/>
  <c r="F265" i="6"/>
  <c r="F449" i="6" s="1"/>
  <c r="G449" i="6"/>
  <c r="J265" i="6"/>
  <c r="J449" i="6" s="1"/>
  <c r="K265" i="6"/>
  <c r="K449" i="6" s="1"/>
  <c r="L265" i="6"/>
  <c r="L449" i="6" s="1"/>
  <c r="N265" i="6"/>
  <c r="N449" i="6" s="1"/>
  <c r="O265" i="6"/>
  <c r="O449" i="6" s="1"/>
  <c r="P265" i="6"/>
  <c r="P449" i="6" s="1"/>
  <c r="Q265" i="6"/>
  <c r="Q449" i="6" s="1"/>
  <c r="R265" i="6"/>
  <c r="R449" i="6" s="1"/>
  <c r="S265" i="6"/>
  <c r="S449" i="6" s="1"/>
  <c r="T265" i="6"/>
  <c r="T449" i="6" s="1"/>
  <c r="U265" i="6"/>
  <c r="U449" i="6" s="1"/>
  <c r="V265" i="6"/>
  <c r="V449" i="6" s="1"/>
  <c r="W265" i="6"/>
  <c r="W449" i="6" s="1"/>
  <c r="X265" i="6"/>
  <c r="X449" i="6" s="1"/>
  <c r="Y265" i="6"/>
  <c r="Y449" i="6" s="1"/>
  <c r="Z265" i="6"/>
  <c r="Z449" i="6" s="1"/>
  <c r="AA265" i="6"/>
  <c r="AA449" i="6" s="1"/>
  <c r="A266" i="6"/>
  <c r="A450" i="6" s="1"/>
  <c r="B266" i="6"/>
  <c r="B450" i="6" s="1"/>
  <c r="C266" i="6"/>
  <c r="C450" i="6" s="1"/>
  <c r="D266" i="6"/>
  <c r="D450" i="6" s="1"/>
  <c r="E266" i="6"/>
  <c r="E450" i="6" s="1"/>
  <c r="F266" i="6"/>
  <c r="F450" i="6" s="1"/>
  <c r="G266" i="6"/>
  <c r="G450" i="6" s="1"/>
  <c r="H266" i="6"/>
  <c r="H450" i="6" s="1"/>
  <c r="I266" i="6"/>
  <c r="I450" i="6" s="1"/>
  <c r="J266" i="6"/>
  <c r="J450" i="6" s="1"/>
  <c r="K266" i="6"/>
  <c r="K450" i="6" s="1"/>
  <c r="L266" i="6"/>
  <c r="L450" i="6" s="1"/>
  <c r="M266" i="6"/>
  <c r="M450" i="6" s="1"/>
  <c r="N266" i="6"/>
  <c r="N450" i="6" s="1"/>
  <c r="O266" i="6"/>
  <c r="O450" i="6" s="1"/>
  <c r="P266" i="6"/>
  <c r="P450" i="6" s="1"/>
  <c r="Q266" i="6"/>
  <c r="Q450" i="6" s="1"/>
  <c r="R266" i="6"/>
  <c r="R450" i="6" s="1"/>
  <c r="S266" i="6"/>
  <c r="S450" i="6" s="1"/>
  <c r="U450" i="6"/>
  <c r="V266" i="6"/>
  <c r="V450" i="6" s="1"/>
  <c r="W266" i="6"/>
  <c r="W450" i="6" s="1"/>
  <c r="X266" i="6"/>
  <c r="X450" i="6" s="1"/>
  <c r="Y266" i="6"/>
  <c r="Y450" i="6" s="1"/>
  <c r="Z266" i="6"/>
  <c r="Z450" i="6" s="1"/>
  <c r="AA266" i="6"/>
  <c r="AA450" i="6" s="1"/>
  <c r="A267" i="6"/>
  <c r="A451" i="6" s="1"/>
  <c r="B267" i="6"/>
  <c r="B451" i="6" s="1"/>
  <c r="C267" i="6"/>
  <c r="C451" i="6" s="1"/>
  <c r="D267" i="6"/>
  <c r="D451" i="6" s="1"/>
  <c r="E267" i="6"/>
  <c r="E451" i="6" s="1"/>
  <c r="F267" i="6"/>
  <c r="F451" i="6" s="1"/>
  <c r="G267" i="6"/>
  <c r="G451" i="6" s="1"/>
  <c r="H267" i="6"/>
  <c r="H451" i="6" s="1"/>
  <c r="I267" i="6"/>
  <c r="I451" i="6" s="1"/>
  <c r="J267" i="6"/>
  <c r="J451" i="6" s="1"/>
  <c r="K267" i="6"/>
  <c r="K451" i="6" s="1"/>
  <c r="L267" i="6"/>
  <c r="L451" i="6" s="1"/>
  <c r="M267" i="6"/>
  <c r="M451" i="6" s="1"/>
  <c r="N267" i="6"/>
  <c r="N451" i="6" s="1"/>
  <c r="O267" i="6"/>
  <c r="O451" i="6" s="1"/>
  <c r="P267" i="6"/>
  <c r="P451" i="6" s="1"/>
  <c r="Q267" i="6"/>
  <c r="Q451" i="6" s="1"/>
  <c r="R267" i="6"/>
  <c r="R451" i="6" s="1"/>
  <c r="S267" i="6"/>
  <c r="S451" i="6" s="1"/>
  <c r="T267" i="6"/>
  <c r="T451" i="6" s="1"/>
  <c r="U267" i="6"/>
  <c r="U451" i="6" s="1"/>
  <c r="V267" i="6"/>
  <c r="V451" i="6" s="1"/>
  <c r="W267" i="6"/>
  <c r="W451" i="6" s="1"/>
  <c r="X267" i="6"/>
  <c r="X451" i="6" s="1"/>
  <c r="Y267" i="6"/>
  <c r="Y451" i="6" s="1"/>
  <c r="Z267" i="6"/>
  <c r="Z451" i="6" s="1"/>
  <c r="AA267" i="6"/>
  <c r="AA451" i="6" s="1"/>
  <c r="A268" i="6"/>
  <c r="A452" i="6" s="1"/>
  <c r="B268" i="6"/>
  <c r="B452" i="6" s="1"/>
  <c r="C268" i="6"/>
  <c r="C452" i="6" s="1"/>
  <c r="D268" i="6"/>
  <c r="D452" i="6" s="1"/>
  <c r="E268" i="6"/>
  <c r="E452" i="6" s="1"/>
  <c r="F268" i="6"/>
  <c r="F452" i="6" s="1"/>
  <c r="G268" i="6"/>
  <c r="G452" i="6" s="1"/>
  <c r="H268" i="6"/>
  <c r="H452" i="6" s="1"/>
  <c r="I268" i="6"/>
  <c r="I452" i="6" s="1"/>
  <c r="J268" i="6"/>
  <c r="J452" i="6" s="1"/>
  <c r="K268" i="6"/>
  <c r="K452" i="6" s="1"/>
  <c r="M268" i="6"/>
  <c r="M452" i="6" s="1"/>
  <c r="N268" i="6"/>
  <c r="N452" i="6" s="1"/>
  <c r="O268" i="6"/>
  <c r="O452" i="6" s="1"/>
  <c r="P268" i="6"/>
  <c r="P452" i="6" s="1"/>
  <c r="Q268" i="6"/>
  <c r="Q452" i="6" s="1"/>
  <c r="R268" i="6"/>
  <c r="R452" i="6" s="1"/>
  <c r="V268" i="6"/>
  <c r="V452" i="6" s="1"/>
  <c r="W268" i="6"/>
  <c r="W452" i="6" s="1"/>
  <c r="X268" i="6"/>
  <c r="X452" i="6" s="1"/>
  <c r="Y268" i="6"/>
  <c r="Y452" i="6" s="1"/>
  <c r="Z268" i="6"/>
  <c r="Z452" i="6" s="1"/>
  <c r="AA268" i="6"/>
  <c r="AA452" i="6" s="1"/>
  <c r="A269" i="6"/>
  <c r="A453" i="6" s="1"/>
  <c r="B269" i="6"/>
  <c r="B453" i="6" s="1"/>
  <c r="C269" i="6"/>
  <c r="C453" i="6" s="1"/>
  <c r="D269" i="6"/>
  <c r="D453" i="6" s="1"/>
  <c r="E269" i="6"/>
  <c r="E453" i="6" s="1"/>
  <c r="F269" i="6"/>
  <c r="F453" i="6" s="1"/>
  <c r="G269" i="6"/>
  <c r="G453" i="6" s="1"/>
  <c r="H269" i="6"/>
  <c r="H453" i="6" s="1"/>
  <c r="K269" i="6"/>
  <c r="K453" i="6" s="1"/>
  <c r="M269" i="6"/>
  <c r="M453" i="6" s="1"/>
  <c r="N269" i="6"/>
  <c r="P269" i="6"/>
  <c r="P453" i="6" s="1"/>
  <c r="Q269" i="6"/>
  <c r="Q453" i="6" s="1"/>
  <c r="R269" i="6"/>
  <c r="R453" i="6" s="1"/>
  <c r="V269" i="6"/>
  <c r="V453" i="6" s="1"/>
  <c r="W269" i="6"/>
  <c r="W453" i="6" s="1"/>
  <c r="X269" i="6"/>
  <c r="X453" i="6" s="1"/>
  <c r="Y269" i="6"/>
  <c r="Y453" i="6" s="1"/>
  <c r="Z269" i="6"/>
  <c r="Z453" i="6" s="1"/>
  <c r="AA269" i="6"/>
  <c r="AA453" i="6" s="1"/>
  <c r="A270" i="6"/>
  <c r="A454" i="6" s="1"/>
  <c r="B270" i="6"/>
  <c r="B454" i="6" s="1"/>
  <c r="C270" i="6"/>
  <c r="C454" i="6" s="1"/>
  <c r="D270" i="6"/>
  <c r="D454" i="6" s="1"/>
  <c r="E270" i="6"/>
  <c r="E454" i="6" s="1"/>
  <c r="F270" i="6"/>
  <c r="F454" i="6" s="1"/>
  <c r="G270" i="6"/>
  <c r="G454" i="6" s="1"/>
  <c r="H270" i="6"/>
  <c r="H454" i="6" s="1"/>
  <c r="I270" i="6"/>
  <c r="I454" i="6" s="1"/>
  <c r="J270" i="6"/>
  <c r="J454" i="6" s="1"/>
  <c r="M270" i="6"/>
  <c r="M454" i="6" s="1"/>
  <c r="N270" i="6"/>
  <c r="P270" i="6"/>
  <c r="P454" i="6" s="1"/>
  <c r="Q270" i="6"/>
  <c r="Q454" i="6" s="1"/>
  <c r="R270" i="6"/>
  <c r="R454" i="6" s="1"/>
  <c r="S270" i="6"/>
  <c r="S454" i="6" s="1"/>
  <c r="T270" i="6"/>
  <c r="T454" i="6" s="1"/>
  <c r="U270" i="6"/>
  <c r="U454" i="6" s="1"/>
  <c r="V270" i="6"/>
  <c r="V454" i="6" s="1"/>
  <c r="W270" i="6"/>
  <c r="W454" i="6" s="1"/>
  <c r="X270" i="6"/>
  <c r="X454" i="6" s="1"/>
  <c r="Y270" i="6"/>
  <c r="Y454" i="6" s="1"/>
  <c r="Z270" i="6"/>
  <c r="Z454" i="6" s="1"/>
  <c r="AA270" i="6"/>
  <c r="AA454" i="6" s="1"/>
  <c r="A271" i="6"/>
  <c r="A455" i="6" s="1"/>
  <c r="B271" i="6"/>
  <c r="B455" i="6" s="1"/>
  <c r="C271" i="6"/>
  <c r="C455" i="6" s="1"/>
  <c r="D271" i="6"/>
  <c r="D455" i="6" s="1"/>
  <c r="E271" i="6"/>
  <c r="E455" i="6" s="1"/>
  <c r="F271" i="6"/>
  <c r="F455" i="6" s="1"/>
  <c r="G271" i="6"/>
  <c r="G455" i="6" s="1"/>
  <c r="H271" i="6"/>
  <c r="H455" i="6" s="1"/>
  <c r="I271" i="6"/>
  <c r="I455" i="6" s="1"/>
  <c r="J271" i="6"/>
  <c r="J455" i="6" s="1"/>
  <c r="M271" i="6"/>
  <c r="M455" i="6" s="1"/>
  <c r="N271" i="6"/>
  <c r="N455" i="6" s="1"/>
  <c r="P271" i="6"/>
  <c r="P455" i="6" s="1"/>
  <c r="Q271" i="6"/>
  <c r="Q455" i="6" s="1"/>
  <c r="R271" i="6"/>
  <c r="R455" i="6" s="1"/>
  <c r="V271" i="6"/>
  <c r="V455" i="6" s="1"/>
  <c r="W271" i="6"/>
  <c r="W455" i="6" s="1"/>
  <c r="X271" i="6"/>
  <c r="X455" i="6" s="1"/>
  <c r="Y271" i="6"/>
  <c r="Y455" i="6" s="1"/>
  <c r="Z271" i="6"/>
  <c r="Z455" i="6" s="1"/>
  <c r="AA271" i="6"/>
  <c r="AA455" i="6" s="1"/>
  <c r="A272" i="6"/>
  <c r="A456" i="6" s="1"/>
  <c r="B272" i="6"/>
  <c r="B456" i="6" s="1"/>
  <c r="C272" i="6"/>
  <c r="C456" i="6" s="1"/>
  <c r="D272" i="6"/>
  <c r="D456" i="6" s="1"/>
  <c r="E272" i="6"/>
  <c r="E456" i="6" s="1"/>
  <c r="F272" i="6"/>
  <c r="F456" i="6" s="1"/>
  <c r="G272" i="6"/>
  <c r="G456" i="6" s="1"/>
  <c r="H272" i="6"/>
  <c r="H456" i="6" s="1"/>
  <c r="I272" i="6"/>
  <c r="I456" i="6" s="1"/>
  <c r="J272" i="6"/>
  <c r="J456" i="6" s="1"/>
  <c r="K272" i="6"/>
  <c r="K456" i="6" s="1"/>
  <c r="N272" i="6"/>
  <c r="N456" i="6" s="1"/>
  <c r="P272" i="6"/>
  <c r="P456" i="6" s="1"/>
  <c r="Q272" i="6"/>
  <c r="Q456" i="6" s="1"/>
  <c r="R272" i="6"/>
  <c r="R456" i="6" s="1"/>
  <c r="V272" i="6"/>
  <c r="V456" i="6" s="1"/>
  <c r="W272" i="6"/>
  <c r="W456" i="6" s="1"/>
  <c r="X272" i="6"/>
  <c r="X456" i="6" s="1"/>
  <c r="Y272" i="6"/>
  <c r="Y456" i="6" s="1"/>
  <c r="Z272" i="6"/>
  <c r="Z456" i="6" s="1"/>
  <c r="AA272" i="6"/>
  <c r="AA456" i="6" s="1"/>
  <c r="A273" i="6"/>
  <c r="A457" i="6" s="1"/>
  <c r="B273" i="6"/>
  <c r="B457" i="6" s="1"/>
  <c r="C273" i="6"/>
  <c r="C457" i="6" s="1"/>
  <c r="D273" i="6"/>
  <c r="D457" i="6" s="1"/>
  <c r="E273" i="6"/>
  <c r="E457" i="6" s="1"/>
  <c r="F273" i="6"/>
  <c r="F457" i="6" s="1"/>
  <c r="G273" i="6"/>
  <c r="G457" i="6" s="1"/>
  <c r="H273" i="6"/>
  <c r="H457" i="6" s="1"/>
  <c r="I273" i="6"/>
  <c r="I457" i="6" s="1"/>
  <c r="J273" i="6"/>
  <c r="J457" i="6" s="1"/>
  <c r="K273" i="6"/>
  <c r="K457" i="6" s="1"/>
  <c r="L273" i="6"/>
  <c r="L457" i="6" s="1"/>
  <c r="M273" i="6"/>
  <c r="M457" i="6" s="1"/>
  <c r="P273" i="6"/>
  <c r="P457" i="6" s="1"/>
  <c r="Q273" i="6"/>
  <c r="Q457" i="6" s="1"/>
  <c r="R273" i="6"/>
  <c r="R457" i="6" s="1"/>
  <c r="S273" i="6"/>
  <c r="S457" i="6" s="1"/>
  <c r="T273" i="6"/>
  <c r="T457" i="6" s="1"/>
  <c r="U273" i="6"/>
  <c r="U457" i="6" s="1"/>
  <c r="V273" i="6"/>
  <c r="V457" i="6" s="1"/>
  <c r="W273" i="6"/>
  <c r="W457" i="6" s="1"/>
  <c r="X273" i="6"/>
  <c r="X457" i="6" s="1"/>
  <c r="Y273" i="6"/>
  <c r="Y457" i="6" s="1"/>
  <c r="Z273" i="6"/>
  <c r="Z457" i="6" s="1"/>
  <c r="AA273" i="6"/>
  <c r="AA457" i="6" s="1"/>
  <c r="A274" i="6"/>
  <c r="A458" i="6" s="1"/>
  <c r="B274" i="6"/>
  <c r="B458" i="6" s="1"/>
  <c r="C274" i="6"/>
  <c r="C458" i="6" s="1"/>
  <c r="D274" i="6"/>
  <c r="D458" i="6" s="1"/>
  <c r="E274" i="6"/>
  <c r="E458" i="6" s="1"/>
  <c r="F274" i="6"/>
  <c r="F458" i="6" s="1"/>
  <c r="G274" i="6"/>
  <c r="G458" i="6" s="1"/>
  <c r="H274" i="6"/>
  <c r="H458" i="6" s="1"/>
  <c r="I274" i="6"/>
  <c r="I458" i="6" s="1"/>
  <c r="J274" i="6"/>
  <c r="J458" i="6" s="1"/>
  <c r="K274" i="6"/>
  <c r="K458" i="6" s="1"/>
  <c r="L274" i="6"/>
  <c r="L458" i="6" s="1"/>
  <c r="M274" i="6"/>
  <c r="M458" i="6" s="1"/>
  <c r="P274" i="6"/>
  <c r="P458" i="6" s="1"/>
  <c r="Q274" i="6"/>
  <c r="Q458" i="6" s="1"/>
  <c r="R274" i="6"/>
  <c r="R458" i="6" s="1"/>
  <c r="V274" i="6"/>
  <c r="V458" i="6" s="1"/>
  <c r="W274" i="6"/>
  <c r="W458" i="6" s="1"/>
  <c r="X274" i="6"/>
  <c r="X458" i="6" s="1"/>
  <c r="Y274" i="6"/>
  <c r="Y458" i="6" s="1"/>
  <c r="Z274" i="6"/>
  <c r="Z458" i="6" s="1"/>
  <c r="AA274" i="6"/>
  <c r="AA458" i="6" s="1"/>
  <c r="A275" i="6"/>
  <c r="A459" i="6" s="1"/>
  <c r="B275" i="6"/>
  <c r="B459" i="6" s="1"/>
  <c r="C275" i="6"/>
  <c r="C459" i="6" s="1"/>
  <c r="D275" i="6"/>
  <c r="D459" i="6" s="1"/>
  <c r="E275" i="6"/>
  <c r="E459" i="6" s="1"/>
  <c r="F275" i="6"/>
  <c r="F459" i="6" s="1"/>
  <c r="G275" i="6"/>
  <c r="G459" i="6" s="1"/>
  <c r="H275" i="6"/>
  <c r="H459" i="6" s="1"/>
  <c r="I275" i="6"/>
  <c r="I459" i="6" s="1"/>
  <c r="J275" i="6"/>
  <c r="J459" i="6" s="1"/>
  <c r="K275" i="6"/>
  <c r="K459" i="6" s="1"/>
  <c r="L275" i="6"/>
  <c r="L459" i="6" s="1"/>
  <c r="M275" i="6"/>
  <c r="M459" i="6" s="1"/>
  <c r="N275" i="6"/>
  <c r="N459" i="6" s="1"/>
  <c r="O275" i="6"/>
  <c r="O459" i="6" s="1"/>
  <c r="P275" i="6"/>
  <c r="P459" i="6" s="1"/>
  <c r="Q275" i="6"/>
  <c r="Q459" i="6" s="1"/>
  <c r="R275" i="6"/>
  <c r="R459" i="6" s="1"/>
  <c r="V275" i="6"/>
  <c r="V459" i="6" s="1"/>
  <c r="W275" i="6"/>
  <c r="W459" i="6" s="1"/>
  <c r="X275" i="6"/>
  <c r="X459" i="6" s="1"/>
  <c r="Y275" i="6"/>
  <c r="Y459" i="6" s="1"/>
  <c r="Z275" i="6"/>
  <c r="Z459" i="6" s="1"/>
  <c r="AA275" i="6"/>
  <c r="AA459" i="6" s="1"/>
  <c r="A276" i="6"/>
  <c r="A460" i="6" s="1"/>
  <c r="B276" i="6"/>
  <c r="B460" i="6" s="1"/>
  <c r="C276" i="6"/>
  <c r="C460" i="6" s="1"/>
  <c r="D276" i="6"/>
  <c r="D460" i="6" s="1"/>
  <c r="E276" i="6"/>
  <c r="E460" i="6" s="1"/>
  <c r="F276" i="6"/>
  <c r="F460" i="6" s="1"/>
  <c r="G276" i="6"/>
  <c r="G460" i="6" s="1"/>
  <c r="H276" i="6"/>
  <c r="H460" i="6" s="1"/>
  <c r="I276" i="6"/>
  <c r="I460" i="6" s="1"/>
  <c r="J276" i="6"/>
  <c r="J460" i="6" s="1"/>
  <c r="K276" i="6"/>
  <c r="K460" i="6" s="1"/>
  <c r="L276" i="6"/>
  <c r="L460" i="6" s="1"/>
  <c r="M276" i="6"/>
  <c r="M460" i="6" s="1"/>
  <c r="N276" i="6"/>
  <c r="N460" i="6" s="1"/>
  <c r="O276" i="6"/>
  <c r="O460" i="6" s="1"/>
  <c r="P276" i="6"/>
  <c r="P460" i="6" s="1"/>
  <c r="Q276" i="6"/>
  <c r="Q460" i="6" s="1"/>
  <c r="R276" i="6"/>
  <c r="R460" i="6" s="1"/>
  <c r="S276" i="6"/>
  <c r="S460" i="6" s="1"/>
  <c r="T276" i="6"/>
  <c r="T460" i="6" s="1"/>
  <c r="U276" i="6"/>
  <c r="U460" i="6" s="1"/>
  <c r="V276" i="6"/>
  <c r="V460" i="6" s="1"/>
  <c r="W276" i="6"/>
  <c r="W460" i="6" s="1"/>
  <c r="X276" i="6"/>
  <c r="X460" i="6" s="1"/>
  <c r="Y276" i="6"/>
  <c r="Y460" i="6" s="1"/>
  <c r="Z276" i="6"/>
  <c r="Z460" i="6" s="1"/>
  <c r="AA276" i="6"/>
  <c r="AA460" i="6" s="1"/>
  <c r="A277" i="6"/>
  <c r="A461" i="6" s="1"/>
  <c r="B277" i="6"/>
  <c r="B461" i="6" s="1"/>
  <c r="C277" i="6"/>
  <c r="C461" i="6" s="1"/>
  <c r="D277" i="6"/>
  <c r="D461" i="6" s="1"/>
  <c r="E277" i="6"/>
  <c r="E461" i="6" s="1"/>
  <c r="F277" i="6"/>
  <c r="F461" i="6" s="1"/>
  <c r="G277" i="6"/>
  <c r="G461" i="6" s="1"/>
  <c r="H277" i="6"/>
  <c r="H461" i="6" s="1"/>
  <c r="J277" i="6"/>
  <c r="J461" i="6" s="1"/>
  <c r="K277" i="6"/>
  <c r="K461" i="6" s="1"/>
  <c r="M277" i="6"/>
  <c r="M461" i="6" s="1"/>
  <c r="N277" i="6"/>
  <c r="N461" i="6" s="1"/>
  <c r="O277" i="6"/>
  <c r="O461" i="6" s="1"/>
  <c r="P277" i="6"/>
  <c r="P461" i="6" s="1"/>
  <c r="Q277" i="6"/>
  <c r="Q461" i="6" s="1"/>
  <c r="R277" i="6"/>
  <c r="R461" i="6" s="1"/>
  <c r="T277" i="6"/>
  <c r="T461" i="6" s="1"/>
  <c r="U277" i="6"/>
  <c r="U461" i="6" s="1"/>
  <c r="V277" i="6"/>
  <c r="V461" i="6" s="1"/>
  <c r="W277" i="6"/>
  <c r="W461" i="6" s="1"/>
  <c r="X277" i="6"/>
  <c r="X461" i="6" s="1"/>
  <c r="Y277" i="6"/>
  <c r="Y461" i="6" s="1"/>
  <c r="Z277" i="6"/>
  <c r="Z461" i="6" s="1"/>
  <c r="AA277" i="6"/>
  <c r="AA461" i="6" s="1"/>
  <c r="A278" i="6"/>
  <c r="A462" i="6" s="1"/>
  <c r="B278" i="6"/>
  <c r="B462" i="6" s="1"/>
  <c r="C278" i="6"/>
  <c r="C462" i="6" s="1"/>
  <c r="D278" i="6"/>
  <c r="D462" i="6" s="1"/>
  <c r="E278" i="6"/>
  <c r="E462" i="6" s="1"/>
  <c r="F278" i="6"/>
  <c r="F462" i="6" s="1"/>
  <c r="G278" i="6"/>
  <c r="G462" i="6" s="1"/>
  <c r="H278" i="6"/>
  <c r="H462" i="6" s="1"/>
  <c r="I278" i="6"/>
  <c r="I462" i="6" s="1"/>
  <c r="J278" i="6"/>
  <c r="J462" i="6" s="1"/>
  <c r="K278" i="6"/>
  <c r="K462" i="6" s="1"/>
  <c r="L278" i="6"/>
  <c r="L462" i="6" s="1"/>
  <c r="M278" i="6"/>
  <c r="M462" i="6" s="1"/>
  <c r="N278" i="6"/>
  <c r="N462" i="6" s="1"/>
  <c r="O278" i="6"/>
  <c r="O462" i="6" s="1"/>
  <c r="P278" i="6"/>
  <c r="P462" i="6" s="1"/>
  <c r="Q278" i="6"/>
  <c r="Q462" i="6" s="1"/>
  <c r="R278" i="6"/>
  <c r="R462" i="6" s="1"/>
  <c r="S278" i="6"/>
  <c r="S462" i="6" s="1"/>
  <c r="T278" i="6"/>
  <c r="T462" i="6" s="1"/>
  <c r="U278" i="6"/>
  <c r="U462" i="6" s="1"/>
  <c r="V278" i="6"/>
  <c r="V462" i="6" s="1"/>
  <c r="W278" i="6"/>
  <c r="W462" i="6" s="1"/>
  <c r="X278" i="6"/>
  <c r="X462" i="6" s="1"/>
  <c r="Y278" i="6"/>
  <c r="Y462" i="6" s="1"/>
  <c r="Z278" i="6"/>
  <c r="Z462" i="6" s="1"/>
  <c r="AA278" i="6"/>
  <c r="AA462" i="6" s="1"/>
  <c r="A279" i="6"/>
  <c r="A463" i="6" s="1"/>
  <c r="B279" i="6"/>
  <c r="B463" i="6" s="1"/>
  <c r="D279" i="6"/>
  <c r="D463" i="6" s="1"/>
  <c r="E279" i="6"/>
  <c r="E463" i="6" s="1"/>
  <c r="F279" i="6"/>
  <c r="F463" i="6" s="1"/>
  <c r="G279" i="6"/>
  <c r="G463" i="6" s="1"/>
  <c r="H279" i="6"/>
  <c r="H463" i="6" s="1"/>
  <c r="I279" i="6"/>
  <c r="I463" i="6" s="1"/>
  <c r="J279" i="6"/>
  <c r="J463" i="6" s="1"/>
  <c r="K279" i="6"/>
  <c r="K463" i="6" s="1"/>
  <c r="L279" i="6"/>
  <c r="L463" i="6" s="1"/>
  <c r="M279" i="6"/>
  <c r="M463" i="6" s="1"/>
  <c r="N279" i="6"/>
  <c r="N463" i="6" s="1"/>
  <c r="O279" i="6"/>
  <c r="O463" i="6" s="1"/>
  <c r="P279" i="6"/>
  <c r="P463" i="6" s="1"/>
  <c r="Q279" i="6"/>
  <c r="Q463" i="6" s="1"/>
  <c r="R279" i="6"/>
  <c r="R463" i="6" s="1"/>
  <c r="S279" i="6"/>
  <c r="S463" i="6" s="1"/>
  <c r="T279" i="6"/>
  <c r="T463" i="6" s="1"/>
  <c r="U279" i="6"/>
  <c r="U463" i="6" s="1"/>
  <c r="V279" i="6"/>
  <c r="V463" i="6" s="1"/>
  <c r="W279" i="6"/>
  <c r="W463" i="6" s="1"/>
  <c r="X279" i="6"/>
  <c r="X463" i="6" s="1"/>
  <c r="Y279" i="6"/>
  <c r="Y463" i="6" s="1"/>
  <c r="Z279" i="6"/>
  <c r="Z463" i="6" s="1"/>
  <c r="AA279" i="6"/>
  <c r="AA463" i="6" s="1"/>
  <c r="A280" i="6"/>
  <c r="A464" i="6" s="1"/>
  <c r="B280" i="6"/>
  <c r="B464" i="6" s="1"/>
  <c r="C280" i="6"/>
  <c r="C464" i="6" s="1"/>
  <c r="D280" i="6"/>
  <c r="D464" i="6" s="1"/>
  <c r="E280" i="6"/>
  <c r="E464" i="6" s="1"/>
  <c r="F280" i="6"/>
  <c r="F464" i="6" s="1"/>
  <c r="G280" i="6"/>
  <c r="G464" i="6" s="1"/>
  <c r="H280" i="6"/>
  <c r="H464" i="6" s="1"/>
  <c r="I280" i="6"/>
  <c r="I464" i="6" s="1"/>
  <c r="J280" i="6"/>
  <c r="J464" i="6" s="1"/>
  <c r="K280" i="6"/>
  <c r="K464" i="6" s="1"/>
  <c r="L280" i="6"/>
  <c r="L464" i="6" s="1"/>
  <c r="M280" i="6"/>
  <c r="M464" i="6" s="1"/>
  <c r="N280" i="6"/>
  <c r="N464" i="6" s="1"/>
  <c r="O280" i="6"/>
  <c r="O464" i="6" s="1"/>
  <c r="P280" i="6"/>
  <c r="P464" i="6" s="1"/>
  <c r="Q280" i="6"/>
  <c r="Q464" i="6" s="1"/>
  <c r="R280" i="6"/>
  <c r="R464" i="6" s="1"/>
  <c r="S280" i="6"/>
  <c r="S464" i="6" s="1"/>
  <c r="T280" i="6"/>
  <c r="T464" i="6" s="1"/>
  <c r="U280" i="6"/>
  <c r="U464" i="6" s="1"/>
  <c r="V280" i="6"/>
  <c r="V464" i="6" s="1"/>
  <c r="W280" i="6"/>
  <c r="W464" i="6" s="1"/>
  <c r="X280" i="6"/>
  <c r="X464" i="6" s="1"/>
  <c r="Y280" i="6"/>
  <c r="Y464" i="6" s="1"/>
  <c r="Z280" i="6"/>
  <c r="Z464" i="6" s="1"/>
  <c r="AA280" i="6"/>
  <c r="AA464" i="6" s="1"/>
  <c r="A281" i="6"/>
  <c r="A465" i="6" s="1"/>
  <c r="B281" i="6"/>
  <c r="B465" i="6" s="1"/>
  <c r="C281" i="6"/>
  <c r="C465" i="6" s="1"/>
  <c r="D281" i="6"/>
  <c r="D465" i="6" s="1"/>
  <c r="E281" i="6"/>
  <c r="E465" i="6" s="1"/>
  <c r="F281" i="6"/>
  <c r="F465" i="6" s="1"/>
  <c r="G281" i="6"/>
  <c r="G465" i="6" s="1"/>
  <c r="H281" i="6"/>
  <c r="H465" i="6" s="1"/>
  <c r="I281" i="6"/>
  <c r="I465" i="6" s="1"/>
  <c r="J281" i="6"/>
  <c r="J465" i="6" s="1"/>
  <c r="K281" i="6"/>
  <c r="K465" i="6" s="1"/>
  <c r="L281" i="6"/>
  <c r="L465" i="6" s="1"/>
  <c r="M281" i="6"/>
  <c r="M465" i="6" s="1"/>
  <c r="N281" i="6"/>
  <c r="N465" i="6" s="1"/>
  <c r="O281" i="6"/>
  <c r="O465" i="6" s="1"/>
  <c r="P281" i="6"/>
  <c r="P465" i="6" s="1"/>
  <c r="Q281" i="6"/>
  <c r="Q465" i="6" s="1"/>
  <c r="R281" i="6"/>
  <c r="R465" i="6" s="1"/>
  <c r="S281" i="6"/>
  <c r="S465" i="6" s="1"/>
  <c r="T281" i="6"/>
  <c r="T465" i="6" s="1"/>
  <c r="U281" i="6"/>
  <c r="U465" i="6" s="1"/>
  <c r="V281" i="6"/>
  <c r="V465" i="6" s="1"/>
  <c r="W281" i="6"/>
  <c r="W465" i="6" s="1"/>
  <c r="X281" i="6"/>
  <c r="X465" i="6" s="1"/>
  <c r="Y281" i="6"/>
  <c r="Y465" i="6" s="1"/>
  <c r="Z281" i="6"/>
  <c r="Z465" i="6" s="1"/>
  <c r="AA281" i="6"/>
  <c r="AA465" i="6" s="1"/>
  <c r="A282" i="6"/>
  <c r="A466" i="6" s="1"/>
  <c r="B282" i="6"/>
  <c r="B466" i="6" s="1"/>
  <c r="C282" i="6"/>
  <c r="C466" i="6" s="1"/>
  <c r="D282" i="6"/>
  <c r="D466" i="6" s="1"/>
  <c r="E282" i="6"/>
  <c r="E466" i="6" s="1"/>
  <c r="F282" i="6"/>
  <c r="F466" i="6" s="1"/>
  <c r="G282" i="6"/>
  <c r="G466" i="6" s="1"/>
  <c r="H282" i="6"/>
  <c r="H466" i="6" s="1"/>
  <c r="J282" i="6"/>
  <c r="J466" i="6" s="1"/>
  <c r="K282" i="6"/>
  <c r="K466" i="6" s="1"/>
  <c r="L282" i="6"/>
  <c r="L466" i="6" s="1"/>
  <c r="M282" i="6"/>
  <c r="M466" i="6" s="1"/>
  <c r="N282" i="6"/>
  <c r="N466" i="6" s="1"/>
  <c r="O282" i="6"/>
  <c r="O466" i="6" s="1"/>
  <c r="P282" i="6"/>
  <c r="P466" i="6" s="1"/>
  <c r="Q282" i="6"/>
  <c r="Q466" i="6" s="1"/>
  <c r="S282" i="6"/>
  <c r="S466" i="6" s="1"/>
  <c r="T282" i="6"/>
  <c r="T466" i="6" s="1"/>
  <c r="U282" i="6"/>
  <c r="U466" i="6" s="1"/>
  <c r="V282" i="6"/>
  <c r="V466" i="6" s="1"/>
  <c r="X282" i="6"/>
  <c r="X466" i="6" s="1"/>
  <c r="Y282" i="6"/>
  <c r="Y466" i="6" s="1"/>
  <c r="Z282" i="6"/>
  <c r="Z466" i="6" s="1"/>
  <c r="AA282" i="6"/>
  <c r="AA466" i="6" s="1"/>
  <c r="A283" i="6"/>
  <c r="A467" i="6" s="1"/>
  <c r="B283" i="6"/>
  <c r="B467" i="6" s="1"/>
  <c r="C283" i="6"/>
  <c r="C467" i="6" s="1"/>
  <c r="D283" i="6"/>
  <c r="D467" i="6" s="1"/>
  <c r="E283" i="6"/>
  <c r="E467" i="6" s="1"/>
  <c r="F283" i="6"/>
  <c r="F467" i="6" s="1"/>
  <c r="G283" i="6"/>
  <c r="G467" i="6" s="1"/>
  <c r="H283" i="6"/>
  <c r="H467" i="6" s="1"/>
  <c r="I283" i="6"/>
  <c r="I467" i="6" s="1"/>
  <c r="J283" i="6"/>
  <c r="J467" i="6" s="1"/>
  <c r="K283" i="6"/>
  <c r="K467" i="6" s="1"/>
  <c r="L283" i="6"/>
  <c r="L467" i="6" s="1"/>
  <c r="M283" i="6"/>
  <c r="M467" i="6" s="1"/>
  <c r="N283" i="6"/>
  <c r="N467" i="6" s="1"/>
  <c r="O283" i="6"/>
  <c r="O467" i="6" s="1"/>
  <c r="P283" i="6"/>
  <c r="P467" i="6" s="1"/>
  <c r="Q283" i="6"/>
  <c r="Q467" i="6" s="1"/>
  <c r="R283" i="6"/>
  <c r="R467" i="6" s="1"/>
  <c r="S283" i="6"/>
  <c r="S467" i="6" s="1"/>
  <c r="T283" i="6"/>
  <c r="T467" i="6" s="1"/>
  <c r="U283" i="6"/>
  <c r="U467" i="6" s="1"/>
  <c r="V283" i="6"/>
  <c r="V467" i="6" s="1"/>
  <c r="X283" i="6"/>
  <c r="X467" i="6" s="1"/>
  <c r="Y283" i="6"/>
  <c r="Y467" i="6" s="1"/>
  <c r="Z283" i="6"/>
  <c r="Z467" i="6" s="1"/>
  <c r="AA283" i="6"/>
  <c r="AA467" i="6" s="1"/>
  <c r="A284" i="6"/>
  <c r="A468" i="6" s="1"/>
  <c r="B284" i="6"/>
  <c r="B468" i="6" s="1"/>
  <c r="C284" i="6"/>
  <c r="C468" i="6" s="1"/>
  <c r="D284" i="6"/>
  <c r="D468" i="6" s="1"/>
  <c r="E284" i="6"/>
  <c r="E468" i="6" s="1"/>
  <c r="F284" i="6"/>
  <c r="F468" i="6" s="1"/>
  <c r="G284" i="6"/>
  <c r="G468" i="6" s="1"/>
  <c r="H284" i="6"/>
  <c r="H468" i="6" s="1"/>
  <c r="I284" i="6"/>
  <c r="I468" i="6" s="1"/>
  <c r="J284" i="6"/>
  <c r="J468" i="6" s="1"/>
  <c r="K284" i="6"/>
  <c r="K468" i="6" s="1"/>
  <c r="L284" i="6"/>
  <c r="L468" i="6" s="1"/>
  <c r="M284" i="6"/>
  <c r="M468" i="6" s="1"/>
  <c r="N284" i="6"/>
  <c r="N468" i="6" s="1"/>
  <c r="O284" i="6"/>
  <c r="O468" i="6" s="1"/>
  <c r="P284" i="6"/>
  <c r="P468" i="6" s="1"/>
  <c r="Q284" i="6"/>
  <c r="Q468" i="6" s="1"/>
  <c r="R284" i="6"/>
  <c r="R468" i="6" s="1"/>
  <c r="S284" i="6"/>
  <c r="S468" i="6" s="1"/>
  <c r="T284" i="6"/>
  <c r="T468" i="6" s="1"/>
  <c r="U284" i="6"/>
  <c r="U468" i="6" s="1"/>
  <c r="V284" i="6"/>
  <c r="V468" i="6" s="1"/>
  <c r="W284" i="6"/>
  <c r="W468" i="6" s="1"/>
  <c r="X284" i="6"/>
  <c r="X468" i="6" s="1"/>
  <c r="Y284" i="6"/>
  <c r="Y468" i="6" s="1"/>
  <c r="Z284" i="6"/>
  <c r="Z468" i="6" s="1"/>
  <c r="AA284" i="6"/>
  <c r="AA468" i="6" s="1"/>
  <c r="A285" i="6"/>
  <c r="A469" i="6" s="1"/>
  <c r="B285" i="6"/>
  <c r="B469" i="6" s="1"/>
  <c r="C285" i="6"/>
  <c r="C469" i="6" s="1"/>
  <c r="D285" i="6"/>
  <c r="D469" i="6" s="1"/>
  <c r="E285" i="6"/>
  <c r="E469" i="6" s="1"/>
  <c r="F285" i="6"/>
  <c r="F469" i="6" s="1"/>
  <c r="G285" i="6"/>
  <c r="G469" i="6" s="1"/>
  <c r="H285" i="6"/>
  <c r="H469" i="6" s="1"/>
  <c r="I285" i="6"/>
  <c r="I469" i="6" s="1"/>
  <c r="J285" i="6"/>
  <c r="J469" i="6" s="1"/>
  <c r="K285" i="6"/>
  <c r="K469" i="6" s="1"/>
  <c r="L285" i="6"/>
  <c r="L469" i="6" s="1"/>
  <c r="M285" i="6"/>
  <c r="M469" i="6" s="1"/>
  <c r="N285" i="6"/>
  <c r="N469" i="6" s="1"/>
  <c r="O285" i="6"/>
  <c r="O469" i="6" s="1"/>
  <c r="P285" i="6"/>
  <c r="P469" i="6" s="1"/>
  <c r="Q285" i="6"/>
  <c r="Q469" i="6" s="1"/>
  <c r="R285" i="6"/>
  <c r="R469" i="6" s="1"/>
  <c r="S285" i="6"/>
  <c r="S469" i="6" s="1"/>
  <c r="T285" i="6"/>
  <c r="T469" i="6" s="1"/>
  <c r="U285" i="6"/>
  <c r="U469" i="6" s="1"/>
  <c r="V285" i="6"/>
  <c r="V469" i="6" s="1"/>
  <c r="W285" i="6"/>
  <c r="W469" i="6" s="1"/>
  <c r="X285" i="6"/>
  <c r="X469" i="6" s="1"/>
  <c r="Y285" i="6"/>
  <c r="Y469" i="6" s="1"/>
  <c r="Z285" i="6"/>
  <c r="Z469" i="6" s="1"/>
  <c r="AA285" i="6"/>
  <c r="AA469" i="6" s="1"/>
  <c r="A286" i="6"/>
  <c r="A470" i="6" s="1"/>
  <c r="B286" i="6"/>
  <c r="B470" i="6" s="1"/>
  <c r="C286" i="6"/>
  <c r="C470" i="6" s="1"/>
  <c r="D286" i="6"/>
  <c r="D470" i="6" s="1"/>
  <c r="E286" i="6"/>
  <c r="E470" i="6" s="1"/>
  <c r="F286" i="6"/>
  <c r="F470" i="6" s="1"/>
  <c r="G286" i="6"/>
  <c r="G470" i="6" s="1"/>
  <c r="H286" i="6"/>
  <c r="H470" i="6" s="1"/>
  <c r="I286" i="6"/>
  <c r="I470" i="6" s="1"/>
  <c r="J286" i="6"/>
  <c r="J470" i="6" s="1"/>
  <c r="K286" i="6"/>
  <c r="K470" i="6" s="1"/>
  <c r="L286" i="6"/>
  <c r="L470" i="6" s="1"/>
  <c r="M286" i="6"/>
  <c r="M470" i="6" s="1"/>
  <c r="N286" i="6"/>
  <c r="N470" i="6" s="1"/>
  <c r="O286" i="6"/>
  <c r="O470" i="6" s="1"/>
  <c r="P286" i="6"/>
  <c r="P470" i="6" s="1"/>
  <c r="Q286" i="6"/>
  <c r="Q470" i="6" s="1"/>
  <c r="R286" i="6"/>
  <c r="R470" i="6" s="1"/>
  <c r="S286" i="6"/>
  <c r="S470" i="6" s="1"/>
  <c r="V286" i="6"/>
  <c r="V470" i="6" s="1"/>
  <c r="Z286" i="6"/>
  <c r="Z470" i="6" s="1"/>
  <c r="AA286" i="6"/>
  <c r="AA470" i="6" s="1"/>
  <c r="A287" i="6"/>
  <c r="A471" i="6" s="1"/>
  <c r="B287" i="6"/>
  <c r="B471" i="6" s="1"/>
  <c r="C287" i="6"/>
  <c r="C471" i="6" s="1"/>
  <c r="D287" i="6"/>
  <c r="D471" i="6" s="1"/>
  <c r="E287" i="6"/>
  <c r="E471" i="6" s="1"/>
  <c r="F287" i="6"/>
  <c r="F471" i="6" s="1"/>
  <c r="G287" i="6"/>
  <c r="G471" i="6" s="1"/>
  <c r="H287" i="6"/>
  <c r="H471" i="6" s="1"/>
  <c r="I287" i="6"/>
  <c r="I471" i="6" s="1"/>
  <c r="J287" i="6"/>
  <c r="J471" i="6" s="1"/>
  <c r="K287" i="6"/>
  <c r="K471" i="6" s="1"/>
  <c r="L287" i="6"/>
  <c r="L471" i="6" s="1"/>
  <c r="M287" i="6"/>
  <c r="M471" i="6" s="1"/>
  <c r="N287" i="6"/>
  <c r="N471" i="6" s="1"/>
  <c r="O287" i="6"/>
  <c r="O471" i="6" s="1"/>
  <c r="P287" i="6"/>
  <c r="P471" i="6" s="1"/>
  <c r="Q287" i="6"/>
  <c r="Q471" i="6" s="1"/>
  <c r="R287" i="6"/>
  <c r="R471" i="6" s="1"/>
  <c r="S287" i="6"/>
  <c r="S471" i="6" s="1"/>
  <c r="T287" i="6"/>
  <c r="T471" i="6" s="1"/>
  <c r="U287" i="6"/>
  <c r="U471" i="6" s="1"/>
  <c r="V287" i="6"/>
  <c r="V471" i="6" s="1"/>
  <c r="Z287" i="6"/>
  <c r="Z471" i="6" s="1"/>
  <c r="AA287" i="6"/>
  <c r="AA471" i="6" s="1"/>
  <c r="A288" i="6"/>
  <c r="A472" i="6" s="1"/>
  <c r="B288" i="6"/>
  <c r="B472" i="6" s="1"/>
  <c r="C288" i="6"/>
  <c r="C472" i="6" s="1"/>
  <c r="D288" i="6"/>
  <c r="D472" i="6" s="1"/>
  <c r="E288" i="6"/>
  <c r="E472" i="6" s="1"/>
  <c r="F288" i="6"/>
  <c r="F472" i="6" s="1"/>
  <c r="G288" i="6"/>
  <c r="G472" i="6" s="1"/>
  <c r="H288" i="6"/>
  <c r="H472" i="6" s="1"/>
  <c r="I288" i="6"/>
  <c r="I472" i="6" s="1"/>
  <c r="J288" i="6"/>
  <c r="J472" i="6" s="1"/>
  <c r="K288" i="6"/>
  <c r="K472" i="6" s="1"/>
  <c r="L288" i="6"/>
  <c r="L472" i="6" s="1"/>
  <c r="M288" i="6"/>
  <c r="M472" i="6" s="1"/>
  <c r="N288" i="6"/>
  <c r="N472" i="6" s="1"/>
  <c r="O288" i="6"/>
  <c r="O472" i="6" s="1"/>
  <c r="P288" i="6"/>
  <c r="P472" i="6" s="1"/>
  <c r="Q288" i="6"/>
  <c r="Q472" i="6" s="1"/>
  <c r="R288" i="6"/>
  <c r="R472" i="6" s="1"/>
  <c r="S288" i="6"/>
  <c r="S472" i="6" s="1"/>
  <c r="T288" i="6"/>
  <c r="T472" i="6" s="1"/>
  <c r="U288" i="6"/>
  <c r="U472" i="6" s="1"/>
  <c r="V288" i="6"/>
  <c r="V472" i="6" s="1"/>
  <c r="W288" i="6"/>
  <c r="W472" i="6" s="1"/>
  <c r="X288" i="6"/>
  <c r="X472" i="6" s="1"/>
  <c r="Y288" i="6"/>
  <c r="Y472" i="6" s="1"/>
  <c r="Z288" i="6"/>
  <c r="Z472" i="6" s="1"/>
  <c r="AA288" i="6"/>
  <c r="AA472" i="6" s="1"/>
  <c r="A289" i="6"/>
  <c r="A473" i="6" s="1"/>
  <c r="B289" i="6"/>
  <c r="B473" i="6" s="1"/>
  <c r="C289" i="6"/>
  <c r="C473" i="6" s="1"/>
  <c r="D289" i="6"/>
  <c r="D473" i="6" s="1"/>
  <c r="E289" i="6"/>
  <c r="E473" i="6" s="1"/>
  <c r="F289" i="6"/>
  <c r="F473" i="6" s="1"/>
  <c r="G289" i="6"/>
  <c r="G473" i="6" s="1"/>
  <c r="H289" i="6"/>
  <c r="H473" i="6" s="1"/>
  <c r="I289" i="6"/>
  <c r="I473" i="6" s="1"/>
  <c r="J289" i="6"/>
  <c r="J473" i="6" s="1"/>
  <c r="K289" i="6"/>
  <c r="K473" i="6" s="1"/>
  <c r="L289" i="6"/>
  <c r="L473" i="6" s="1"/>
  <c r="M289" i="6"/>
  <c r="M473" i="6" s="1"/>
  <c r="N289" i="6"/>
  <c r="N473" i="6" s="1"/>
  <c r="O289" i="6"/>
  <c r="O473" i="6" s="1"/>
  <c r="Q289" i="6"/>
  <c r="Q473" i="6" s="1"/>
  <c r="S289" i="6"/>
  <c r="S473" i="6" s="1"/>
  <c r="T289" i="6"/>
  <c r="T473" i="6" s="1"/>
  <c r="V289" i="6"/>
  <c r="V473" i="6" s="1"/>
  <c r="Z289" i="6"/>
  <c r="Z473" i="6" s="1"/>
  <c r="AA289" i="6"/>
  <c r="AA473" i="6" s="1"/>
  <c r="A290" i="6"/>
  <c r="A474" i="6" s="1"/>
  <c r="B290" i="6"/>
  <c r="B474" i="6" s="1"/>
  <c r="C290" i="6"/>
  <c r="C474" i="6" s="1"/>
  <c r="D290" i="6"/>
  <c r="D474" i="6" s="1"/>
  <c r="E290" i="6"/>
  <c r="E474" i="6" s="1"/>
  <c r="F290" i="6"/>
  <c r="F474" i="6" s="1"/>
  <c r="G290" i="6"/>
  <c r="G474" i="6" s="1"/>
  <c r="H290" i="6"/>
  <c r="H474" i="6" s="1"/>
  <c r="I290" i="6"/>
  <c r="I474" i="6" s="1"/>
  <c r="J290" i="6"/>
  <c r="J474" i="6" s="1"/>
  <c r="K290" i="6"/>
  <c r="K474" i="6" s="1"/>
  <c r="L290" i="6"/>
  <c r="L474" i="6" s="1"/>
  <c r="M290" i="6"/>
  <c r="M474" i="6" s="1"/>
  <c r="N290" i="6"/>
  <c r="N474" i="6" s="1"/>
  <c r="O290" i="6"/>
  <c r="O474" i="6" s="1"/>
  <c r="P290" i="6"/>
  <c r="P474" i="6" s="1"/>
  <c r="Q290" i="6"/>
  <c r="Q474" i="6" s="1"/>
  <c r="S290" i="6"/>
  <c r="S474" i="6" s="1"/>
  <c r="T290" i="6"/>
  <c r="T474" i="6" s="1"/>
  <c r="U290" i="6"/>
  <c r="U474" i="6" s="1"/>
  <c r="V290" i="6"/>
  <c r="V474" i="6" s="1"/>
  <c r="Z290" i="6"/>
  <c r="Z474" i="6" s="1"/>
  <c r="AA290" i="6"/>
  <c r="AA474" i="6" s="1"/>
  <c r="A291" i="6"/>
  <c r="A475" i="6" s="1"/>
  <c r="B291" i="6"/>
  <c r="B475" i="6" s="1"/>
  <c r="C291" i="6"/>
  <c r="C475" i="6" s="1"/>
  <c r="D291" i="6"/>
  <c r="D475" i="6" s="1"/>
  <c r="E291" i="6"/>
  <c r="E475" i="6" s="1"/>
  <c r="F291" i="6"/>
  <c r="F475" i="6" s="1"/>
  <c r="G291" i="6"/>
  <c r="G475" i="6" s="1"/>
  <c r="H291" i="6"/>
  <c r="H475" i="6" s="1"/>
  <c r="I291" i="6"/>
  <c r="I475" i="6" s="1"/>
  <c r="J291" i="6"/>
  <c r="J475" i="6" s="1"/>
  <c r="K291" i="6"/>
  <c r="K475" i="6" s="1"/>
  <c r="L291" i="6"/>
  <c r="L475" i="6" s="1"/>
  <c r="M291" i="6"/>
  <c r="M475" i="6" s="1"/>
  <c r="N291" i="6"/>
  <c r="N475" i="6" s="1"/>
  <c r="O291" i="6"/>
  <c r="O475" i="6" s="1"/>
  <c r="P291" i="6"/>
  <c r="P475" i="6" s="1"/>
  <c r="Q291" i="6"/>
  <c r="Q475" i="6" s="1"/>
  <c r="R291" i="6"/>
  <c r="R475" i="6" s="1"/>
  <c r="S291" i="6"/>
  <c r="S475" i="6" s="1"/>
  <c r="T291" i="6"/>
  <c r="T475" i="6" s="1"/>
  <c r="U291" i="6"/>
  <c r="U475" i="6" s="1"/>
  <c r="V291" i="6"/>
  <c r="V475" i="6" s="1"/>
  <c r="W291" i="6"/>
  <c r="W475" i="6" s="1"/>
  <c r="X291" i="6"/>
  <c r="X475" i="6" s="1"/>
  <c r="Y291" i="6"/>
  <c r="Y475" i="6" s="1"/>
  <c r="Z291" i="6"/>
  <c r="Z475" i="6" s="1"/>
  <c r="AA291" i="6"/>
  <c r="AA475" i="6" s="1"/>
  <c r="A292" i="6"/>
  <c r="A476" i="6" s="1"/>
  <c r="B292" i="6"/>
  <c r="B476" i="6" s="1"/>
  <c r="C292" i="6"/>
  <c r="C476" i="6" s="1"/>
  <c r="D292" i="6"/>
  <c r="D476" i="6" s="1"/>
  <c r="E292" i="6"/>
  <c r="E476" i="6" s="1"/>
  <c r="F292" i="6"/>
  <c r="F476" i="6" s="1"/>
  <c r="G292" i="6"/>
  <c r="G476" i="6" s="1"/>
  <c r="H292" i="6"/>
  <c r="H476" i="6" s="1"/>
  <c r="I292" i="6"/>
  <c r="I476" i="6" s="1"/>
  <c r="J292" i="6"/>
  <c r="J476" i="6" s="1"/>
  <c r="K292" i="6"/>
  <c r="K476" i="6" s="1"/>
  <c r="L292" i="6"/>
  <c r="L476" i="6" s="1"/>
  <c r="M292" i="6"/>
  <c r="M476" i="6" s="1"/>
  <c r="N292" i="6"/>
  <c r="N476" i="6" s="1"/>
  <c r="P292" i="6"/>
  <c r="P476" i="6" s="1"/>
  <c r="Q292" i="6"/>
  <c r="Q476" i="6" s="1"/>
  <c r="R292" i="6"/>
  <c r="R476" i="6" s="1"/>
  <c r="S292" i="6"/>
  <c r="S476" i="6" s="1"/>
  <c r="V292" i="6"/>
  <c r="V476" i="6" s="1"/>
  <c r="Z292" i="6"/>
  <c r="Z476" i="6" s="1"/>
  <c r="AA292" i="6"/>
  <c r="AA476" i="6" s="1"/>
  <c r="A293" i="6"/>
  <c r="A477" i="6" s="1"/>
  <c r="B293" i="6"/>
  <c r="B477" i="6" s="1"/>
  <c r="C293" i="6"/>
  <c r="C477" i="6" s="1"/>
  <c r="D293" i="6"/>
  <c r="D477" i="6" s="1"/>
  <c r="E293" i="6"/>
  <c r="E477" i="6" s="1"/>
  <c r="F293" i="6"/>
  <c r="F477" i="6" s="1"/>
  <c r="G293" i="6"/>
  <c r="G477" i="6" s="1"/>
  <c r="H293" i="6"/>
  <c r="H477" i="6" s="1"/>
  <c r="I293" i="6"/>
  <c r="I477" i="6" s="1"/>
  <c r="J293" i="6"/>
  <c r="J477" i="6" s="1"/>
  <c r="K293" i="6"/>
  <c r="K477" i="6" s="1"/>
  <c r="L293" i="6"/>
  <c r="L477" i="6" s="1"/>
  <c r="M293" i="6"/>
  <c r="M477" i="6" s="1"/>
  <c r="N293" i="6"/>
  <c r="N477" i="6" s="1"/>
  <c r="P293" i="6"/>
  <c r="P477" i="6" s="1"/>
  <c r="Q293" i="6"/>
  <c r="Q477" i="6" s="1"/>
  <c r="R293" i="6"/>
  <c r="R477" i="6" s="1"/>
  <c r="S293" i="6"/>
  <c r="S477" i="6" s="1"/>
  <c r="T293" i="6"/>
  <c r="T477" i="6" s="1"/>
  <c r="U293" i="6"/>
  <c r="U477" i="6" s="1"/>
  <c r="V293" i="6"/>
  <c r="V477" i="6" s="1"/>
  <c r="Z293" i="6"/>
  <c r="Z477" i="6" s="1"/>
  <c r="AA293" i="6"/>
  <c r="AA477" i="6" s="1"/>
  <c r="A294" i="6"/>
  <c r="A478" i="6" s="1"/>
  <c r="B294" i="6"/>
  <c r="B478" i="6" s="1"/>
  <c r="C294" i="6"/>
  <c r="C478" i="6" s="1"/>
  <c r="D294" i="6"/>
  <c r="D478" i="6" s="1"/>
  <c r="E294" i="6"/>
  <c r="E478" i="6" s="1"/>
  <c r="F294" i="6"/>
  <c r="F478" i="6" s="1"/>
  <c r="G294" i="6"/>
  <c r="G478" i="6" s="1"/>
  <c r="H294" i="6"/>
  <c r="H478" i="6" s="1"/>
  <c r="N294" i="6"/>
  <c r="N478" i="6" s="1"/>
  <c r="P294" i="6"/>
  <c r="P478" i="6" s="1"/>
  <c r="Q294" i="6"/>
  <c r="Q478" i="6" s="1"/>
  <c r="R294" i="6"/>
  <c r="R478" i="6" s="1"/>
  <c r="S294" i="6"/>
  <c r="S478" i="6" s="1"/>
  <c r="T294" i="6"/>
  <c r="T478" i="6" s="1"/>
  <c r="U294" i="6"/>
  <c r="U478" i="6" s="1"/>
  <c r="V294" i="6"/>
  <c r="V478" i="6" s="1"/>
  <c r="W294" i="6"/>
  <c r="W478" i="6" s="1"/>
  <c r="X294" i="6"/>
  <c r="X478" i="6" s="1"/>
  <c r="Y294" i="6"/>
  <c r="Y478" i="6" s="1"/>
  <c r="Z294" i="6"/>
  <c r="Z478" i="6" s="1"/>
  <c r="AA294" i="6"/>
  <c r="AA478" i="6" s="1"/>
  <c r="A295" i="6"/>
  <c r="A479" i="6" s="1"/>
  <c r="B295" i="6"/>
  <c r="B479" i="6" s="1"/>
  <c r="C295" i="6"/>
  <c r="C479" i="6" s="1"/>
  <c r="D295" i="6"/>
  <c r="D479" i="6" s="1"/>
  <c r="E295" i="6"/>
  <c r="E479" i="6" s="1"/>
  <c r="F295" i="6"/>
  <c r="F479" i="6" s="1"/>
  <c r="G295" i="6"/>
  <c r="G479" i="6" s="1"/>
  <c r="H295" i="6"/>
  <c r="H479" i="6" s="1"/>
  <c r="I295" i="6"/>
  <c r="I479" i="6" s="1"/>
  <c r="J295" i="6"/>
  <c r="J479" i="6" s="1"/>
  <c r="K295" i="6"/>
  <c r="K479" i="6" s="1"/>
  <c r="L295" i="6"/>
  <c r="L479" i="6" s="1"/>
  <c r="M295" i="6"/>
  <c r="M479" i="6" s="1"/>
  <c r="N295" i="6"/>
  <c r="N479" i="6" s="1"/>
  <c r="P295" i="6"/>
  <c r="P479" i="6" s="1"/>
  <c r="Q295" i="6"/>
  <c r="Q479" i="6" s="1"/>
  <c r="R295" i="6"/>
  <c r="R479" i="6" s="1"/>
  <c r="S295" i="6"/>
  <c r="S479" i="6" s="1"/>
  <c r="T295" i="6"/>
  <c r="T479" i="6" s="1"/>
  <c r="U295" i="6"/>
  <c r="U479" i="6" s="1"/>
  <c r="V295" i="6"/>
  <c r="V479" i="6" s="1"/>
  <c r="W295" i="6"/>
  <c r="W479" i="6" s="1"/>
  <c r="X295" i="6"/>
  <c r="X479" i="6" s="1"/>
  <c r="Y295" i="6"/>
  <c r="Y479" i="6" s="1"/>
  <c r="Z295" i="6"/>
  <c r="Z479" i="6" s="1"/>
  <c r="AA295" i="6"/>
  <c r="AA479" i="6" s="1"/>
  <c r="A296" i="6"/>
  <c r="A480" i="6" s="1"/>
  <c r="B296" i="6"/>
  <c r="B480" i="6" s="1"/>
  <c r="C296" i="6"/>
  <c r="C480" i="6" s="1"/>
  <c r="D296" i="6"/>
  <c r="D480" i="6" s="1"/>
  <c r="E296" i="6"/>
  <c r="E480" i="6" s="1"/>
  <c r="F296" i="6"/>
  <c r="F480" i="6" s="1"/>
  <c r="G296" i="6"/>
  <c r="G480" i="6" s="1"/>
  <c r="H296" i="6"/>
  <c r="H480" i="6" s="1"/>
  <c r="I296" i="6"/>
  <c r="I480" i="6" s="1"/>
  <c r="J296" i="6"/>
  <c r="J480" i="6" s="1"/>
  <c r="K296" i="6"/>
  <c r="K480" i="6" s="1"/>
  <c r="L296" i="6"/>
  <c r="L480" i="6" s="1"/>
  <c r="M296" i="6"/>
  <c r="M480" i="6" s="1"/>
  <c r="N296" i="6"/>
  <c r="N480" i="6" s="1"/>
  <c r="P296" i="6"/>
  <c r="P480" i="6" s="1"/>
  <c r="Q296" i="6"/>
  <c r="Q480" i="6" s="1"/>
  <c r="R296" i="6"/>
  <c r="R480" i="6" s="1"/>
  <c r="S296" i="6"/>
  <c r="S480" i="6" s="1"/>
  <c r="T296" i="6"/>
  <c r="T480" i="6" s="1"/>
  <c r="V296" i="6"/>
  <c r="V480" i="6" s="1"/>
  <c r="Z296" i="6"/>
  <c r="Z480" i="6" s="1"/>
  <c r="AA296" i="6"/>
  <c r="AA480" i="6" s="1"/>
  <c r="A297" i="6"/>
  <c r="A481" i="6" s="1"/>
  <c r="B297" i="6"/>
  <c r="B481" i="6" s="1"/>
  <c r="C297" i="6"/>
  <c r="C481" i="6" s="1"/>
  <c r="D297" i="6"/>
  <c r="D481" i="6" s="1"/>
  <c r="E297" i="6"/>
  <c r="E481" i="6" s="1"/>
  <c r="F297" i="6"/>
  <c r="F481" i="6" s="1"/>
  <c r="G297" i="6"/>
  <c r="G481" i="6" s="1"/>
  <c r="H297" i="6"/>
  <c r="H481" i="6" s="1"/>
  <c r="I297" i="6"/>
  <c r="I481" i="6" s="1"/>
  <c r="J297" i="6"/>
  <c r="J481" i="6" s="1"/>
  <c r="K297" i="6"/>
  <c r="K481" i="6" s="1"/>
  <c r="L297" i="6"/>
  <c r="L481" i="6" s="1"/>
  <c r="M297" i="6"/>
  <c r="M481" i="6" s="1"/>
  <c r="N297" i="6"/>
  <c r="N481" i="6" s="1"/>
  <c r="P297" i="6"/>
  <c r="P481" i="6" s="1"/>
  <c r="Q297" i="6"/>
  <c r="Q481" i="6" s="1"/>
  <c r="R297" i="6"/>
  <c r="R481" i="6" s="1"/>
  <c r="S297" i="6"/>
  <c r="S481" i="6" s="1"/>
  <c r="T297" i="6"/>
  <c r="T481" i="6" s="1"/>
  <c r="U297" i="6"/>
  <c r="U481" i="6" s="1"/>
  <c r="V297" i="6"/>
  <c r="V481" i="6" s="1"/>
  <c r="Z297" i="6"/>
  <c r="Z481" i="6" s="1"/>
  <c r="AA297" i="6"/>
  <c r="AA481" i="6" s="1"/>
  <c r="A298" i="6"/>
  <c r="A482" i="6" s="1"/>
  <c r="B298" i="6"/>
  <c r="B482" i="6" s="1"/>
  <c r="C298" i="6"/>
  <c r="C482" i="6" s="1"/>
  <c r="D298" i="6"/>
  <c r="D482" i="6" s="1"/>
  <c r="E298" i="6"/>
  <c r="E482" i="6" s="1"/>
  <c r="F298" i="6"/>
  <c r="F482" i="6" s="1"/>
  <c r="G298" i="6"/>
  <c r="G482" i="6" s="1"/>
  <c r="K298" i="6"/>
  <c r="K482" i="6" s="1"/>
  <c r="L298" i="6"/>
  <c r="L482" i="6" s="1"/>
  <c r="M298" i="6"/>
  <c r="M482" i="6" s="1"/>
  <c r="N298" i="6"/>
  <c r="N482" i="6" s="1"/>
  <c r="O298" i="6"/>
  <c r="O482" i="6" s="1"/>
  <c r="P298" i="6"/>
  <c r="P482" i="6" s="1"/>
  <c r="Q298" i="6"/>
  <c r="Q482" i="6" s="1"/>
  <c r="R298" i="6"/>
  <c r="R482" i="6" s="1"/>
  <c r="S298" i="6"/>
  <c r="S482" i="6" s="1"/>
  <c r="T298" i="6"/>
  <c r="T482" i="6" s="1"/>
  <c r="U298" i="6"/>
  <c r="U482" i="6" s="1"/>
  <c r="V298" i="6"/>
  <c r="V482" i="6" s="1"/>
  <c r="W298" i="6"/>
  <c r="W482" i="6" s="1"/>
  <c r="X298" i="6"/>
  <c r="X482" i="6" s="1"/>
  <c r="Y298" i="6"/>
  <c r="Y482" i="6" s="1"/>
  <c r="Z298" i="6"/>
  <c r="Z482" i="6" s="1"/>
  <c r="AA298" i="6"/>
  <c r="AA482" i="6" s="1"/>
  <c r="A299" i="6"/>
  <c r="A483" i="6" s="1"/>
  <c r="B299" i="6"/>
  <c r="B483" i="6" s="1"/>
  <c r="C299" i="6"/>
  <c r="C483" i="6" s="1"/>
  <c r="D299" i="6"/>
  <c r="D483" i="6" s="1"/>
  <c r="E299" i="6"/>
  <c r="E483" i="6" s="1"/>
  <c r="F299" i="6"/>
  <c r="F483" i="6" s="1"/>
  <c r="G299" i="6"/>
  <c r="G483" i="6" s="1"/>
  <c r="K299" i="6"/>
  <c r="K483" i="6" s="1"/>
  <c r="M299" i="6"/>
  <c r="M483" i="6" s="1"/>
  <c r="N299" i="6"/>
  <c r="N483" i="6" s="1"/>
  <c r="O299" i="6"/>
  <c r="O483" i="6" s="1"/>
  <c r="P299" i="6"/>
  <c r="P483" i="6" s="1"/>
  <c r="Q299" i="6"/>
  <c r="Q483" i="6" s="1"/>
  <c r="R299" i="6"/>
  <c r="R483" i="6" s="1"/>
  <c r="S299" i="6"/>
  <c r="S483" i="6" s="1"/>
  <c r="T299" i="6"/>
  <c r="T483" i="6" s="1"/>
  <c r="U299" i="6"/>
  <c r="U483" i="6" s="1"/>
  <c r="V299" i="6"/>
  <c r="V483" i="6" s="1"/>
  <c r="Z299" i="6"/>
  <c r="Z483" i="6" s="1"/>
  <c r="AA299" i="6"/>
  <c r="AA483" i="6" s="1"/>
  <c r="A300" i="6"/>
  <c r="A484" i="6" s="1"/>
  <c r="B300" i="6"/>
  <c r="B484" i="6" s="1"/>
  <c r="C300" i="6"/>
  <c r="C484" i="6" s="1"/>
  <c r="D300" i="6"/>
  <c r="D484" i="6" s="1"/>
  <c r="E300" i="6"/>
  <c r="E484" i="6" s="1"/>
  <c r="F300" i="6"/>
  <c r="F484" i="6" s="1"/>
  <c r="G300" i="6"/>
  <c r="G484" i="6" s="1"/>
  <c r="H300" i="6"/>
  <c r="H484" i="6" s="1"/>
  <c r="I300" i="6"/>
  <c r="I484" i="6" s="1"/>
  <c r="J300" i="6"/>
  <c r="J484" i="6" s="1"/>
  <c r="K300" i="6"/>
  <c r="K484" i="6" s="1"/>
  <c r="L300" i="6"/>
  <c r="L484" i="6" s="1"/>
  <c r="M300" i="6"/>
  <c r="M484" i="6" s="1"/>
  <c r="N300" i="6"/>
  <c r="N484" i="6" s="1"/>
  <c r="O300" i="6"/>
  <c r="O484" i="6" s="1"/>
  <c r="Q300" i="6"/>
  <c r="Q484" i="6" s="1"/>
  <c r="S300" i="6"/>
  <c r="S484" i="6" s="1"/>
  <c r="T300" i="6"/>
  <c r="T484" i="6" s="1"/>
  <c r="U300" i="6"/>
  <c r="U484" i="6" s="1"/>
  <c r="V300" i="6"/>
  <c r="V484" i="6" s="1"/>
  <c r="Z300" i="6"/>
  <c r="Z484" i="6" s="1"/>
  <c r="AA300" i="6"/>
  <c r="AA484" i="6" s="1"/>
  <c r="A301" i="6"/>
  <c r="A485" i="6" s="1"/>
  <c r="B301" i="6"/>
  <c r="B485" i="6" s="1"/>
  <c r="C301" i="6"/>
  <c r="C485" i="6" s="1"/>
  <c r="D301" i="6"/>
  <c r="D485" i="6" s="1"/>
  <c r="E301" i="6"/>
  <c r="E485" i="6" s="1"/>
  <c r="F301" i="6"/>
  <c r="F485" i="6" s="1"/>
  <c r="G301" i="6"/>
  <c r="G485" i="6" s="1"/>
  <c r="H301" i="6"/>
  <c r="H485" i="6" s="1"/>
  <c r="I301" i="6"/>
  <c r="I485" i="6" s="1"/>
  <c r="J301" i="6"/>
  <c r="J485" i="6" s="1"/>
  <c r="K301" i="6"/>
  <c r="K485" i="6" s="1"/>
  <c r="L301" i="6"/>
  <c r="L485" i="6" s="1"/>
  <c r="M301" i="6"/>
  <c r="M485" i="6" s="1"/>
  <c r="N301" i="6"/>
  <c r="N485" i="6" s="1"/>
  <c r="Q301" i="6"/>
  <c r="Q485" i="6" s="1"/>
  <c r="R301" i="6"/>
  <c r="R485" i="6" s="1"/>
  <c r="S301" i="6"/>
  <c r="S485" i="6" s="1"/>
  <c r="T301" i="6"/>
  <c r="T485" i="6" s="1"/>
  <c r="U301" i="6"/>
  <c r="U485" i="6" s="1"/>
  <c r="V301" i="6"/>
  <c r="V485" i="6" s="1"/>
  <c r="W301" i="6"/>
  <c r="W485" i="6" s="1"/>
  <c r="X301" i="6"/>
  <c r="X485" i="6" s="1"/>
  <c r="Y301" i="6"/>
  <c r="Y485" i="6" s="1"/>
  <c r="Z301" i="6"/>
  <c r="Z485" i="6" s="1"/>
  <c r="AA301" i="6"/>
  <c r="AA485" i="6" s="1"/>
  <c r="A302" i="6"/>
  <c r="A486" i="6" s="1"/>
  <c r="B302" i="6"/>
  <c r="B486" i="6" s="1"/>
  <c r="C302" i="6"/>
  <c r="C486" i="6" s="1"/>
  <c r="D302" i="6"/>
  <c r="D486" i="6" s="1"/>
  <c r="E302" i="6"/>
  <c r="E486" i="6" s="1"/>
  <c r="F302" i="6"/>
  <c r="F486" i="6" s="1"/>
  <c r="G302" i="6"/>
  <c r="G486" i="6" s="1"/>
  <c r="H302" i="6"/>
  <c r="H486" i="6" s="1"/>
  <c r="I302" i="6"/>
  <c r="I486" i="6" s="1"/>
  <c r="J302" i="6"/>
  <c r="J486" i="6" s="1"/>
  <c r="K302" i="6"/>
  <c r="K486" i="6" s="1"/>
  <c r="L302" i="6"/>
  <c r="L486" i="6" s="1"/>
  <c r="M302" i="6"/>
  <c r="M486" i="6" s="1"/>
  <c r="N302" i="6"/>
  <c r="N486" i="6" s="1"/>
  <c r="O302" i="6"/>
  <c r="O486" i="6" s="1"/>
  <c r="P302" i="6"/>
  <c r="P486" i="6" s="1"/>
  <c r="Q302" i="6"/>
  <c r="Q486" i="6" s="1"/>
  <c r="R302" i="6"/>
  <c r="R486" i="6" s="1"/>
  <c r="S302" i="6"/>
  <c r="S486" i="6" s="1"/>
  <c r="T302" i="6"/>
  <c r="T486" i="6" s="1"/>
  <c r="V302" i="6"/>
  <c r="V486" i="6" s="1"/>
  <c r="Z302" i="6"/>
  <c r="Z486" i="6" s="1"/>
  <c r="AA302" i="6"/>
  <c r="AA486" i="6" s="1"/>
  <c r="A303" i="6"/>
  <c r="A487" i="6" s="1"/>
  <c r="B303" i="6"/>
  <c r="B487" i="6" s="1"/>
  <c r="C303" i="6"/>
  <c r="C487" i="6" s="1"/>
  <c r="D303" i="6"/>
  <c r="D487" i="6" s="1"/>
  <c r="E303" i="6"/>
  <c r="E487" i="6" s="1"/>
  <c r="F303" i="6"/>
  <c r="F487" i="6" s="1"/>
  <c r="G303" i="6"/>
  <c r="G487" i="6" s="1"/>
  <c r="J303" i="6"/>
  <c r="J487" i="6" s="1"/>
  <c r="K303" i="6"/>
  <c r="K487" i="6" s="1"/>
  <c r="L303" i="6"/>
  <c r="L487" i="6" s="1"/>
  <c r="M303" i="6"/>
  <c r="M487" i="6" s="1"/>
  <c r="N303" i="6"/>
  <c r="N487" i="6" s="1"/>
  <c r="O303" i="6"/>
  <c r="O487" i="6" s="1"/>
  <c r="P303" i="6"/>
  <c r="P487" i="6" s="1"/>
  <c r="Q303" i="6"/>
  <c r="Q487" i="6" s="1"/>
  <c r="R303" i="6"/>
  <c r="R487" i="6" s="1"/>
  <c r="S303" i="6"/>
  <c r="S487" i="6" s="1"/>
  <c r="T303" i="6"/>
  <c r="T487" i="6" s="1"/>
  <c r="U303" i="6"/>
  <c r="U487" i="6" s="1"/>
  <c r="V303" i="6"/>
  <c r="V487" i="6" s="1"/>
  <c r="Z303" i="6"/>
  <c r="Z487" i="6" s="1"/>
  <c r="AA303" i="6"/>
  <c r="AA487" i="6" s="1"/>
  <c r="A304" i="6"/>
  <c r="A488" i="6" s="1"/>
  <c r="B304" i="6"/>
  <c r="B488" i="6" s="1"/>
  <c r="C304" i="6"/>
  <c r="C488" i="6" s="1"/>
  <c r="D304" i="6"/>
  <c r="D488" i="6" s="1"/>
  <c r="E304" i="6"/>
  <c r="E488" i="6" s="1"/>
  <c r="F304" i="6"/>
  <c r="F488" i="6" s="1"/>
  <c r="G488" i="6"/>
  <c r="J304" i="6"/>
  <c r="J488" i="6" s="1"/>
  <c r="K304" i="6"/>
  <c r="K488" i="6" s="1"/>
  <c r="L304" i="6"/>
  <c r="L488" i="6" s="1"/>
  <c r="N304" i="6"/>
  <c r="N488" i="6" s="1"/>
  <c r="O304" i="6"/>
  <c r="O488" i="6" s="1"/>
  <c r="P304" i="6"/>
  <c r="P488" i="6" s="1"/>
  <c r="Q304" i="6"/>
  <c r="Q488" i="6" s="1"/>
  <c r="R304" i="6"/>
  <c r="R488" i="6" s="1"/>
  <c r="S304" i="6"/>
  <c r="S488" i="6" s="1"/>
  <c r="T304" i="6"/>
  <c r="T488" i="6" s="1"/>
  <c r="U304" i="6"/>
  <c r="U488" i="6" s="1"/>
  <c r="V304" i="6"/>
  <c r="V488" i="6" s="1"/>
  <c r="W304" i="6"/>
  <c r="W488" i="6" s="1"/>
  <c r="X304" i="6"/>
  <c r="X488" i="6" s="1"/>
  <c r="Y304" i="6"/>
  <c r="Y488" i="6" s="1"/>
  <c r="Z304" i="6"/>
  <c r="Z488" i="6" s="1"/>
  <c r="AA304" i="6"/>
  <c r="AA488" i="6" s="1"/>
  <c r="A305" i="6"/>
  <c r="A489" i="6" s="1"/>
  <c r="B305" i="6"/>
  <c r="B489" i="6" s="1"/>
  <c r="C305" i="6"/>
  <c r="C489" i="6" s="1"/>
  <c r="D305" i="6"/>
  <c r="D489" i="6" s="1"/>
  <c r="E305" i="6"/>
  <c r="F305" i="6"/>
  <c r="H305" i="6"/>
  <c r="H489" i="6" s="1"/>
  <c r="J305" i="6"/>
  <c r="J489" i="6" s="1"/>
  <c r="K305" i="6"/>
  <c r="K489" i="6" s="1"/>
  <c r="L305" i="6"/>
  <c r="L489" i="6" s="1"/>
  <c r="M305" i="6"/>
  <c r="M489" i="6" s="1"/>
  <c r="N305" i="6"/>
  <c r="N489" i="6" s="1"/>
  <c r="O305" i="6"/>
  <c r="O489" i="6" s="1"/>
  <c r="P305" i="6"/>
  <c r="P489" i="6" s="1"/>
  <c r="Q305" i="6"/>
  <c r="Q489" i="6" s="1"/>
  <c r="R305" i="6"/>
  <c r="R489" i="6" s="1"/>
  <c r="S305" i="6"/>
  <c r="S489" i="6" s="1"/>
  <c r="T305" i="6"/>
  <c r="T489" i="6" s="1"/>
  <c r="U305" i="6"/>
  <c r="U489" i="6" s="1"/>
  <c r="V305" i="6"/>
  <c r="V489" i="6" s="1"/>
  <c r="W305" i="6"/>
  <c r="W489" i="6" s="1"/>
  <c r="X305" i="6"/>
  <c r="X489" i="6" s="1"/>
  <c r="Y305" i="6"/>
  <c r="Y489" i="6" s="1"/>
  <c r="Z305" i="6"/>
  <c r="Z489" i="6" s="1"/>
  <c r="AA305" i="6"/>
  <c r="AA489" i="6" s="1"/>
  <c r="A306" i="6"/>
  <c r="A490" i="6" s="1"/>
  <c r="B306" i="6"/>
  <c r="B490" i="6" s="1"/>
  <c r="C306" i="6"/>
  <c r="C490" i="6" s="1"/>
  <c r="D306" i="6"/>
  <c r="D490" i="6" s="1"/>
  <c r="E306" i="6"/>
  <c r="E490" i="6" s="1"/>
  <c r="F306" i="6"/>
  <c r="F490" i="6" s="1"/>
  <c r="G306" i="6"/>
  <c r="G490" i="6" s="1"/>
  <c r="H306" i="6"/>
  <c r="H490" i="6" s="1"/>
  <c r="J306" i="6"/>
  <c r="J490" i="6" s="1"/>
  <c r="K306" i="6"/>
  <c r="K490" i="6" s="1"/>
  <c r="L306" i="6"/>
  <c r="L490" i="6" s="1"/>
  <c r="M306" i="6"/>
  <c r="M490" i="6" s="1"/>
  <c r="N306" i="6"/>
  <c r="N490" i="6" s="1"/>
  <c r="O306" i="6"/>
  <c r="O490" i="6" s="1"/>
  <c r="P306" i="6"/>
  <c r="P490" i="6" s="1"/>
  <c r="Q306" i="6"/>
  <c r="Q490" i="6" s="1"/>
  <c r="R306" i="6"/>
  <c r="R490" i="6" s="1"/>
  <c r="S306" i="6"/>
  <c r="S490" i="6" s="1"/>
  <c r="T306" i="6"/>
  <c r="T490" i="6" s="1"/>
  <c r="U306" i="6"/>
  <c r="U490" i="6" s="1"/>
  <c r="V306" i="6"/>
  <c r="V490" i="6" s="1"/>
  <c r="W306" i="6"/>
  <c r="W490" i="6" s="1"/>
  <c r="X306" i="6"/>
  <c r="X490" i="6" s="1"/>
  <c r="Y306" i="6"/>
  <c r="Y490" i="6" s="1"/>
  <c r="Z306" i="6"/>
  <c r="Z490" i="6" s="1"/>
  <c r="AA306" i="6"/>
  <c r="AA490" i="6" s="1"/>
  <c r="A307" i="6"/>
  <c r="A491" i="6" s="1"/>
  <c r="B307" i="6"/>
  <c r="B491" i="6" s="1"/>
  <c r="C307" i="6"/>
  <c r="C491" i="6" s="1"/>
  <c r="D307" i="6"/>
  <c r="D491" i="6" s="1"/>
  <c r="E307" i="6"/>
  <c r="E491" i="6" s="1"/>
  <c r="F307" i="6"/>
  <c r="F491" i="6" s="1"/>
  <c r="G307" i="6"/>
  <c r="G491" i="6" s="1"/>
  <c r="H307" i="6"/>
  <c r="H491" i="6" s="1"/>
  <c r="I307" i="6"/>
  <c r="I491" i="6" s="1"/>
  <c r="J307" i="6"/>
  <c r="J491" i="6" s="1"/>
  <c r="K307" i="6"/>
  <c r="K491" i="6" s="1"/>
  <c r="L307" i="6"/>
  <c r="L491" i="6" s="1"/>
  <c r="N307" i="6"/>
  <c r="N491" i="6" s="1"/>
  <c r="O307" i="6"/>
  <c r="O491" i="6" s="1"/>
  <c r="P307" i="6"/>
  <c r="P491" i="6" s="1"/>
  <c r="Q307" i="6"/>
  <c r="Q491" i="6" s="1"/>
  <c r="R307" i="6"/>
  <c r="R491" i="6" s="1"/>
  <c r="S307" i="6"/>
  <c r="S491" i="6" s="1"/>
  <c r="T307" i="6"/>
  <c r="T491" i="6" s="1"/>
  <c r="U307" i="6"/>
  <c r="U491" i="6" s="1"/>
  <c r="V307" i="6"/>
  <c r="V491" i="6" s="1"/>
  <c r="W307" i="6"/>
  <c r="W491" i="6" s="1"/>
  <c r="X307" i="6"/>
  <c r="X491" i="6" s="1"/>
  <c r="Y307" i="6"/>
  <c r="Y491" i="6" s="1"/>
  <c r="Z307" i="6"/>
  <c r="Z491" i="6" s="1"/>
  <c r="AA307" i="6"/>
  <c r="AA491" i="6" s="1"/>
  <c r="A308" i="6"/>
  <c r="A492" i="6" s="1"/>
  <c r="B308" i="6"/>
  <c r="B492" i="6" s="1"/>
  <c r="C308" i="6"/>
  <c r="C492" i="6" s="1"/>
  <c r="D308" i="6"/>
  <c r="D492" i="6" s="1"/>
  <c r="E308" i="6"/>
  <c r="E492" i="6" s="1"/>
  <c r="F308" i="6"/>
  <c r="F492" i="6" s="1"/>
  <c r="G308" i="6"/>
  <c r="G492" i="6" s="1"/>
  <c r="H308" i="6"/>
  <c r="H492" i="6" s="1"/>
  <c r="I308" i="6"/>
  <c r="I492" i="6" s="1"/>
  <c r="J308" i="6"/>
  <c r="J492" i="6" s="1"/>
  <c r="K308" i="6"/>
  <c r="K492" i="6" s="1"/>
  <c r="L308" i="6"/>
  <c r="L492" i="6" s="1"/>
  <c r="M308" i="6"/>
  <c r="M492" i="6" s="1"/>
  <c r="N308" i="6"/>
  <c r="N492" i="6" s="1"/>
  <c r="O308" i="6"/>
  <c r="O492" i="6" s="1"/>
  <c r="P308" i="6"/>
  <c r="P492" i="6" s="1"/>
  <c r="Q308" i="6"/>
  <c r="Q492" i="6" s="1"/>
  <c r="R308" i="6"/>
  <c r="R492" i="6" s="1"/>
  <c r="S308" i="6"/>
  <c r="S492" i="6" s="1"/>
  <c r="U492" i="6"/>
  <c r="V308" i="6"/>
  <c r="V492" i="6" s="1"/>
  <c r="W308" i="6"/>
  <c r="W492" i="6" s="1"/>
  <c r="X308" i="6"/>
  <c r="X492" i="6" s="1"/>
  <c r="Y308" i="6"/>
  <c r="Y492" i="6" s="1"/>
  <c r="Z308" i="6"/>
  <c r="Z492" i="6" s="1"/>
  <c r="AA308" i="6"/>
  <c r="AA492" i="6" s="1"/>
  <c r="A309" i="6"/>
  <c r="A493" i="6" s="1"/>
  <c r="B309" i="6"/>
  <c r="B493" i="6" s="1"/>
  <c r="C309" i="6"/>
  <c r="C493" i="6" s="1"/>
  <c r="D309" i="6"/>
  <c r="D493" i="6" s="1"/>
  <c r="E309" i="6"/>
  <c r="E493" i="6" s="1"/>
  <c r="F309" i="6"/>
  <c r="F493" i="6" s="1"/>
  <c r="G309" i="6"/>
  <c r="G493" i="6" s="1"/>
  <c r="H309" i="6"/>
  <c r="H493" i="6" s="1"/>
  <c r="I309" i="6"/>
  <c r="I493" i="6" s="1"/>
  <c r="J309" i="6"/>
  <c r="J493" i="6" s="1"/>
  <c r="K309" i="6"/>
  <c r="K493" i="6" s="1"/>
  <c r="L309" i="6"/>
  <c r="L493" i="6" s="1"/>
  <c r="M309" i="6"/>
  <c r="M493" i="6" s="1"/>
  <c r="N309" i="6"/>
  <c r="N493" i="6" s="1"/>
  <c r="O309" i="6"/>
  <c r="O493" i="6" s="1"/>
  <c r="P309" i="6"/>
  <c r="P493" i="6" s="1"/>
  <c r="Q309" i="6"/>
  <c r="Q493" i="6" s="1"/>
  <c r="R309" i="6"/>
  <c r="R493" i="6" s="1"/>
  <c r="S309" i="6"/>
  <c r="S493" i="6" s="1"/>
  <c r="T309" i="6"/>
  <c r="T493" i="6" s="1"/>
  <c r="U309" i="6"/>
  <c r="U493" i="6" s="1"/>
  <c r="V309" i="6"/>
  <c r="V493" i="6" s="1"/>
  <c r="W309" i="6"/>
  <c r="W493" i="6" s="1"/>
  <c r="X309" i="6"/>
  <c r="X493" i="6" s="1"/>
  <c r="Y309" i="6"/>
  <c r="Y493" i="6" s="1"/>
  <c r="Z309" i="6"/>
  <c r="Z493" i="6" s="1"/>
  <c r="AA309" i="6"/>
  <c r="AA493" i="6" s="1"/>
  <c r="A310" i="6"/>
  <c r="A494" i="6" s="1"/>
  <c r="B310" i="6"/>
  <c r="B494" i="6" s="1"/>
  <c r="C310" i="6"/>
  <c r="C494" i="6" s="1"/>
  <c r="D310" i="6"/>
  <c r="D494" i="6" s="1"/>
  <c r="E310" i="6"/>
  <c r="E494" i="6" s="1"/>
  <c r="F310" i="6"/>
  <c r="F494" i="6" s="1"/>
  <c r="G310" i="6"/>
  <c r="G494" i="6" s="1"/>
  <c r="H310" i="6"/>
  <c r="H494" i="6" s="1"/>
  <c r="I310" i="6"/>
  <c r="I494" i="6" s="1"/>
  <c r="J310" i="6"/>
  <c r="J494" i="6" s="1"/>
  <c r="K310" i="6"/>
  <c r="K494" i="6" s="1"/>
  <c r="M310" i="6"/>
  <c r="M494" i="6" s="1"/>
  <c r="N310" i="6"/>
  <c r="N494" i="6" s="1"/>
  <c r="O310" i="6"/>
  <c r="O494" i="6" s="1"/>
  <c r="P310" i="6"/>
  <c r="P494" i="6" s="1"/>
  <c r="Q310" i="6"/>
  <c r="Q494" i="6" s="1"/>
  <c r="R310" i="6"/>
  <c r="R494" i="6" s="1"/>
  <c r="V310" i="6"/>
  <c r="V494" i="6" s="1"/>
  <c r="W310" i="6"/>
  <c r="W494" i="6" s="1"/>
  <c r="X310" i="6"/>
  <c r="X494" i="6" s="1"/>
  <c r="Y310" i="6"/>
  <c r="Y494" i="6" s="1"/>
  <c r="Z310" i="6"/>
  <c r="Z494" i="6" s="1"/>
  <c r="AA310" i="6"/>
  <c r="AA494" i="6" s="1"/>
  <c r="A311" i="6"/>
  <c r="A495" i="6" s="1"/>
  <c r="B311" i="6"/>
  <c r="B495" i="6" s="1"/>
  <c r="C311" i="6"/>
  <c r="C495" i="6" s="1"/>
  <c r="D311" i="6"/>
  <c r="D495" i="6" s="1"/>
  <c r="E311" i="6"/>
  <c r="E495" i="6" s="1"/>
  <c r="F311" i="6"/>
  <c r="F495" i="6" s="1"/>
  <c r="G311" i="6"/>
  <c r="G495" i="6" s="1"/>
  <c r="K311" i="6"/>
  <c r="K495" i="6" s="1"/>
  <c r="M311" i="6"/>
  <c r="M495" i="6" s="1"/>
  <c r="N311" i="6"/>
  <c r="P311" i="6"/>
  <c r="P495" i="6" s="1"/>
  <c r="Q311" i="6"/>
  <c r="Q495" i="6" s="1"/>
  <c r="R311" i="6"/>
  <c r="R495" i="6" s="1"/>
  <c r="V311" i="6"/>
  <c r="V495" i="6" s="1"/>
  <c r="W311" i="6"/>
  <c r="W495" i="6" s="1"/>
  <c r="X311" i="6"/>
  <c r="X495" i="6" s="1"/>
  <c r="Y311" i="6"/>
  <c r="Y495" i="6" s="1"/>
  <c r="Z311" i="6"/>
  <c r="Z495" i="6" s="1"/>
  <c r="AA311" i="6"/>
  <c r="AA495" i="6" s="1"/>
  <c r="A312" i="6"/>
  <c r="A496" i="6" s="1"/>
  <c r="B312" i="6"/>
  <c r="B496" i="6" s="1"/>
  <c r="C312" i="6"/>
  <c r="C496" i="6" s="1"/>
  <c r="D312" i="6"/>
  <c r="D496" i="6" s="1"/>
  <c r="E312" i="6"/>
  <c r="E496" i="6" s="1"/>
  <c r="F312" i="6"/>
  <c r="F496" i="6" s="1"/>
  <c r="G312" i="6"/>
  <c r="G496" i="6" s="1"/>
  <c r="H312" i="6"/>
  <c r="H496" i="6" s="1"/>
  <c r="I312" i="6"/>
  <c r="I496" i="6" s="1"/>
  <c r="J312" i="6"/>
  <c r="J496" i="6" s="1"/>
  <c r="M312" i="6"/>
  <c r="M496" i="6" s="1"/>
  <c r="N312" i="6"/>
  <c r="P312" i="6"/>
  <c r="P496" i="6" s="1"/>
  <c r="Q312" i="6"/>
  <c r="Q496" i="6" s="1"/>
  <c r="R312" i="6"/>
  <c r="R496" i="6" s="1"/>
  <c r="S312" i="6"/>
  <c r="S496" i="6" s="1"/>
  <c r="T312" i="6"/>
  <c r="T496" i="6" s="1"/>
  <c r="U312" i="6"/>
  <c r="U496" i="6" s="1"/>
  <c r="V312" i="6"/>
  <c r="V496" i="6" s="1"/>
  <c r="W312" i="6"/>
  <c r="W496" i="6" s="1"/>
  <c r="X312" i="6"/>
  <c r="X496" i="6" s="1"/>
  <c r="Y312" i="6"/>
  <c r="Y496" i="6" s="1"/>
  <c r="Z312" i="6"/>
  <c r="Z496" i="6" s="1"/>
  <c r="AA312" i="6"/>
  <c r="AA496" i="6" s="1"/>
  <c r="A313" i="6"/>
  <c r="A497" i="6" s="1"/>
  <c r="B313" i="6"/>
  <c r="B497" i="6" s="1"/>
  <c r="C313" i="6"/>
  <c r="C497" i="6" s="1"/>
  <c r="D313" i="6"/>
  <c r="D497" i="6" s="1"/>
  <c r="E313" i="6"/>
  <c r="E497" i="6" s="1"/>
  <c r="F313" i="6"/>
  <c r="F497" i="6" s="1"/>
  <c r="G313" i="6"/>
  <c r="G497" i="6" s="1"/>
  <c r="H313" i="6"/>
  <c r="H497" i="6" s="1"/>
  <c r="I313" i="6"/>
  <c r="I497" i="6" s="1"/>
  <c r="J313" i="6"/>
  <c r="J497" i="6" s="1"/>
  <c r="M313" i="6"/>
  <c r="M497" i="6" s="1"/>
  <c r="N313" i="6"/>
  <c r="N497" i="6" s="1"/>
  <c r="P313" i="6"/>
  <c r="P497" i="6" s="1"/>
  <c r="Q313" i="6"/>
  <c r="Q497" i="6" s="1"/>
  <c r="R313" i="6"/>
  <c r="R497" i="6" s="1"/>
  <c r="V313" i="6"/>
  <c r="V497" i="6" s="1"/>
  <c r="W313" i="6"/>
  <c r="W497" i="6" s="1"/>
  <c r="X313" i="6"/>
  <c r="X497" i="6" s="1"/>
  <c r="Y313" i="6"/>
  <c r="Y497" i="6" s="1"/>
  <c r="Z313" i="6"/>
  <c r="Z497" i="6" s="1"/>
  <c r="AA313" i="6"/>
  <c r="AA497" i="6" s="1"/>
  <c r="A314" i="6"/>
  <c r="A498" i="6" s="1"/>
  <c r="B314" i="6"/>
  <c r="B498" i="6" s="1"/>
  <c r="C314" i="6"/>
  <c r="C498" i="6" s="1"/>
  <c r="D314" i="6"/>
  <c r="D498" i="6" s="1"/>
  <c r="E314" i="6"/>
  <c r="E498" i="6" s="1"/>
  <c r="F314" i="6"/>
  <c r="F498" i="6" s="1"/>
  <c r="G314" i="6"/>
  <c r="G498" i="6" s="1"/>
  <c r="H314" i="6"/>
  <c r="H498" i="6" s="1"/>
  <c r="I314" i="6"/>
  <c r="I498" i="6" s="1"/>
  <c r="J314" i="6"/>
  <c r="J498" i="6" s="1"/>
  <c r="K314" i="6"/>
  <c r="K498" i="6" s="1"/>
  <c r="N314" i="6"/>
  <c r="N498" i="6" s="1"/>
  <c r="P314" i="6"/>
  <c r="P498" i="6" s="1"/>
  <c r="Q314" i="6"/>
  <c r="Q498" i="6" s="1"/>
  <c r="R314" i="6"/>
  <c r="R498" i="6" s="1"/>
  <c r="V314" i="6"/>
  <c r="V498" i="6" s="1"/>
  <c r="W314" i="6"/>
  <c r="W498" i="6" s="1"/>
  <c r="X314" i="6"/>
  <c r="X498" i="6" s="1"/>
  <c r="Y314" i="6"/>
  <c r="Y498" i="6" s="1"/>
  <c r="Z314" i="6"/>
  <c r="Z498" i="6" s="1"/>
  <c r="AA314" i="6"/>
  <c r="AA498" i="6" s="1"/>
  <c r="A315" i="6"/>
  <c r="A499" i="6" s="1"/>
  <c r="B315" i="6"/>
  <c r="B499" i="6" s="1"/>
  <c r="C315" i="6"/>
  <c r="C499" i="6" s="1"/>
  <c r="D315" i="6"/>
  <c r="D499" i="6" s="1"/>
  <c r="E315" i="6"/>
  <c r="E499" i="6" s="1"/>
  <c r="F315" i="6"/>
  <c r="F499" i="6" s="1"/>
  <c r="G315" i="6"/>
  <c r="G499" i="6" s="1"/>
  <c r="H315" i="6"/>
  <c r="H499" i="6" s="1"/>
  <c r="I315" i="6"/>
  <c r="I499" i="6" s="1"/>
  <c r="J315" i="6"/>
  <c r="J499" i="6" s="1"/>
  <c r="K315" i="6"/>
  <c r="K499" i="6" s="1"/>
  <c r="L315" i="6"/>
  <c r="L499" i="6" s="1"/>
  <c r="M315" i="6"/>
  <c r="M499" i="6" s="1"/>
  <c r="P315" i="6"/>
  <c r="P499" i="6" s="1"/>
  <c r="Q315" i="6"/>
  <c r="Q499" i="6" s="1"/>
  <c r="R315" i="6"/>
  <c r="R499" i="6" s="1"/>
  <c r="S315" i="6"/>
  <c r="S499" i="6" s="1"/>
  <c r="T315" i="6"/>
  <c r="T499" i="6" s="1"/>
  <c r="U315" i="6"/>
  <c r="U499" i="6" s="1"/>
  <c r="V315" i="6"/>
  <c r="V499" i="6" s="1"/>
  <c r="W315" i="6"/>
  <c r="W499" i="6" s="1"/>
  <c r="X315" i="6"/>
  <c r="X499" i="6" s="1"/>
  <c r="Y315" i="6"/>
  <c r="Y499" i="6" s="1"/>
  <c r="Z315" i="6"/>
  <c r="Z499" i="6" s="1"/>
  <c r="AA315" i="6"/>
  <c r="AA499" i="6" s="1"/>
  <c r="A316" i="6"/>
  <c r="A500" i="6" s="1"/>
  <c r="B316" i="6"/>
  <c r="B500" i="6" s="1"/>
  <c r="C316" i="6"/>
  <c r="C500" i="6" s="1"/>
  <c r="D316" i="6"/>
  <c r="D500" i="6" s="1"/>
  <c r="E316" i="6"/>
  <c r="E500" i="6" s="1"/>
  <c r="F316" i="6"/>
  <c r="F500" i="6" s="1"/>
  <c r="G316" i="6"/>
  <c r="G500" i="6" s="1"/>
  <c r="H316" i="6"/>
  <c r="H500" i="6" s="1"/>
  <c r="I316" i="6"/>
  <c r="I500" i="6" s="1"/>
  <c r="J316" i="6"/>
  <c r="J500" i="6" s="1"/>
  <c r="K316" i="6"/>
  <c r="K500" i="6" s="1"/>
  <c r="L316" i="6"/>
  <c r="L500" i="6" s="1"/>
  <c r="M500" i="6"/>
  <c r="P316" i="6"/>
  <c r="P500" i="6" s="1"/>
  <c r="Q316" i="6"/>
  <c r="Q500" i="6" s="1"/>
  <c r="R316" i="6"/>
  <c r="R500" i="6" s="1"/>
  <c r="V316" i="6"/>
  <c r="V500" i="6" s="1"/>
  <c r="W316" i="6"/>
  <c r="W500" i="6" s="1"/>
  <c r="X316" i="6"/>
  <c r="X500" i="6" s="1"/>
  <c r="Y316" i="6"/>
  <c r="Y500" i="6" s="1"/>
  <c r="Z316" i="6"/>
  <c r="Z500" i="6" s="1"/>
  <c r="AA316" i="6"/>
  <c r="AA500" i="6" s="1"/>
  <c r="A317" i="6"/>
  <c r="A501" i="6" s="1"/>
  <c r="B317" i="6"/>
  <c r="B501" i="6" s="1"/>
  <c r="C317" i="6"/>
  <c r="C501" i="6" s="1"/>
  <c r="D317" i="6"/>
  <c r="D501" i="6" s="1"/>
  <c r="E317" i="6"/>
  <c r="E501" i="6" s="1"/>
  <c r="F317" i="6"/>
  <c r="F501" i="6" s="1"/>
  <c r="G317" i="6"/>
  <c r="G501" i="6" s="1"/>
  <c r="H317" i="6"/>
  <c r="H501" i="6" s="1"/>
  <c r="I317" i="6"/>
  <c r="I501" i="6" s="1"/>
  <c r="J317" i="6"/>
  <c r="J501" i="6" s="1"/>
  <c r="K317" i="6"/>
  <c r="K501" i="6" s="1"/>
  <c r="L317" i="6"/>
  <c r="L501" i="6" s="1"/>
  <c r="M317" i="6"/>
  <c r="M501" i="6" s="1"/>
  <c r="N317" i="6"/>
  <c r="N501" i="6" s="1"/>
  <c r="O317" i="6"/>
  <c r="O501" i="6" s="1"/>
  <c r="P317" i="6"/>
  <c r="P501" i="6" s="1"/>
  <c r="Q317" i="6"/>
  <c r="Q501" i="6" s="1"/>
  <c r="R317" i="6"/>
  <c r="R501" i="6" s="1"/>
  <c r="V317" i="6"/>
  <c r="V501" i="6" s="1"/>
  <c r="W317" i="6"/>
  <c r="W501" i="6" s="1"/>
  <c r="X317" i="6"/>
  <c r="X501" i="6" s="1"/>
  <c r="Y317" i="6"/>
  <c r="Y501" i="6" s="1"/>
  <c r="Z317" i="6"/>
  <c r="Z501" i="6" s="1"/>
  <c r="AA317" i="6"/>
  <c r="AA501" i="6" s="1"/>
  <c r="A318" i="6"/>
  <c r="A502" i="6" s="1"/>
  <c r="B318" i="6"/>
  <c r="B502" i="6" s="1"/>
  <c r="C318" i="6"/>
  <c r="C502" i="6" s="1"/>
  <c r="D318" i="6"/>
  <c r="D502" i="6" s="1"/>
  <c r="E318" i="6"/>
  <c r="E502" i="6" s="1"/>
  <c r="F318" i="6"/>
  <c r="F502" i="6" s="1"/>
  <c r="G318" i="6"/>
  <c r="G502" i="6" s="1"/>
  <c r="H318" i="6"/>
  <c r="H502" i="6" s="1"/>
  <c r="I318" i="6"/>
  <c r="I502" i="6" s="1"/>
  <c r="J318" i="6"/>
  <c r="J502" i="6" s="1"/>
  <c r="K318" i="6"/>
  <c r="K502" i="6" s="1"/>
  <c r="L318" i="6"/>
  <c r="L502" i="6" s="1"/>
  <c r="M318" i="6"/>
  <c r="M502" i="6" s="1"/>
  <c r="N318" i="6"/>
  <c r="N502" i="6" s="1"/>
  <c r="O318" i="6"/>
  <c r="O502" i="6" s="1"/>
  <c r="P318" i="6"/>
  <c r="P502" i="6" s="1"/>
  <c r="Q318" i="6"/>
  <c r="Q502" i="6" s="1"/>
  <c r="R318" i="6"/>
  <c r="R502" i="6" s="1"/>
  <c r="S318" i="6"/>
  <c r="S502" i="6" s="1"/>
  <c r="T318" i="6"/>
  <c r="T502" i="6" s="1"/>
  <c r="U318" i="6"/>
  <c r="U502" i="6" s="1"/>
  <c r="V318" i="6"/>
  <c r="V502" i="6" s="1"/>
  <c r="W318" i="6"/>
  <c r="W502" i="6" s="1"/>
  <c r="X318" i="6"/>
  <c r="X502" i="6" s="1"/>
  <c r="Y318" i="6"/>
  <c r="Y502" i="6" s="1"/>
  <c r="Z318" i="6"/>
  <c r="Z502" i="6" s="1"/>
  <c r="AA318" i="6"/>
  <c r="AA502" i="6" s="1"/>
  <c r="A319" i="6"/>
  <c r="A503" i="6" s="1"/>
  <c r="B319" i="6"/>
  <c r="B503" i="6" s="1"/>
  <c r="C319" i="6"/>
  <c r="C503" i="6" s="1"/>
  <c r="D319" i="6"/>
  <c r="D503" i="6" s="1"/>
  <c r="E319" i="6"/>
  <c r="E503" i="6" s="1"/>
  <c r="F319" i="6"/>
  <c r="F503" i="6" s="1"/>
  <c r="G319" i="6"/>
  <c r="G503" i="6" s="1"/>
  <c r="H319" i="6"/>
  <c r="H503" i="6" s="1"/>
  <c r="I319" i="6"/>
  <c r="I503" i="6" s="1"/>
  <c r="J319" i="6"/>
  <c r="J503" i="6" s="1"/>
  <c r="K319" i="6"/>
  <c r="K503" i="6" s="1"/>
  <c r="M319" i="6"/>
  <c r="M503" i="6" s="1"/>
  <c r="N319" i="6"/>
  <c r="N503" i="6" s="1"/>
  <c r="O319" i="6"/>
  <c r="O503" i="6" s="1"/>
  <c r="P319" i="6"/>
  <c r="P503" i="6" s="1"/>
  <c r="Q319" i="6"/>
  <c r="Q503" i="6" s="1"/>
  <c r="R319" i="6"/>
  <c r="R503" i="6" s="1"/>
  <c r="T319" i="6"/>
  <c r="T503" i="6" s="1"/>
  <c r="U319" i="6"/>
  <c r="U503" i="6" s="1"/>
  <c r="V319" i="6"/>
  <c r="V503" i="6" s="1"/>
  <c r="W319" i="6"/>
  <c r="W503" i="6" s="1"/>
  <c r="X319" i="6"/>
  <c r="X503" i="6" s="1"/>
  <c r="Y319" i="6"/>
  <c r="Y503" i="6" s="1"/>
  <c r="Z319" i="6"/>
  <c r="Z503" i="6" s="1"/>
  <c r="AA319" i="6"/>
  <c r="AA503" i="6" s="1"/>
  <c r="A320" i="6"/>
  <c r="A504" i="6" s="1"/>
  <c r="B320" i="6"/>
  <c r="B504" i="6" s="1"/>
  <c r="C320" i="6"/>
  <c r="C504" i="6" s="1"/>
  <c r="D320" i="6"/>
  <c r="D504" i="6" s="1"/>
  <c r="G320" i="6"/>
  <c r="G504" i="6" s="1"/>
  <c r="H320" i="6"/>
  <c r="H504" i="6" s="1"/>
  <c r="I320" i="6"/>
  <c r="I504" i="6" s="1"/>
  <c r="J320" i="6"/>
  <c r="J504" i="6" s="1"/>
  <c r="K320" i="6"/>
  <c r="K504" i="6" s="1"/>
  <c r="L320" i="6"/>
  <c r="L504" i="6" s="1"/>
  <c r="M320" i="6"/>
  <c r="M504" i="6" s="1"/>
  <c r="N320" i="6"/>
  <c r="N504" i="6" s="1"/>
  <c r="O320" i="6"/>
  <c r="O504" i="6" s="1"/>
  <c r="P320" i="6"/>
  <c r="P504" i="6" s="1"/>
  <c r="Q320" i="6"/>
  <c r="Q504" i="6" s="1"/>
  <c r="R320" i="6"/>
  <c r="R504" i="6" s="1"/>
  <c r="S320" i="6"/>
  <c r="S504" i="6" s="1"/>
  <c r="T320" i="6"/>
  <c r="T504" i="6" s="1"/>
  <c r="U320" i="6"/>
  <c r="U504" i="6" s="1"/>
  <c r="V320" i="6"/>
  <c r="V504" i="6" s="1"/>
  <c r="W320" i="6"/>
  <c r="W504" i="6" s="1"/>
  <c r="X320" i="6"/>
  <c r="X504" i="6" s="1"/>
  <c r="Y320" i="6"/>
  <c r="Y504" i="6" s="1"/>
  <c r="Z320" i="6"/>
  <c r="Z504" i="6" s="1"/>
  <c r="AA320" i="6"/>
  <c r="AA504" i="6" s="1"/>
  <c r="A321" i="6"/>
  <c r="A505" i="6" s="1"/>
  <c r="B321" i="6"/>
  <c r="B505" i="6" s="1"/>
  <c r="C321" i="6"/>
  <c r="C505" i="6" s="1"/>
  <c r="D321" i="6"/>
  <c r="D505" i="6" s="1"/>
  <c r="G321" i="6"/>
  <c r="G505" i="6" s="1"/>
  <c r="H321" i="6"/>
  <c r="H505" i="6" s="1"/>
  <c r="I321" i="6"/>
  <c r="I505" i="6" s="1"/>
  <c r="J321" i="6"/>
  <c r="J505" i="6" s="1"/>
  <c r="K321" i="6"/>
  <c r="K505" i="6" s="1"/>
  <c r="L321" i="6"/>
  <c r="L505" i="6" s="1"/>
  <c r="M321" i="6"/>
  <c r="M505" i="6" s="1"/>
  <c r="N321" i="6"/>
  <c r="N505" i="6" s="1"/>
  <c r="O321" i="6"/>
  <c r="O505" i="6" s="1"/>
  <c r="P321" i="6"/>
  <c r="P505" i="6" s="1"/>
  <c r="Q321" i="6"/>
  <c r="Q505" i="6" s="1"/>
  <c r="R321" i="6"/>
  <c r="R505" i="6" s="1"/>
  <c r="S321" i="6"/>
  <c r="S505" i="6" s="1"/>
  <c r="T321" i="6"/>
  <c r="T505" i="6" s="1"/>
  <c r="U321" i="6"/>
  <c r="U505" i="6" s="1"/>
  <c r="V321" i="6"/>
  <c r="V505" i="6" s="1"/>
  <c r="W321" i="6"/>
  <c r="W505" i="6" s="1"/>
  <c r="X321" i="6"/>
  <c r="X505" i="6" s="1"/>
  <c r="Y321" i="6"/>
  <c r="Y505" i="6" s="1"/>
  <c r="Z321" i="6"/>
  <c r="Z505" i="6" s="1"/>
  <c r="AA321" i="6"/>
  <c r="AA505" i="6" s="1"/>
  <c r="A322" i="6"/>
  <c r="A506" i="6" s="1"/>
  <c r="B322" i="6"/>
  <c r="B506" i="6" s="1"/>
  <c r="C322" i="6"/>
  <c r="C506" i="6" s="1"/>
  <c r="D322" i="6"/>
  <c r="D506" i="6" s="1"/>
  <c r="E322" i="6"/>
  <c r="E506" i="6" s="1"/>
  <c r="G322" i="6"/>
  <c r="G506" i="6" s="1"/>
  <c r="H322" i="6"/>
  <c r="H506" i="6" s="1"/>
  <c r="I322" i="6"/>
  <c r="I506" i="6" s="1"/>
  <c r="J322" i="6"/>
  <c r="J506" i="6" s="1"/>
  <c r="K322" i="6"/>
  <c r="K506" i="6" s="1"/>
  <c r="L322" i="6"/>
  <c r="L506" i="6" s="1"/>
  <c r="M322" i="6"/>
  <c r="M506" i="6" s="1"/>
  <c r="N322" i="6"/>
  <c r="N506" i="6" s="1"/>
  <c r="O322" i="6"/>
  <c r="O506" i="6" s="1"/>
  <c r="P322" i="6"/>
  <c r="P506" i="6" s="1"/>
  <c r="Q322" i="6"/>
  <c r="Q506" i="6" s="1"/>
  <c r="R322" i="6"/>
  <c r="R506" i="6" s="1"/>
  <c r="S322" i="6"/>
  <c r="S506" i="6" s="1"/>
  <c r="T322" i="6"/>
  <c r="T506" i="6" s="1"/>
  <c r="U322" i="6"/>
  <c r="U506" i="6" s="1"/>
  <c r="V322" i="6"/>
  <c r="V506" i="6" s="1"/>
  <c r="W322" i="6"/>
  <c r="W506" i="6" s="1"/>
  <c r="X322" i="6"/>
  <c r="X506" i="6" s="1"/>
  <c r="Y322" i="6"/>
  <c r="Y506" i="6" s="1"/>
  <c r="Z322" i="6"/>
  <c r="Z506" i="6" s="1"/>
  <c r="AA322" i="6"/>
  <c r="AA506" i="6" s="1"/>
  <c r="A323" i="6"/>
  <c r="A507" i="6" s="1"/>
  <c r="B323" i="6"/>
  <c r="B507" i="6" s="1"/>
  <c r="C323" i="6"/>
  <c r="C507" i="6" s="1"/>
  <c r="D323" i="6"/>
  <c r="D507" i="6" s="1"/>
  <c r="G323" i="6"/>
  <c r="G507" i="6" s="1"/>
  <c r="H323" i="6"/>
  <c r="H507" i="6" s="1"/>
  <c r="I323" i="6"/>
  <c r="I507" i="6" s="1"/>
  <c r="J323" i="6"/>
  <c r="J507" i="6" s="1"/>
  <c r="K323" i="6"/>
  <c r="K507" i="6" s="1"/>
  <c r="L323" i="6"/>
  <c r="L507" i="6" s="1"/>
  <c r="M323" i="6"/>
  <c r="M507" i="6" s="1"/>
  <c r="N323" i="6"/>
  <c r="N507" i="6" s="1"/>
  <c r="O323" i="6"/>
  <c r="O507" i="6" s="1"/>
  <c r="P323" i="6"/>
  <c r="P507" i="6" s="1"/>
  <c r="Q323" i="6"/>
  <c r="Q507" i="6" s="1"/>
  <c r="R323" i="6"/>
  <c r="R507" i="6" s="1"/>
  <c r="S323" i="6"/>
  <c r="S507" i="6" s="1"/>
  <c r="T323" i="6"/>
  <c r="T507" i="6" s="1"/>
  <c r="U323" i="6"/>
  <c r="U507" i="6" s="1"/>
  <c r="V323" i="6"/>
  <c r="V507" i="6" s="1"/>
  <c r="W323" i="6"/>
  <c r="W507" i="6" s="1"/>
  <c r="X323" i="6"/>
  <c r="X507" i="6" s="1"/>
  <c r="Y323" i="6"/>
  <c r="Y507" i="6" s="1"/>
  <c r="Z323" i="6"/>
  <c r="Z507" i="6" s="1"/>
  <c r="AA323" i="6"/>
  <c r="AA507" i="6" s="1"/>
  <c r="A324" i="6"/>
  <c r="A508" i="6" s="1"/>
  <c r="B324" i="6"/>
  <c r="B508" i="6" s="1"/>
  <c r="C324" i="6"/>
  <c r="C508" i="6" s="1"/>
  <c r="D324" i="6"/>
  <c r="D508" i="6" s="1"/>
  <c r="G324" i="6"/>
  <c r="G508" i="6" s="1"/>
  <c r="H324" i="6"/>
  <c r="H508" i="6" s="1"/>
  <c r="I324" i="6"/>
  <c r="I508" i="6" s="1"/>
  <c r="J324" i="6"/>
  <c r="J508" i="6" s="1"/>
  <c r="K324" i="6"/>
  <c r="K508" i="6" s="1"/>
  <c r="L324" i="6"/>
  <c r="L508" i="6" s="1"/>
  <c r="M324" i="6"/>
  <c r="M508" i="6" s="1"/>
  <c r="N324" i="6"/>
  <c r="N508" i="6" s="1"/>
  <c r="O324" i="6"/>
  <c r="O508" i="6" s="1"/>
  <c r="P324" i="6"/>
  <c r="P508" i="6" s="1"/>
  <c r="Q324" i="6"/>
  <c r="Q508" i="6" s="1"/>
  <c r="R324" i="6"/>
  <c r="R508" i="6" s="1"/>
  <c r="S324" i="6"/>
  <c r="S508" i="6" s="1"/>
  <c r="T324" i="6"/>
  <c r="T508" i="6" s="1"/>
  <c r="U324" i="6"/>
  <c r="U508" i="6" s="1"/>
  <c r="V324" i="6"/>
  <c r="V508" i="6" s="1"/>
  <c r="W324" i="6"/>
  <c r="W508" i="6" s="1"/>
  <c r="X324" i="6"/>
  <c r="X508" i="6" s="1"/>
  <c r="Y324" i="6"/>
  <c r="Y508" i="6" s="1"/>
  <c r="Z324" i="6"/>
  <c r="Z508" i="6" s="1"/>
  <c r="AA324" i="6"/>
  <c r="AA508" i="6" s="1"/>
  <c r="A327" i="6"/>
  <c r="A509" i="6" s="1"/>
  <c r="B327" i="6"/>
  <c r="B509" i="6" s="1"/>
  <c r="C327" i="6"/>
  <c r="C509" i="6" s="1"/>
  <c r="D327" i="6"/>
  <c r="D509" i="6" s="1"/>
  <c r="E327" i="6"/>
  <c r="E509" i="6" s="1"/>
  <c r="G327" i="6"/>
  <c r="G509" i="6" s="1"/>
  <c r="H327" i="6"/>
  <c r="H509" i="6" s="1"/>
  <c r="I327" i="6"/>
  <c r="I509" i="6" s="1"/>
  <c r="J327" i="6"/>
  <c r="J509" i="6" s="1"/>
  <c r="K327" i="6"/>
  <c r="K509" i="6" s="1"/>
  <c r="L327" i="6"/>
  <c r="L509" i="6" s="1"/>
  <c r="M327" i="6"/>
  <c r="M509" i="6" s="1"/>
  <c r="N327" i="6"/>
  <c r="N509" i="6" s="1"/>
  <c r="P327" i="6"/>
  <c r="P509" i="6" s="1"/>
  <c r="Q327" i="6"/>
  <c r="Q509" i="6" s="1"/>
  <c r="S327" i="6"/>
  <c r="S509" i="6" s="1"/>
  <c r="T327" i="6"/>
  <c r="T509" i="6" s="1"/>
  <c r="U327" i="6"/>
  <c r="U509" i="6" s="1"/>
  <c r="V327" i="6"/>
  <c r="V509" i="6" s="1"/>
  <c r="X327" i="6"/>
  <c r="X509" i="6" s="1"/>
  <c r="Y327" i="6"/>
  <c r="Y509" i="6" s="1"/>
  <c r="Z327" i="6"/>
  <c r="Z509" i="6" s="1"/>
  <c r="AA327" i="6"/>
  <c r="AA509" i="6" s="1"/>
  <c r="A328" i="6"/>
  <c r="A510" i="6" s="1"/>
  <c r="B328" i="6"/>
  <c r="B510" i="6" s="1"/>
  <c r="C328" i="6"/>
  <c r="C510" i="6" s="1"/>
  <c r="D328" i="6"/>
  <c r="D510" i="6" s="1"/>
  <c r="E328" i="6"/>
  <c r="E510" i="6" s="1"/>
  <c r="F328" i="6"/>
  <c r="F510" i="6" s="1"/>
  <c r="G328" i="6"/>
  <c r="G510" i="6" s="1"/>
  <c r="H328" i="6"/>
  <c r="H510" i="6" s="1"/>
  <c r="I328" i="6"/>
  <c r="I510" i="6" s="1"/>
  <c r="J328" i="6"/>
  <c r="J510" i="6" s="1"/>
  <c r="K328" i="6"/>
  <c r="K510" i="6" s="1"/>
  <c r="L328" i="6"/>
  <c r="L510" i="6" s="1"/>
  <c r="M328" i="6"/>
  <c r="M510" i="6" s="1"/>
  <c r="N328" i="6"/>
  <c r="N510" i="6" s="1"/>
  <c r="O328" i="6"/>
  <c r="O510" i="6" s="1"/>
  <c r="P328" i="6"/>
  <c r="P510" i="6" s="1"/>
  <c r="Q328" i="6"/>
  <c r="Q510" i="6" s="1"/>
  <c r="R328" i="6"/>
  <c r="R510" i="6" s="1"/>
  <c r="S328" i="6"/>
  <c r="S510" i="6" s="1"/>
  <c r="T328" i="6"/>
  <c r="T510" i="6" s="1"/>
  <c r="U328" i="6"/>
  <c r="U510" i="6" s="1"/>
  <c r="V328" i="6"/>
  <c r="V510" i="6" s="1"/>
  <c r="W328" i="6"/>
  <c r="W510" i="6" s="1"/>
  <c r="Y510" i="6"/>
  <c r="Z328" i="6"/>
  <c r="Z510" i="6" s="1"/>
  <c r="AA328" i="6"/>
  <c r="AA510" i="6" s="1"/>
  <c r="A329" i="6"/>
  <c r="A511" i="6" s="1"/>
  <c r="B329" i="6"/>
  <c r="B511" i="6" s="1"/>
  <c r="C329" i="6"/>
  <c r="C511" i="6" s="1"/>
  <c r="D329" i="6"/>
  <c r="D511" i="6" s="1"/>
  <c r="E329" i="6"/>
  <c r="E511" i="6" s="1"/>
  <c r="G329" i="6"/>
  <c r="G511" i="6" s="1"/>
  <c r="H329" i="6"/>
  <c r="H511" i="6" s="1"/>
  <c r="I329" i="6"/>
  <c r="I511" i="6" s="1"/>
  <c r="J329" i="6"/>
  <c r="J511" i="6" s="1"/>
  <c r="K329" i="6"/>
  <c r="K511" i="6" s="1"/>
  <c r="L329" i="6"/>
  <c r="L511" i="6" s="1"/>
  <c r="M329" i="6"/>
  <c r="M511" i="6" s="1"/>
  <c r="N329" i="6"/>
  <c r="N511" i="6" s="1"/>
  <c r="O329" i="6"/>
  <c r="O511" i="6" s="1"/>
  <c r="P329" i="6"/>
  <c r="P511" i="6" s="1"/>
  <c r="Q329" i="6"/>
  <c r="Q511" i="6" s="1"/>
  <c r="R329" i="6"/>
  <c r="R511" i="6" s="1"/>
  <c r="S329" i="6"/>
  <c r="S511" i="6" s="1"/>
  <c r="T329" i="6"/>
  <c r="T511" i="6" s="1"/>
  <c r="U329" i="6"/>
  <c r="U511" i="6" s="1"/>
  <c r="V329" i="6"/>
  <c r="V511" i="6" s="1"/>
  <c r="W329" i="6"/>
  <c r="W511" i="6" s="1"/>
  <c r="X329" i="6"/>
  <c r="X511" i="6" s="1"/>
  <c r="Y329" i="6"/>
  <c r="Y511" i="6" s="1"/>
  <c r="Z329" i="6"/>
  <c r="Z511" i="6" s="1"/>
  <c r="AA329" i="6"/>
  <c r="AA511" i="6" s="1"/>
  <c r="A330" i="6"/>
  <c r="A512" i="6" s="1"/>
  <c r="B330" i="6"/>
  <c r="B512" i="6" s="1"/>
  <c r="C330" i="6"/>
  <c r="C512" i="6" s="1"/>
  <c r="D330" i="6"/>
  <c r="D512" i="6" s="1"/>
  <c r="E330" i="6"/>
  <c r="E512" i="6" s="1"/>
  <c r="G330" i="6"/>
  <c r="G512" i="6" s="1"/>
  <c r="H330" i="6"/>
  <c r="H512" i="6" s="1"/>
  <c r="I330" i="6"/>
  <c r="I512" i="6" s="1"/>
  <c r="J330" i="6"/>
  <c r="J512" i="6" s="1"/>
  <c r="K330" i="6"/>
  <c r="K512" i="6" s="1"/>
  <c r="L330" i="6"/>
  <c r="L512" i="6" s="1"/>
  <c r="M330" i="6"/>
  <c r="M512" i="6" s="1"/>
  <c r="N330" i="6"/>
  <c r="N512" i="6" s="1"/>
  <c r="O330" i="6"/>
  <c r="O512" i="6" s="1"/>
  <c r="P330" i="6"/>
  <c r="P512" i="6" s="1"/>
  <c r="Q330" i="6"/>
  <c r="Q512" i="6" s="1"/>
  <c r="R330" i="6"/>
  <c r="R512" i="6" s="1"/>
  <c r="S330" i="6"/>
  <c r="S512" i="6" s="1"/>
  <c r="V330" i="6"/>
  <c r="V512" i="6" s="1"/>
  <c r="Z330" i="6"/>
  <c r="Z512" i="6" s="1"/>
  <c r="AA330" i="6"/>
  <c r="AA512" i="6" s="1"/>
  <c r="A331" i="6"/>
  <c r="A513" i="6" s="1"/>
  <c r="B331" i="6"/>
  <c r="B513" i="6" s="1"/>
  <c r="C331" i="6"/>
  <c r="C513" i="6" s="1"/>
  <c r="D331" i="6"/>
  <c r="D513" i="6" s="1"/>
  <c r="E331" i="6"/>
  <c r="G331" i="6"/>
  <c r="G513" i="6" s="1"/>
  <c r="H331" i="6"/>
  <c r="H513" i="6" s="1"/>
  <c r="I331" i="6"/>
  <c r="I513" i="6" s="1"/>
  <c r="J331" i="6"/>
  <c r="J513" i="6" s="1"/>
  <c r="K331" i="6"/>
  <c r="K513" i="6" s="1"/>
  <c r="L331" i="6"/>
  <c r="L513" i="6" s="1"/>
  <c r="M331" i="6"/>
  <c r="M513" i="6" s="1"/>
  <c r="N331" i="6"/>
  <c r="N513" i="6" s="1"/>
  <c r="O331" i="6"/>
  <c r="O513" i="6" s="1"/>
  <c r="P331" i="6"/>
  <c r="P513" i="6" s="1"/>
  <c r="Q331" i="6"/>
  <c r="Q513" i="6" s="1"/>
  <c r="R331" i="6"/>
  <c r="R513" i="6" s="1"/>
  <c r="S331" i="6"/>
  <c r="S513" i="6" s="1"/>
  <c r="T331" i="6"/>
  <c r="T513" i="6" s="1"/>
  <c r="U331" i="6"/>
  <c r="U513" i="6" s="1"/>
  <c r="V331" i="6"/>
  <c r="V513" i="6" s="1"/>
  <c r="Z331" i="6"/>
  <c r="Z513" i="6" s="1"/>
  <c r="AA331" i="6"/>
  <c r="AA513" i="6" s="1"/>
  <c r="A332" i="6"/>
  <c r="A514" i="6" s="1"/>
  <c r="B332" i="6"/>
  <c r="B514" i="6" s="1"/>
  <c r="C332" i="6"/>
  <c r="C514" i="6" s="1"/>
  <c r="D332" i="6"/>
  <c r="D514" i="6" s="1"/>
  <c r="E332" i="6"/>
  <c r="G332" i="6"/>
  <c r="G514" i="6" s="1"/>
  <c r="H332" i="6"/>
  <c r="H514" i="6" s="1"/>
  <c r="I332" i="6"/>
  <c r="I514" i="6" s="1"/>
  <c r="J332" i="6"/>
  <c r="J514" i="6" s="1"/>
  <c r="K332" i="6"/>
  <c r="K514" i="6" s="1"/>
  <c r="L332" i="6"/>
  <c r="L514" i="6" s="1"/>
  <c r="M332" i="6"/>
  <c r="M514" i="6" s="1"/>
  <c r="N332" i="6"/>
  <c r="N514" i="6" s="1"/>
  <c r="O332" i="6"/>
  <c r="O514" i="6" s="1"/>
  <c r="P332" i="6"/>
  <c r="P514" i="6" s="1"/>
  <c r="Q332" i="6"/>
  <c r="Q514" i="6" s="1"/>
  <c r="R332" i="6"/>
  <c r="R514" i="6" s="1"/>
  <c r="S332" i="6"/>
  <c r="S514" i="6" s="1"/>
  <c r="T332" i="6"/>
  <c r="T514" i="6" s="1"/>
  <c r="U332" i="6"/>
  <c r="U514" i="6" s="1"/>
  <c r="V332" i="6"/>
  <c r="V514" i="6" s="1"/>
  <c r="W332" i="6"/>
  <c r="W514" i="6" s="1"/>
  <c r="X332" i="6"/>
  <c r="X514" i="6" s="1"/>
  <c r="Y332" i="6"/>
  <c r="Y514" i="6" s="1"/>
  <c r="Z332" i="6"/>
  <c r="Z514" i="6" s="1"/>
  <c r="AA332" i="6"/>
  <c r="AA514" i="6" s="1"/>
  <c r="A333" i="6"/>
  <c r="A515" i="6" s="1"/>
  <c r="B333" i="6"/>
  <c r="B515" i="6" s="1"/>
  <c r="C333" i="6"/>
  <c r="C515" i="6" s="1"/>
  <c r="D333" i="6"/>
  <c r="D515" i="6" s="1"/>
  <c r="E333" i="6"/>
  <c r="G333" i="6"/>
  <c r="G515" i="6" s="1"/>
  <c r="H333" i="6"/>
  <c r="H515" i="6" s="1"/>
  <c r="I333" i="6"/>
  <c r="I515" i="6" s="1"/>
  <c r="J333" i="6"/>
  <c r="J515" i="6" s="1"/>
  <c r="K333" i="6"/>
  <c r="K515" i="6" s="1"/>
  <c r="L333" i="6"/>
  <c r="L515" i="6" s="1"/>
  <c r="M333" i="6"/>
  <c r="M515" i="6" s="1"/>
  <c r="N333" i="6"/>
  <c r="N515" i="6" s="1"/>
  <c r="O333" i="6"/>
  <c r="O515" i="6" s="1"/>
  <c r="Q333" i="6"/>
  <c r="Q515" i="6" s="1"/>
  <c r="S333" i="6"/>
  <c r="S515" i="6" s="1"/>
  <c r="T333" i="6"/>
  <c r="T515" i="6" s="1"/>
  <c r="V333" i="6"/>
  <c r="V515" i="6" s="1"/>
  <c r="Z333" i="6"/>
  <c r="Z515" i="6" s="1"/>
  <c r="AA333" i="6"/>
  <c r="AA515" i="6" s="1"/>
  <c r="A334" i="6"/>
  <c r="A516" i="6" s="1"/>
  <c r="B334" i="6"/>
  <c r="B516" i="6" s="1"/>
  <c r="C334" i="6"/>
  <c r="C516" i="6" s="1"/>
  <c r="D334" i="6"/>
  <c r="D516" i="6" s="1"/>
  <c r="E334" i="6"/>
  <c r="G334" i="6"/>
  <c r="G516" i="6" s="1"/>
  <c r="H334" i="6"/>
  <c r="H516" i="6" s="1"/>
  <c r="I334" i="6"/>
  <c r="I516" i="6" s="1"/>
  <c r="J334" i="6"/>
  <c r="J516" i="6" s="1"/>
  <c r="K334" i="6"/>
  <c r="K516" i="6" s="1"/>
  <c r="L334" i="6"/>
  <c r="L516" i="6" s="1"/>
  <c r="M334" i="6"/>
  <c r="M516" i="6" s="1"/>
  <c r="N334" i="6"/>
  <c r="N516" i="6" s="1"/>
  <c r="O334" i="6"/>
  <c r="O516" i="6" s="1"/>
  <c r="P334" i="6"/>
  <c r="P516" i="6" s="1"/>
  <c r="Q334" i="6"/>
  <c r="Q516" i="6" s="1"/>
  <c r="S334" i="6"/>
  <c r="S516" i="6" s="1"/>
  <c r="T334" i="6"/>
  <c r="T516" i="6" s="1"/>
  <c r="U334" i="6"/>
  <c r="U516" i="6" s="1"/>
  <c r="V334" i="6"/>
  <c r="V516" i="6" s="1"/>
  <c r="Z334" i="6"/>
  <c r="Z516" i="6" s="1"/>
  <c r="AA334" i="6"/>
  <c r="AA516" i="6" s="1"/>
  <c r="A335" i="6"/>
  <c r="A517" i="6" s="1"/>
  <c r="B335" i="6"/>
  <c r="B517" i="6" s="1"/>
  <c r="C335" i="6"/>
  <c r="C517" i="6" s="1"/>
  <c r="D335" i="6"/>
  <c r="D517" i="6" s="1"/>
  <c r="E335" i="6"/>
  <c r="E517" i="6" s="1"/>
  <c r="F335" i="6"/>
  <c r="F517" i="6" s="1"/>
  <c r="G335" i="6"/>
  <c r="G517" i="6" s="1"/>
  <c r="H335" i="6"/>
  <c r="H517" i="6" s="1"/>
  <c r="I335" i="6"/>
  <c r="I517" i="6" s="1"/>
  <c r="J335" i="6"/>
  <c r="J517" i="6" s="1"/>
  <c r="K335" i="6"/>
  <c r="K517" i="6" s="1"/>
  <c r="L335" i="6"/>
  <c r="L517" i="6" s="1"/>
  <c r="M335" i="6"/>
  <c r="M517" i="6" s="1"/>
  <c r="N335" i="6"/>
  <c r="N517" i="6" s="1"/>
  <c r="O335" i="6"/>
  <c r="O517" i="6" s="1"/>
  <c r="P335" i="6"/>
  <c r="P517" i="6" s="1"/>
  <c r="Q335" i="6"/>
  <c r="Q517" i="6" s="1"/>
  <c r="R335" i="6"/>
  <c r="R517" i="6" s="1"/>
  <c r="S335" i="6"/>
  <c r="S517" i="6" s="1"/>
  <c r="T335" i="6"/>
  <c r="T517" i="6" s="1"/>
  <c r="U335" i="6"/>
  <c r="U517" i="6" s="1"/>
  <c r="V335" i="6"/>
  <c r="V517" i="6" s="1"/>
  <c r="W335" i="6"/>
  <c r="W517" i="6" s="1"/>
  <c r="X335" i="6"/>
  <c r="X517" i="6" s="1"/>
  <c r="Y335" i="6"/>
  <c r="Y517" i="6" s="1"/>
  <c r="Z335" i="6"/>
  <c r="Z517" i="6" s="1"/>
  <c r="AA335" i="6"/>
  <c r="AA517" i="6" s="1"/>
  <c r="A336" i="6"/>
  <c r="A518" i="6" s="1"/>
  <c r="B336" i="6"/>
  <c r="B518" i="6" s="1"/>
  <c r="C336" i="6"/>
  <c r="C518" i="6" s="1"/>
  <c r="D336" i="6"/>
  <c r="D518" i="6" s="1"/>
  <c r="E336" i="6"/>
  <c r="E518" i="6" s="1"/>
  <c r="F336" i="6"/>
  <c r="F518" i="6" s="1"/>
  <c r="G336" i="6"/>
  <c r="G518" i="6" s="1"/>
  <c r="H336" i="6"/>
  <c r="H518" i="6" s="1"/>
  <c r="I336" i="6"/>
  <c r="I518" i="6" s="1"/>
  <c r="J336" i="6"/>
  <c r="J518" i="6" s="1"/>
  <c r="K336" i="6"/>
  <c r="K518" i="6" s="1"/>
  <c r="L336" i="6"/>
  <c r="L518" i="6" s="1"/>
  <c r="M518" i="6"/>
  <c r="P336" i="6"/>
  <c r="P518" i="6" s="1"/>
  <c r="Q336" i="6"/>
  <c r="Q518" i="6" s="1"/>
  <c r="R336" i="6"/>
  <c r="R518" i="6" s="1"/>
  <c r="S336" i="6"/>
  <c r="S518" i="6" s="1"/>
  <c r="V336" i="6"/>
  <c r="V518" i="6" s="1"/>
  <c r="Z336" i="6"/>
  <c r="Z518" i="6" s="1"/>
  <c r="AA336" i="6"/>
  <c r="AA518" i="6" s="1"/>
  <c r="A337" i="6"/>
  <c r="A519" i="6" s="1"/>
  <c r="B337" i="6"/>
  <c r="B519" i="6" s="1"/>
  <c r="C337" i="6"/>
  <c r="C519" i="6" s="1"/>
  <c r="D337" i="6"/>
  <c r="D519" i="6" s="1"/>
  <c r="E337" i="6"/>
  <c r="E519" i="6" s="1"/>
  <c r="F337" i="6"/>
  <c r="F519" i="6" s="1"/>
  <c r="G337" i="6"/>
  <c r="G519" i="6" s="1"/>
  <c r="H337" i="6"/>
  <c r="H519" i="6" s="1"/>
  <c r="I337" i="6"/>
  <c r="I519" i="6" s="1"/>
  <c r="J337" i="6"/>
  <c r="J519" i="6" s="1"/>
  <c r="K337" i="6"/>
  <c r="K519" i="6" s="1"/>
  <c r="L337" i="6"/>
  <c r="L519" i="6" s="1"/>
  <c r="M519" i="6"/>
  <c r="P337" i="6"/>
  <c r="P519" i="6" s="1"/>
  <c r="Q337" i="6"/>
  <c r="Q519" i="6" s="1"/>
  <c r="R337" i="6"/>
  <c r="R519" i="6" s="1"/>
  <c r="S337" i="6"/>
  <c r="S519" i="6" s="1"/>
  <c r="T337" i="6"/>
  <c r="T519" i="6" s="1"/>
  <c r="U337" i="6"/>
  <c r="U519" i="6" s="1"/>
  <c r="V337" i="6"/>
  <c r="V519" i="6" s="1"/>
  <c r="Z337" i="6"/>
  <c r="Z519" i="6" s="1"/>
  <c r="AA337" i="6"/>
  <c r="AA519" i="6" s="1"/>
  <c r="A338" i="6"/>
  <c r="A520" i="6" s="1"/>
  <c r="B338" i="6"/>
  <c r="B520" i="6" s="1"/>
  <c r="C338" i="6"/>
  <c r="C520" i="6" s="1"/>
  <c r="D338" i="6"/>
  <c r="D520" i="6" s="1"/>
  <c r="E338" i="6"/>
  <c r="E520" i="6" s="1"/>
  <c r="F338" i="6"/>
  <c r="F520" i="6" s="1"/>
  <c r="G338" i="6"/>
  <c r="G520" i="6" s="1"/>
  <c r="H338" i="6"/>
  <c r="H520" i="6" s="1"/>
  <c r="N338" i="6"/>
  <c r="N520" i="6" s="1"/>
  <c r="P338" i="6"/>
  <c r="P520" i="6" s="1"/>
  <c r="Q338" i="6"/>
  <c r="Q520" i="6" s="1"/>
  <c r="R338" i="6"/>
  <c r="R520" i="6" s="1"/>
  <c r="S338" i="6"/>
  <c r="S520" i="6" s="1"/>
  <c r="T338" i="6"/>
  <c r="T520" i="6" s="1"/>
  <c r="U338" i="6"/>
  <c r="U520" i="6" s="1"/>
  <c r="V338" i="6"/>
  <c r="V520" i="6" s="1"/>
  <c r="W338" i="6"/>
  <c r="W520" i="6" s="1"/>
  <c r="Y520" i="6"/>
  <c r="Z338" i="6"/>
  <c r="Z520" i="6" s="1"/>
  <c r="AA338" i="6"/>
  <c r="AA520" i="6" s="1"/>
  <c r="A339" i="6"/>
  <c r="A521" i="6" s="1"/>
  <c r="B339" i="6"/>
  <c r="B521" i="6" s="1"/>
  <c r="C339" i="6"/>
  <c r="C521" i="6" s="1"/>
  <c r="D339" i="6"/>
  <c r="D521" i="6" s="1"/>
  <c r="E339" i="6"/>
  <c r="E521" i="6" s="1"/>
  <c r="F339" i="6"/>
  <c r="F521" i="6" s="1"/>
  <c r="G339" i="6"/>
  <c r="G521" i="6" s="1"/>
  <c r="H339" i="6"/>
  <c r="H521" i="6" s="1"/>
  <c r="I339" i="6"/>
  <c r="I521" i="6" s="1"/>
  <c r="J339" i="6"/>
  <c r="J521" i="6" s="1"/>
  <c r="K339" i="6"/>
  <c r="K521" i="6" s="1"/>
  <c r="L339" i="6"/>
  <c r="L521" i="6" s="1"/>
  <c r="M339" i="6"/>
  <c r="M521" i="6" s="1"/>
  <c r="N339" i="6"/>
  <c r="N521" i="6" s="1"/>
  <c r="P339" i="6"/>
  <c r="P521" i="6" s="1"/>
  <c r="Q339" i="6"/>
  <c r="Q521" i="6" s="1"/>
  <c r="R339" i="6"/>
  <c r="R521" i="6" s="1"/>
  <c r="S339" i="6"/>
  <c r="S521" i="6" s="1"/>
  <c r="T339" i="6"/>
  <c r="T521" i="6" s="1"/>
  <c r="U339" i="6"/>
  <c r="U521" i="6" s="1"/>
  <c r="V339" i="6"/>
  <c r="V521" i="6" s="1"/>
  <c r="W339" i="6"/>
  <c r="W521" i="6" s="1"/>
  <c r="X339" i="6"/>
  <c r="X521" i="6" s="1"/>
  <c r="Y339" i="6"/>
  <c r="Y521" i="6" s="1"/>
  <c r="Z339" i="6"/>
  <c r="Z521" i="6" s="1"/>
  <c r="AA339" i="6"/>
  <c r="AA521" i="6" s="1"/>
  <c r="A340" i="6"/>
  <c r="A522" i="6" s="1"/>
  <c r="B340" i="6"/>
  <c r="B522" i="6" s="1"/>
  <c r="C340" i="6"/>
  <c r="C522" i="6" s="1"/>
  <c r="D340" i="6"/>
  <c r="D522" i="6" s="1"/>
  <c r="E340" i="6"/>
  <c r="E522" i="6" s="1"/>
  <c r="F340" i="6"/>
  <c r="F522" i="6" s="1"/>
  <c r="G340" i="6"/>
  <c r="G522" i="6" s="1"/>
  <c r="H340" i="6"/>
  <c r="H522" i="6" s="1"/>
  <c r="I340" i="6"/>
  <c r="I522" i="6" s="1"/>
  <c r="J340" i="6"/>
  <c r="J522" i="6" s="1"/>
  <c r="K340" i="6"/>
  <c r="K522" i="6" s="1"/>
  <c r="L340" i="6"/>
  <c r="L522" i="6" s="1"/>
  <c r="M340" i="6"/>
  <c r="M522" i="6" s="1"/>
  <c r="N340" i="6"/>
  <c r="P340" i="6"/>
  <c r="P522" i="6" s="1"/>
  <c r="Q340" i="6"/>
  <c r="Q522" i="6" s="1"/>
  <c r="R340" i="6"/>
  <c r="R522" i="6" s="1"/>
  <c r="S340" i="6"/>
  <c r="S522" i="6" s="1"/>
  <c r="T340" i="6"/>
  <c r="T522" i="6" s="1"/>
  <c r="V340" i="6"/>
  <c r="V522" i="6" s="1"/>
  <c r="Z340" i="6"/>
  <c r="Z522" i="6" s="1"/>
  <c r="AA340" i="6"/>
  <c r="AA522" i="6" s="1"/>
  <c r="A341" i="6"/>
  <c r="A523" i="6" s="1"/>
  <c r="B341" i="6"/>
  <c r="B523" i="6" s="1"/>
  <c r="C341" i="6"/>
  <c r="C523" i="6" s="1"/>
  <c r="D341" i="6"/>
  <c r="D523" i="6" s="1"/>
  <c r="E341" i="6"/>
  <c r="E523" i="6" s="1"/>
  <c r="F341" i="6"/>
  <c r="F523" i="6" s="1"/>
  <c r="G341" i="6"/>
  <c r="G523" i="6" s="1"/>
  <c r="H341" i="6"/>
  <c r="H523" i="6" s="1"/>
  <c r="I341" i="6"/>
  <c r="I523" i="6" s="1"/>
  <c r="J341" i="6"/>
  <c r="J523" i="6" s="1"/>
  <c r="M341" i="6"/>
  <c r="M523" i="6" s="1"/>
  <c r="N341" i="6"/>
  <c r="P341" i="6"/>
  <c r="P523" i="6" s="1"/>
  <c r="Q341" i="6"/>
  <c r="Q523" i="6" s="1"/>
  <c r="R341" i="6"/>
  <c r="R523" i="6" s="1"/>
  <c r="S341" i="6"/>
  <c r="S523" i="6" s="1"/>
  <c r="T341" i="6"/>
  <c r="T523" i="6" s="1"/>
  <c r="U341" i="6"/>
  <c r="U523" i="6" s="1"/>
  <c r="V341" i="6"/>
  <c r="V523" i="6" s="1"/>
  <c r="Z341" i="6"/>
  <c r="Z523" i="6" s="1"/>
  <c r="AA341" i="6"/>
  <c r="AA523" i="6" s="1"/>
  <c r="A342" i="6"/>
  <c r="A524" i="6" s="1"/>
  <c r="B342" i="6"/>
  <c r="B524" i="6" s="1"/>
  <c r="C342" i="6"/>
  <c r="C524" i="6" s="1"/>
  <c r="D342" i="6"/>
  <c r="D524" i="6" s="1"/>
  <c r="E342" i="6"/>
  <c r="E524" i="6" s="1"/>
  <c r="F342" i="6"/>
  <c r="F524" i="6" s="1"/>
  <c r="G342" i="6"/>
  <c r="G524" i="6" s="1"/>
  <c r="H342" i="6"/>
  <c r="H524" i="6" s="1"/>
  <c r="I342" i="6"/>
  <c r="I524" i="6" s="1"/>
  <c r="J342" i="6"/>
  <c r="J524" i="6" s="1"/>
  <c r="M342" i="6"/>
  <c r="M524" i="6" s="1"/>
  <c r="N342" i="6"/>
  <c r="N524" i="6" s="1"/>
  <c r="O342" i="6"/>
  <c r="O524" i="6" s="1"/>
  <c r="P342" i="6"/>
  <c r="P524" i="6" s="1"/>
  <c r="Q342" i="6"/>
  <c r="Q524" i="6" s="1"/>
  <c r="R342" i="6"/>
  <c r="R524" i="6" s="1"/>
  <c r="S342" i="6"/>
  <c r="S524" i="6" s="1"/>
  <c r="T342" i="6"/>
  <c r="T524" i="6" s="1"/>
  <c r="U342" i="6"/>
  <c r="U524" i="6" s="1"/>
  <c r="V342" i="6"/>
  <c r="V524" i="6" s="1"/>
  <c r="Z342" i="6"/>
  <c r="Z524" i="6" s="1"/>
  <c r="AA342" i="6"/>
  <c r="AA524" i="6" s="1"/>
  <c r="A343" i="6"/>
  <c r="A525" i="6" s="1"/>
  <c r="B343" i="6"/>
  <c r="B525" i="6" s="1"/>
  <c r="C343" i="6"/>
  <c r="C525" i="6" s="1"/>
  <c r="D343" i="6"/>
  <c r="D525" i="6" s="1"/>
  <c r="E343" i="6"/>
  <c r="E525" i="6" s="1"/>
  <c r="F343" i="6"/>
  <c r="F525" i="6" s="1"/>
  <c r="G343" i="6"/>
  <c r="G525" i="6" s="1"/>
  <c r="H343" i="6"/>
  <c r="H525" i="6" s="1"/>
  <c r="K343" i="6"/>
  <c r="K525" i="6" s="1"/>
  <c r="M343" i="6"/>
  <c r="M525" i="6" s="1"/>
  <c r="N343" i="6"/>
  <c r="N525" i="6" s="1"/>
  <c r="O343" i="6"/>
  <c r="O525" i="6" s="1"/>
  <c r="P343" i="6"/>
  <c r="P525" i="6" s="1"/>
  <c r="Q343" i="6"/>
  <c r="Q525" i="6" s="1"/>
  <c r="S343" i="6"/>
  <c r="S525" i="6" s="1"/>
  <c r="T343" i="6"/>
  <c r="T525" i="6" s="1"/>
  <c r="U343" i="6"/>
  <c r="U525" i="6" s="1"/>
  <c r="V343" i="6"/>
  <c r="V525" i="6" s="1"/>
  <c r="Z343" i="6"/>
  <c r="Z525" i="6" s="1"/>
  <c r="AA343" i="6"/>
  <c r="AA525" i="6" s="1"/>
  <c r="A344" i="6"/>
  <c r="A526" i="6" s="1"/>
  <c r="B344" i="6"/>
  <c r="B526" i="6" s="1"/>
  <c r="C344" i="6"/>
  <c r="C526" i="6" s="1"/>
  <c r="D344" i="6"/>
  <c r="D526" i="6" s="1"/>
  <c r="E344" i="6"/>
  <c r="E526" i="6" s="1"/>
  <c r="F344" i="6"/>
  <c r="F526" i="6" s="1"/>
  <c r="G344" i="6"/>
  <c r="G526" i="6" s="1"/>
  <c r="H344" i="6"/>
  <c r="H526" i="6" s="1"/>
  <c r="I344" i="6"/>
  <c r="I526" i="6" s="1"/>
  <c r="J344" i="6"/>
  <c r="J526" i="6" s="1"/>
  <c r="K344" i="6"/>
  <c r="K526" i="6" s="1"/>
  <c r="M526" i="6"/>
  <c r="N526" i="6"/>
  <c r="O526" i="6"/>
  <c r="Q344" i="6"/>
  <c r="Q526" i="6" s="1"/>
  <c r="S344" i="6"/>
  <c r="S526" i="6" s="1"/>
  <c r="T344" i="6"/>
  <c r="T526" i="6" s="1"/>
  <c r="U344" i="6"/>
  <c r="U526" i="6" s="1"/>
  <c r="V344" i="6"/>
  <c r="V526" i="6" s="1"/>
  <c r="Z344" i="6"/>
  <c r="Z526" i="6" s="1"/>
  <c r="AA344" i="6"/>
  <c r="AA526" i="6" s="1"/>
  <c r="A345" i="6"/>
  <c r="A527" i="6" s="1"/>
  <c r="B345" i="6"/>
  <c r="B527" i="6" s="1"/>
  <c r="C345" i="6"/>
  <c r="C527" i="6" s="1"/>
  <c r="D345" i="6"/>
  <c r="D527" i="6" s="1"/>
  <c r="E345" i="6"/>
  <c r="E527" i="6" s="1"/>
  <c r="F345" i="6"/>
  <c r="F527" i="6" s="1"/>
  <c r="G345" i="6"/>
  <c r="G527" i="6" s="1"/>
  <c r="H345" i="6"/>
  <c r="H527" i="6" s="1"/>
  <c r="I345" i="6"/>
  <c r="I527" i="6" s="1"/>
  <c r="J345" i="6"/>
  <c r="J527" i="6" s="1"/>
  <c r="K345" i="6"/>
  <c r="K527" i="6" s="1"/>
  <c r="L345" i="6"/>
  <c r="L527" i="6" s="1"/>
  <c r="M345" i="6"/>
  <c r="M527" i="6" s="1"/>
  <c r="N345" i="6"/>
  <c r="N527" i="6" s="1"/>
  <c r="Q345" i="6"/>
  <c r="Q527" i="6" s="1"/>
  <c r="R345" i="6"/>
  <c r="R527" i="6" s="1"/>
  <c r="S345" i="6"/>
  <c r="S527" i="6" s="1"/>
  <c r="T345" i="6"/>
  <c r="T527" i="6" s="1"/>
  <c r="U345" i="6"/>
  <c r="U527" i="6" s="1"/>
  <c r="V345" i="6"/>
  <c r="V527" i="6" s="1"/>
  <c r="Z345" i="6"/>
  <c r="Z527" i="6" s="1"/>
  <c r="AA345" i="6"/>
  <c r="AA527" i="6" s="1"/>
  <c r="A346" i="6"/>
  <c r="A528" i="6" s="1"/>
  <c r="B346" i="6"/>
  <c r="B528" i="6" s="1"/>
  <c r="C346" i="6"/>
  <c r="C528" i="6" s="1"/>
  <c r="D346" i="6"/>
  <c r="D528" i="6" s="1"/>
  <c r="E346" i="6"/>
  <c r="E528" i="6" s="1"/>
  <c r="F346" i="6"/>
  <c r="F528" i="6" s="1"/>
  <c r="G346" i="6"/>
  <c r="G528" i="6" s="1"/>
  <c r="H346" i="6"/>
  <c r="H528" i="6" s="1"/>
  <c r="I346" i="6"/>
  <c r="I528" i="6" s="1"/>
  <c r="J346" i="6"/>
  <c r="J528" i="6" s="1"/>
  <c r="K346" i="6"/>
  <c r="K528" i="6" s="1"/>
  <c r="L346" i="6"/>
  <c r="L528" i="6" s="1"/>
  <c r="M346" i="6"/>
  <c r="M528" i="6" s="1"/>
  <c r="N346" i="6"/>
  <c r="N528" i="6" s="1"/>
  <c r="O346" i="6"/>
  <c r="O528" i="6" s="1"/>
  <c r="P346" i="6"/>
  <c r="P528" i="6" s="1"/>
  <c r="Q346" i="6"/>
  <c r="Q528" i="6" s="1"/>
  <c r="R346" i="6"/>
  <c r="R528" i="6" s="1"/>
  <c r="S346" i="6"/>
  <c r="S528" i="6" s="1"/>
  <c r="T346" i="6"/>
  <c r="T528" i="6" s="1"/>
  <c r="V346" i="6"/>
  <c r="V528" i="6" s="1"/>
  <c r="Z346" i="6"/>
  <c r="Z528" i="6" s="1"/>
  <c r="AA346" i="6"/>
  <c r="AA528" i="6" s="1"/>
  <c r="A347" i="6"/>
  <c r="A529" i="6" s="1"/>
  <c r="B347" i="6"/>
  <c r="B529" i="6" s="1"/>
  <c r="C347" i="6"/>
  <c r="C529" i="6" s="1"/>
  <c r="D347" i="6"/>
  <c r="D529" i="6" s="1"/>
  <c r="E347" i="6"/>
  <c r="E529" i="6" s="1"/>
  <c r="F347" i="6"/>
  <c r="F529" i="6" s="1"/>
  <c r="G347" i="6"/>
  <c r="G529" i="6" s="1"/>
  <c r="H347" i="6"/>
  <c r="H529" i="6" s="1"/>
  <c r="I347" i="6"/>
  <c r="I529" i="6" s="1"/>
  <c r="J347" i="6"/>
  <c r="J529" i="6" s="1"/>
  <c r="K347" i="6"/>
  <c r="K529" i="6" s="1"/>
  <c r="L347" i="6"/>
  <c r="L529" i="6" s="1"/>
  <c r="M347" i="6"/>
  <c r="M529" i="6" s="1"/>
  <c r="N347" i="6"/>
  <c r="N529" i="6" s="1"/>
  <c r="O347" i="6"/>
  <c r="O529" i="6" s="1"/>
  <c r="P347" i="6"/>
  <c r="P529" i="6" s="1"/>
  <c r="Q347" i="6"/>
  <c r="Q529" i="6" s="1"/>
  <c r="R347" i="6"/>
  <c r="R529" i="6" s="1"/>
  <c r="S347" i="6"/>
  <c r="S529" i="6" s="1"/>
  <c r="T347" i="6"/>
  <c r="T529" i="6" s="1"/>
  <c r="U347" i="6"/>
  <c r="U529" i="6" s="1"/>
  <c r="V347" i="6"/>
  <c r="V529" i="6" s="1"/>
  <c r="Z347" i="6"/>
  <c r="Z529" i="6" s="1"/>
  <c r="AA347" i="6"/>
  <c r="AA529" i="6" s="1"/>
  <c r="A348" i="6"/>
  <c r="A530" i="6" s="1"/>
  <c r="B348" i="6"/>
  <c r="B530" i="6" s="1"/>
  <c r="C348" i="6"/>
  <c r="C530" i="6" s="1"/>
  <c r="D348" i="6"/>
  <c r="D530" i="6" s="1"/>
  <c r="E348" i="6"/>
  <c r="E530" i="6" s="1"/>
  <c r="F348" i="6"/>
  <c r="F530" i="6" s="1"/>
  <c r="G348" i="6"/>
  <c r="G530" i="6" s="1"/>
  <c r="H348" i="6"/>
  <c r="H530" i="6" s="1"/>
  <c r="I348" i="6"/>
  <c r="I530" i="6" s="1"/>
  <c r="J348" i="6"/>
  <c r="J530" i="6" s="1"/>
  <c r="K348" i="6"/>
  <c r="K530" i="6" s="1"/>
  <c r="L348" i="6"/>
  <c r="L530" i="6" s="1"/>
  <c r="N348" i="6"/>
  <c r="N530" i="6" s="1"/>
  <c r="O348" i="6"/>
  <c r="O530" i="6" s="1"/>
  <c r="P348" i="6"/>
  <c r="P530" i="6" s="1"/>
  <c r="Q348" i="6"/>
  <c r="Q530" i="6" s="1"/>
  <c r="R348" i="6"/>
  <c r="R530" i="6" s="1"/>
  <c r="S348" i="6"/>
  <c r="S530" i="6" s="1"/>
  <c r="T348" i="6"/>
  <c r="T530" i="6" s="1"/>
  <c r="U348" i="6"/>
  <c r="U530" i="6" s="1"/>
  <c r="V348" i="6"/>
  <c r="V530" i="6" s="1"/>
  <c r="Z348" i="6"/>
  <c r="Z530" i="6" s="1"/>
  <c r="AA348" i="6"/>
  <c r="AA530" i="6" s="1"/>
  <c r="A349" i="6"/>
  <c r="A531" i="6" s="1"/>
  <c r="B349" i="6"/>
  <c r="B531" i="6" s="1"/>
  <c r="C349" i="6"/>
  <c r="C531" i="6" s="1"/>
  <c r="D349" i="6"/>
  <c r="D531" i="6" s="1"/>
  <c r="E349" i="6"/>
  <c r="E531" i="6" s="1"/>
  <c r="F349" i="6"/>
  <c r="F531" i="6" s="1"/>
  <c r="G349" i="6"/>
  <c r="G531" i="6" s="1"/>
  <c r="H349" i="6"/>
  <c r="H531" i="6" s="1"/>
  <c r="J349" i="6"/>
  <c r="J531" i="6" s="1"/>
  <c r="K349" i="6"/>
  <c r="K531" i="6" s="1"/>
  <c r="L349" i="6"/>
  <c r="L531" i="6" s="1"/>
  <c r="M349" i="6"/>
  <c r="M531" i="6" s="1"/>
  <c r="N349" i="6"/>
  <c r="N531" i="6" s="1"/>
  <c r="O349" i="6"/>
  <c r="O531" i="6" s="1"/>
  <c r="P349" i="6"/>
  <c r="P531" i="6" s="1"/>
  <c r="Q349" i="6"/>
  <c r="Q531" i="6" s="1"/>
  <c r="R349" i="6"/>
  <c r="R531" i="6" s="1"/>
  <c r="S349" i="6"/>
  <c r="S531" i="6" s="1"/>
  <c r="T349" i="6"/>
  <c r="T531" i="6" s="1"/>
  <c r="U349" i="6"/>
  <c r="U531" i="6" s="1"/>
  <c r="V349" i="6"/>
  <c r="V531" i="6" s="1"/>
  <c r="W349" i="6"/>
  <c r="W531" i="6" s="1"/>
  <c r="X349" i="6"/>
  <c r="X531" i="6" s="1"/>
  <c r="Y349" i="6"/>
  <c r="Y531" i="6" s="1"/>
  <c r="Z349" i="6"/>
  <c r="Z531" i="6" s="1"/>
  <c r="AA349" i="6"/>
  <c r="AA531" i="6" s="1"/>
  <c r="A350" i="6"/>
  <c r="A532" i="6" s="1"/>
  <c r="B350" i="6"/>
  <c r="B532" i="6" s="1"/>
  <c r="C350" i="6"/>
  <c r="C532" i="6" s="1"/>
  <c r="D350" i="6"/>
  <c r="D532" i="6" s="1"/>
  <c r="E350" i="6"/>
  <c r="E532" i="6" s="1"/>
  <c r="F350" i="6"/>
  <c r="F532" i="6" s="1"/>
  <c r="H350" i="6"/>
  <c r="H532" i="6" s="1"/>
  <c r="J350" i="6"/>
  <c r="J532" i="6" s="1"/>
  <c r="K350" i="6"/>
  <c r="K532" i="6" s="1"/>
  <c r="L350" i="6"/>
  <c r="L532" i="6" s="1"/>
  <c r="M350" i="6"/>
  <c r="M532" i="6" s="1"/>
  <c r="N350" i="6"/>
  <c r="N532" i="6" s="1"/>
  <c r="O350" i="6"/>
  <c r="O532" i="6" s="1"/>
  <c r="P350" i="6"/>
  <c r="P532" i="6" s="1"/>
  <c r="Q350" i="6"/>
  <c r="Q532" i="6" s="1"/>
  <c r="R350" i="6"/>
  <c r="R532" i="6" s="1"/>
  <c r="S350" i="6"/>
  <c r="S532" i="6" s="1"/>
  <c r="T350" i="6"/>
  <c r="T532" i="6" s="1"/>
  <c r="U350" i="6"/>
  <c r="U532" i="6" s="1"/>
  <c r="V350" i="6"/>
  <c r="V532" i="6" s="1"/>
  <c r="W350" i="6"/>
  <c r="W532" i="6" s="1"/>
  <c r="X350" i="6"/>
  <c r="X532" i="6" s="1"/>
  <c r="Y350" i="6"/>
  <c r="Y532" i="6" s="1"/>
  <c r="Z350" i="6"/>
  <c r="Z532" i="6" s="1"/>
  <c r="AA350" i="6"/>
  <c r="AA532" i="6" s="1"/>
  <c r="A351" i="6"/>
  <c r="A533" i="6" s="1"/>
  <c r="B351" i="6"/>
  <c r="B533" i="6" s="1"/>
  <c r="C351" i="6"/>
  <c r="C533" i="6" s="1"/>
  <c r="D351" i="6"/>
  <c r="D533" i="6" s="1"/>
  <c r="E351" i="6"/>
  <c r="E533" i="6" s="1"/>
  <c r="F351" i="6"/>
  <c r="F533" i="6" s="1"/>
  <c r="G351" i="6"/>
  <c r="G533" i="6" s="1"/>
  <c r="J351" i="6"/>
  <c r="J533" i="6" s="1"/>
  <c r="K351" i="6"/>
  <c r="K533" i="6" s="1"/>
  <c r="L351" i="6"/>
  <c r="L533" i="6" s="1"/>
  <c r="N351" i="6"/>
  <c r="N533" i="6" s="1"/>
  <c r="O351" i="6"/>
  <c r="O533" i="6" s="1"/>
  <c r="P351" i="6"/>
  <c r="P533" i="6" s="1"/>
  <c r="Q351" i="6"/>
  <c r="Q533" i="6" s="1"/>
  <c r="R351" i="6"/>
  <c r="R533" i="6" s="1"/>
  <c r="S351" i="6"/>
  <c r="S533" i="6" s="1"/>
  <c r="T351" i="6"/>
  <c r="T533" i="6" s="1"/>
  <c r="U351" i="6"/>
  <c r="U533" i="6" s="1"/>
  <c r="V351" i="6"/>
  <c r="V533" i="6" s="1"/>
  <c r="W351" i="6"/>
  <c r="W533" i="6" s="1"/>
  <c r="X351" i="6"/>
  <c r="X533" i="6" s="1"/>
  <c r="Y351" i="6"/>
  <c r="Y533" i="6" s="1"/>
  <c r="Z351" i="6"/>
  <c r="Z533" i="6" s="1"/>
  <c r="AA351" i="6"/>
  <c r="AA533" i="6" s="1"/>
  <c r="A352" i="6"/>
  <c r="A534" i="6" s="1"/>
  <c r="B352" i="6"/>
  <c r="B534" i="6" s="1"/>
  <c r="C352" i="6"/>
  <c r="C534" i="6" s="1"/>
  <c r="D352" i="6"/>
  <c r="D534" i="6" s="1"/>
  <c r="E352" i="6"/>
  <c r="E534" i="6" s="1"/>
  <c r="F352" i="6"/>
  <c r="F534" i="6" s="1"/>
  <c r="G352" i="6"/>
  <c r="G534" i="6" s="1"/>
  <c r="J352" i="6"/>
  <c r="J534" i="6" s="1"/>
  <c r="K352" i="6"/>
  <c r="K534" i="6" s="1"/>
  <c r="L352" i="6"/>
  <c r="L534" i="6" s="1"/>
  <c r="M352" i="6"/>
  <c r="M534" i="6" s="1"/>
  <c r="N352" i="6"/>
  <c r="N534" i="6" s="1"/>
  <c r="O352" i="6"/>
  <c r="O534" i="6" s="1"/>
  <c r="P352" i="6"/>
  <c r="P534" i="6" s="1"/>
  <c r="Q352" i="6"/>
  <c r="Q534" i="6" s="1"/>
  <c r="R352" i="6"/>
  <c r="R534" i="6" s="1"/>
  <c r="S352" i="6"/>
  <c r="S534" i="6" s="1"/>
  <c r="U534" i="6"/>
  <c r="V352" i="6"/>
  <c r="V534" i="6" s="1"/>
  <c r="W352" i="6"/>
  <c r="W534" i="6" s="1"/>
  <c r="X352" i="6"/>
  <c r="X534" i="6" s="1"/>
  <c r="Y352" i="6"/>
  <c r="Y534" i="6" s="1"/>
  <c r="Z352" i="6"/>
  <c r="Z534" i="6" s="1"/>
  <c r="AA352" i="6"/>
  <c r="AA534" i="6" s="1"/>
  <c r="A353" i="6"/>
  <c r="A535" i="6" s="1"/>
  <c r="B353" i="6"/>
  <c r="B535" i="6" s="1"/>
  <c r="C353" i="6"/>
  <c r="C535" i="6" s="1"/>
  <c r="D353" i="6"/>
  <c r="D535" i="6" s="1"/>
  <c r="E353" i="6"/>
  <c r="E535" i="6" s="1"/>
  <c r="F353" i="6"/>
  <c r="F535" i="6" s="1"/>
  <c r="G353" i="6"/>
  <c r="G535" i="6" s="1"/>
  <c r="H353" i="6"/>
  <c r="H535" i="6" s="1"/>
  <c r="I353" i="6"/>
  <c r="I535" i="6" s="1"/>
  <c r="J353" i="6"/>
  <c r="J535" i="6" s="1"/>
  <c r="K353" i="6"/>
  <c r="K535" i="6" s="1"/>
  <c r="L353" i="6"/>
  <c r="L535" i="6" s="1"/>
  <c r="M353" i="6"/>
  <c r="M535" i="6" s="1"/>
  <c r="N353" i="6"/>
  <c r="N535" i="6" s="1"/>
  <c r="O353" i="6"/>
  <c r="O535" i="6" s="1"/>
  <c r="P353" i="6"/>
  <c r="P535" i="6" s="1"/>
  <c r="Q353" i="6"/>
  <c r="Q535" i="6" s="1"/>
  <c r="R353" i="6"/>
  <c r="R535" i="6" s="1"/>
  <c r="S353" i="6"/>
  <c r="S535" i="6" s="1"/>
  <c r="T353" i="6"/>
  <c r="T535" i="6" s="1"/>
  <c r="U353" i="6"/>
  <c r="U535" i="6" s="1"/>
  <c r="V353" i="6"/>
  <c r="V535" i="6" s="1"/>
  <c r="W353" i="6"/>
  <c r="W535" i="6" s="1"/>
  <c r="X353" i="6"/>
  <c r="X535" i="6" s="1"/>
  <c r="Y353" i="6"/>
  <c r="Y535" i="6" s="1"/>
  <c r="Z353" i="6"/>
  <c r="Z535" i="6" s="1"/>
  <c r="AA353" i="6"/>
  <c r="AA535" i="6" s="1"/>
  <c r="A354" i="6"/>
  <c r="A536" i="6" s="1"/>
  <c r="B354" i="6"/>
  <c r="B536" i="6" s="1"/>
  <c r="C354" i="6"/>
  <c r="C536" i="6" s="1"/>
  <c r="D354" i="6"/>
  <c r="D536" i="6" s="1"/>
  <c r="E354" i="6"/>
  <c r="E536" i="6" s="1"/>
  <c r="F354" i="6"/>
  <c r="F536" i="6" s="1"/>
  <c r="G354" i="6"/>
  <c r="G536" i="6" s="1"/>
  <c r="H354" i="6"/>
  <c r="H536" i="6" s="1"/>
  <c r="I354" i="6"/>
  <c r="I536" i="6" s="1"/>
  <c r="J354" i="6"/>
  <c r="J536" i="6" s="1"/>
  <c r="K354" i="6"/>
  <c r="K536" i="6" s="1"/>
  <c r="M354" i="6"/>
  <c r="M536" i="6" s="1"/>
  <c r="N354" i="6"/>
  <c r="N536" i="6" s="1"/>
  <c r="O354" i="6"/>
  <c r="O536" i="6" s="1"/>
  <c r="P354" i="6"/>
  <c r="P536" i="6" s="1"/>
  <c r="Q354" i="6"/>
  <c r="Q536" i="6" s="1"/>
  <c r="R354" i="6"/>
  <c r="R536" i="6" s="1"/>
  <c r="V354" i="6"/>
  <c r="V536" i="6" s="1"/>
  <c r="W354" i="6"/>
  <c r="W536" i="6" s="1"/>
  <c r="X354" i="6"/>
  <c r="X536" i="6" s="1"/>
  <c r="Y354" i="6"/>
  <c r="Y536" i="6" s="1"/>
  <c r="Z354" i="6"/>
  <c r="Z536" i="6" s="1"/>
  <c r="AA354" i="6"/>
  <c r="AA536" i="6" s="1"/>
  <c r="A355" i="6"/>
  <c r="A537" i="6" s="1"/>
  <c r="B355" i="6"/>
  <c r="B537" i="6" s="1"/>
  <c r="C355" i="6"/>
  <c r="C537" i="6" s="1"/>
  <c r="D355" i="6"/>
  <c r="D537" i="6" s="1"/>
  <c r="E355" i="6"/>
  <c r="E537" i="6" s="1"/>
  <c r="F355" i="6"/>
  <c r="F537" i="6" s="1"/>
  <c r="G355" i="6"/>
  <c r="G537" i="6" s="1"/>
  <c r="K355" i="6"/>
  <c r="K537" i="6" s="1"/>
  <c r="M355" i="6"/>
  <c r="M537" i="6" s="1"/>
  <c r="N355" i="6"/>
  <c r="P355" i="6"/>
  <c r="P537" i="6" s="1"/>
  <c r="Q355" i="6"/>
  <c r="Q537" i="6" s="1"/>
  <c r="R355" i="6"/>
  <c r="R537" i="6" s="1"/>
  <c r="V355" i="6"/>
  <c r="V537" i="6" s="1"/>
  <c r="W355" i="6"/>
  <c r="W537" i="6" s="1"/>
  <c r="X355" i="6"/>
  <c r="X537" i="6" s="1"/>
  <c r="Y355" i="6"/>
  <c r="Y537" i="6" s="1"/>
  <c r="Z355" i="6"/>
  <c r="Z537" i="6" s="1"/>
  <c r="AA355" i="6"/>
  <c r="AA537" i="6" s="1"/>
  <c r="A356" i="6"/>
  <c r="A538" i="6" s="1"/>
  <c r="B356" i="6"/>
  <c r="B538" i="6" s="1"/>
  <c r="C356" i="6"/>
  <c r="C538" i="6" s="1"/>
  <c r="D356" i="6"/>
  <c r="D538" i="6" s="1"/>
  <c r="E356" i="6"/>
  <c r="E538" i="6" s="1"/>
  <c r="F356" i="6"/>
  <c r="F538" i="6" s="1"/>
  <c r="G356" i="6"/>
  <c r="G538" i="6" s="1"/>
  <c r="H356" i="6"/>
  <c r="H538" i="6" s="1"/>
  <c r="I356" i="6"/>
  <c r="I538" i="6" s="1"/>
  <c r="J356" i="6"/>
  <c r="J538" i="6" s="1"/>
  <c r="M356" i="6"/>
  <c r="M538" i="6" s="1"/>
  <c r="N356" i="6"/>
  <c r="P356" i="6"/>
  <c r="P538" i="6" s="1"/>
  <c r="Q356" i="6"/>
  <c r="Q538" i="6" s="1"/>
  <c r="R356" i="6"/>
  <c r="R538" i="6" s="1"/>
  <c r="S538" i="6"/>
  <c r="T356" i="6"/>
  <c r="T538" i="6" s="1"/>
  <c r="U356" i="6"/>
  <c r="U538" i="6" s="1"/>
  <c r="V356" i="6"/>
  <c r="V538" i="6" s="1"/>
  <c r="W356" i="6"/>
  <c r="W538" i="6" s="1"/>
  <c r="X356" i="6"/>
  <c r="X538" i="6" s="1"/>
  <c r="Y356" i="6"/>
  <c r="Y538" i="6" s="1"/>
  <c r="Z356" i="6"/>
  <c r="Z538" i="6" s="1"/>
  <c r="AA356" i="6"/>
  <c r="AA538" i="6" s="1"/>
  <c r="A357" i="6"/>
  <c r="A539" i="6" s="1"/>
  <c r="B357" i="6"/>
  <c r="B539" i="6" s="1"/>
  <c r="C357" i="6"/>
  <c r="C539" i="6" s="1"/>
  <c r="D357" i="6"/>
  <c r="D539" i="6" s="1"/>
  <c r="E357" i="6"/>
  <c r="E539" i="6" s="1"/>
  <c r="F357" i="6"/>
  <c r="F539" i="6" s="1"/>
  <c r="G357" i="6"/>
  <c r="G539" i="6" s="1"/>
  <c r="H357" i="6"/>
  <c r="H539" i="6" s="1"/>
  <c r="I357" i="6"/>
  <c r="I539" i="6" s="1"/>
  <c r="J357" i="6"/>
  <c r="J539" i="6" s="1"/>
  <c r="M357" i="6"/>
  <c r="M539" i="6" s="1"/>
  <c r="N357" i="6"/>
  <c r="N539" i="6" s="1"/>
  <c r="P357" i="6"/>
  <c r="P539" i="6" s="1"/>
  <c r="Q357" i="6"/>
  <c r="Q539" i="6" s="1"/>
  <c r="R357" i="6"/>
  <c r="R539" i="6" s="1"/>
  <c r="V357" i="6"/>
  <c r="V539" i="6" s="1"/>
  <c r="W357" i="6"/>
  <c r="W539" i="6" s="1"/>
  <c r="X357" i="6"/>
  <c r="X539" i="6" s="1"/>
  <c r="Y357" i="6"/>
  <c r="Y539" i="6" s="1"/>
  <c r="Z357" i="6"/>
  <c r="Z539" i="6" s="1"/>
  <c r="AA357" i="6"/>
  <c r="AA539" i="6" s="1"/>
  <c r="A358" i="6"/>
  <c r="A540" i="6" s="1"/>
  <c r="B358" i="6"/>
  <c r="B540" i="6" s="1"/>
  <c r="C358" i="6"/>
  <c r="C540" i="6" s="1"/>
  <c r="D358" i="6"/>
  <c r="D540" i="6" s="1"/>
  <c r="E358" i="6"/>
  <c r="E540" i="6" s="1"/>
  <c r="F358" i="6"/>
  <c r="F540" i="6" s="1"/>
  <c r="G358" i="6"/>
  <c r="G540" i="6" s="1"/>
  <c r="H358" i="6"/>
  <c r="H540" i="6" s="1"/>
  <c r="I358" i="6"/>
  <c r="I540" i="6" s="1"/>
  <c r="J358" i="6"/>
  <c r="J540" i="6" s="1"/>
  <c r="K358" i="6"/>
  <c r="K540" i="6" s="1"/>
  <c r="N358" i="6"/>
  <c r="N540" i="6" s="1"/>
  <c r="P358" i="6"/>
  <c r="P540" i="6" s="1"/>
  <c r="Q358" i="6"/>
  <c r="Q540" i="6" s="1"/>
  <c r="R358" i="6"/>
  <c r="R540" i="6" s="1"/>
  <c r="V358" i="6"/>
  <c r="V540" i="6" s="1"/>
  <c r="W358" i="6"/>
  <c r="W540" i="6" s="1"/>
  <c r="X358" i="6"/>
  <c r="X540" i="6" s="1"/>
  <c r="Y358" i="6"/>
  <c r="Y540" i="6" s="1"/>
  <c r="Z358" i="6"/>
  <c r="Z540" i="6" s="1"/>
  <c r="AA358" i="6"/>
  <c r="AA540" i="6" s="1"/>
  <c r="A359" i="6"/>
  <c r="A541" i="6" s="1"/>
  <c r="B359" i="6"/>
  <c r="B541" i="6" s="1"/>
  <c r="C359" i="6"/>
  <c r="C541" i="6" s="1"/>
  <c r="D359" i="6"/>
  <c r="D541" i="6" s="1"/>
  <c r="E359" i="6"/>
  <c r="E541" i="6" s="1"/>
  <c r="F359" i="6"/>
  <c r="F541" i="6" s="1"/>
  <c r="G359" i="6"/>
  <c r="G541" i="6" s="1"/>
  <c r="H359" i="6"/>
  <c r="H541" i="6" s="1"/>
  <c r="I359" i="6"/>
  <c r="I541" i="6" s="1"/>
  <c r="J359" i="6"/>
  <c r="J541" i="6" s="1"/>
  <c r="K359" i="6"/>
  <c r="K541" i="6" s="1"/>
  <c r="L359" i="6"/>
  <c r="L541" i="6" s="1"/>
  <c r="M359" i="6"/>
  <c r="M541" i="6" s="1"/>
  <c r="P359" i="6"/>
  <c r="P541" i="6" s="1"/>
  <c r="Q359" i="6"/>
  <c r="Q541" i="6" s="1"/>
  <c r="R359" i="6"/>
  <c r="R541" i="6" s="1"/>
  <c r="S541" i="6"/>
  <c r="T359" i="6"/>
  <c r="T541" i="6" s="1"/>
  <c r="U359" i="6"/>
  <c r="U541" i="6" s="1"/>
  <c r="V359" i="6"/>
  <c r="V541" i="6" s="1"/>
  <c r="W359" i="6"/>
  <c r="W541" i="6" s="1"/>
  <c r="X359" i="6"/>
  <c r="X541" i="6" s="1"/>
  <c r="Y359" i="6"/>
  <c r="Y541" i="6" s="1"/>
  <c r="Z359" i="6"/>
  <c r="Z541" i="6" s="1"/>
  <c r="AA359" i="6"/>
  <c r="AA541" i="6" s="1"/>
  <c r="A360" i="6"/>
  <c r="A542" i="6" s="1"/>
  <c r="B360" i="6"/>
  <c r="B542" i="6" s="1"/>
  <c r="C360" i="6"/>
  <c r="C542" i="6" s="1"/>
  <c r="D360" i="6"/>
  <c r="D542" i="6" s="1"/>
  <c r="E360" i="6"/>
  <c r="E542" i="6" s="1"/>
  <c r="F360" i="6"/>
  <c r="F542" i="6" s="1"/>
  <c r="G360" i="6"/>
  <c r="G542" i="6" s="1"/>
  <c r="H360" i="6"/>
  <c r="H542" i="6" s="1"/>
  <c r="I360" i="6"/>
  <c r="I542" i="6" s="1"/>
  <c r="J360" i="6"/>
  <c r="J542" i="6" s="1"/>
  <c r="K360" i="6"/>
  <c r="K542" i="6" s="1"/>
  <c r="L360" i="6"/>
  <c r="L542" i="6" s="1"/>
  <c r="M542" i="6"/>
  <c r="P360" i="6"/>
  <c r="P542" i="6" s="1"/>
  <c r="Q360" i="6"/>
  <c r="Q542" i="6" s="1"/>
  <c r="R360" i="6"/>
  <c r="R542" i="6" s="1"/>
  <c r="V360" i="6"/>
  <c r="V542" i="6" s="1"/>
  <c r="W360" i="6"/>
  <c r="W542" i="6" s="1"/>
  <c r="X360" i="6"/>
  <c r="X542" i="6" s="1"/>
  <c r="Y360" i="6"/>
  <c r="Y542" i="6" s="1"/>
  <c r="Z360" i="6"/>
  <c r="Z542" i="6" s="1"/>
  <c r="AA360" i="6"/>
  <c r="AA542" i="6" s="1"/>
  <c r="A361" i="6"/>
  <c r="A543" i="6" s="1"/>
  <c r="B361" i="6"/>
  <c r="B543" i="6" s="1"/>
  <c r="C361" i="6"/>
  <c r="C543" i="6" s="1"/>
  <c r="D361" i="6"/>
  <c r="D543" i="6" s="1"/>
  <c r="E361" i="6"/>
  <c r="E543" i="6" s="1"/>
  <c r="F361" i="6"/>
  <c r="F543" i="6" s="1"/>
  <c r="G361" i="6"/>
  <c r="G543" i="6" s="1"/>
  <c r="H361" i="6"/>
  <c r="H543" i="6" s="1"/>
  <c r="I361" i="6"/>
  <c r="I543" i="6" s="1"/>
  <c r="J361" i="6"/>
  <c r="J543" i="6" s="1"/>
  <c r="K361" i="6"/>
  <c r="K543" i="6" s="1"/>
  <c r="L361" i="6"/>
  <c r="L543" i="6" s="1"/>
  <c r="M361" i="6"/>
  <c r="M543" i="6" s="1"/>
  <c r="N361" i="6"/>
  <c r="N543" i="6" s="1"/>
  <c r="O361" i="6"/>
  <c r="O543" i="6" s="1"/>
  <c r="P361" i="6"/>
  <c r="P543" i="6" s="1"/>
  <c r="Q361" i="6"/>
  <c r="Q543" i="6" s="1"/>
  <c r="R361" i="6"/>
  <c r="R543" i="6" s="1"/>
  <c r="V361" i="6"/>
  <c r="V543" i="6" s="1"/>
  <c r="W361" i="6"/>
  <c r="W543" i="6" s="1"/>
  <c r="X361" i="6"/>
  <c r="X543" i="6" s="1"/>
  <c r="Y361" i="6"/>
  <c r="Y543" i="6" s="1"/>
  <c r="Z361" i="6"/>
  <c r="Z543" i="6" s="1"/>
  <c r="AA361" i="6"/>
  <c r="AA543" i="6" s="1"/>
  <c r="A362" i="6"/>
  <c r="A544" i="6" s="1"/>
  <c r="B362" i="6"/>
  <c r="B544" i="6" s="1"/>
  <c r="C362" i="6"/>
  <c r="C544" i="6" s="1"/>
  <c r="D362" i="6"/>
  <c r="D544" i="6" s="1"/>
  <c r="E362" i="6"/>
  <c r="E544" i="6" s="1"/>
  <c r="F362" i="6"/>
  <c r="F544" i="6" s="1"/>
  <c r="G362" i="6"/>
  <c r="G544" i="6" s="1"/>
  <c r="H362" i="6"/>
  <c r="H544" i="6" s="1"/>
  <c r="I362" i="6"/>
  <c r="I544" i="6" s="1"/>
  <c r="J362" i="6"/>
  <c r="J544" i="6" s="1"/>
  <c r="K362" i="6"/>
  <c r="K544" i="6" s="1"/>
  <c r="L362" i="6"/>
  <c r="L544" i="6" s="1"/>
  <c r="M362" i="6"/>
  <c r="M544" i="6" s="1"/>
  <c r="N362" i="6"/>
  <c r="N544" i="6" s="1"/>
  <c r="O362" i="6"/>
  <c r="O544" i="6" s="1"/>
  <c r="P362" i="6"/>
  <c r="P544" i="6" s="1"/>
  <c r="Q362" i="6"/>
  <c r="Q544" i="6" s="1"/>
  <c r="R362" i="6"/>
  <c r="R544" i="6" s="1"/>
  <c r="S362" i="6"/>
  <c r="S544" i="6" s="1"/>
  <c r="T362" i="6"/>
  <c r="T544" i="6" s="1"/>
  <c r="U362" i="6"/>
  <c r="U544" i="6" s="1"/>
  <c r="V362" i="6"/>
  <c r="V544" i="6" s="1"/>
  <c r="W362" i="6"/>
  <c r="W544" i="6" s="1"/>
  <c r="X362" i="6"/>
  <c r="X544" i="6" s="1"/>
  <c r="Y362" i="6"/>
  <c r="Y544" i="6" s="1"/>
  <c r="Z362" i="6"/>
  <c r="Z544" i="6" s="1"/>
  <c r="AA362" i="6"/>
  <c r="AA544" i="6" s="1"/>
  <c r="A363" i="6"/>
  <c r="A545" i="6" s="1"/>
  <c r="B363" i="6"/>
  <c r="B545" i="6" s="1"/>
  <c r="C363" i="6"/>
  <c r="C545" i="6" s="1"/>
  <c r="D363" i="6"/>
  <c r="D545" i="6" s="1"/>
  <c r="E363" i="6"/>
  <c r="E545" i="6" s="1"/>
  <c r="F363" i="6"/>
  <c r="F545" i="6" s="1"/>
  <c r="G363" i="6"/>
  <c r="G545" i="6" s="1"/>
  <c r="H363" i="6"/>
  <c r="H545" i="6" s="1"/>
  <c r="I363" i="6"/>
  <c r="I545" i="6" s="1"/>
  <c r="J363" i="6"/>
  <c r="J545" i="6" s="1"/>
  <c r="K363" i="6"/>
  <c r="K545" i="6" s="1"/>
  <c r="L363" i="6"/>
  <c r="L545" i="6" s="1"/>
  <c r="M363" i="6"/>
  <c r="M545" i="6" s="1"/>
  <c r="N363" i="6"/>
  <c r="N545" i="6" s="1"/>
  <c r="O363" i="6"/>
  <c r="O545" i="6" s="1"/>
  <c r="P363" i="6"/>
  <c r="P545" i="6" s="1"/>
  <c r="Q363" i="6"/>
  <c r="Q545" i="6" s="1"/>
  <c r="R363" i="6"/>
  <c r="R545" i="6" s="1"/>
  <c r="S363" i="6"/>
  <c r="S545" i="6" s="1"/>
  <c r="T363" i="6"/>
  <c r="T545" i="6" s="1"/>
  <c r="U363" i="6"/>
  <c r="U545" i="6" s="1"/>
  <c r="V363" i="6"/>
  <c r="V545" i="6" s="1"/>
  <c r="W363" i="6"/>
  <c r="W545" i="6" s="1"/>
  <c r="X363" i="6"/>
  <c r="X545" i="6" s="1"/>
  <c r="Y363" i="6"/>
  <c r="Y545" i="6" s="1"/>
  <c r="Z363" i="6"/>
  <c r="Z545" i="6" s="1"/>
  <c r="AA363" i="6"/>
  <c r="AA545" i="6" s="1"/>
  <c r="A364" i="6"/>
  <c r="A546" i="6" s="1"/>
  <c r="B364" i="6"/>
  <c r="B546" i="6" s="1"/>
  <c r="C364" i="6"/>
  <c r="C546" i="6" s="1"/>
  <c r="D364" i="6"/>
  <c r="D546" i="6" s="1"/>
  <c r="E364" i="6"/>
  <c r="E546" i="6" s="1"/>
  <c r="F364" i="6"/>
  <c r="F546" i="6" s="1"/>
  <c r="G364" i="6"/>
  <c r="G546" i="6" s="1"/>
  <c r="H364" i="6"/>
  <c r="H546" i="6" s="1"/>
  <c r="J364" i="6"/>
  <c r="J546" i="6" s="1"/>
  <c r="K364" i="6"/>
  <c r="K546" i="6" s="1"/>
  <c r="M364" i="6"/>
  <c r="M546" i="6" s="1"/>
  <c r="N364" i="6"/>
  <c r="N546" i="6" s="1"/>
  <c r="O364" i="6"/>
  <c r="O546" i="6" s="1"/>
  <c r="P364" i="6"/>
  <c r="P546" i="6" s="1"/>
  <c r="Q364" i="6"/>
  <c r="Q546" i="6" s="1"/>
  <c r="R364" i="6"/>
  <c r="R546" i="6" s="1"/>
  <c r="T364" i="6"/>
  <c r="T546" i="6" s="1"/>
  <c r="U364" i="6"/>
  <c r="U546" i="6" s="1"/>
  <c r="V364" i="6"/>
  <c r="V546" i="6" s="1"/>
  <c r="X364" i="6"/>
  <c r="X546" i="6" s="1"/>
  <c r="Y364" i="6"/>
  <c r="Y546" i="6" s="1"/>
  <c r="Z364" i="6"/>
  <c r="Z546" i="6" s="1"/>
  <c r="AA364" i="6"/>
  <c r="AA546" i="6" s="1"/>
  <c r="A365" i="6"/>
  <c r="A547" i="6" s="1"/>
  <c r="B365" i="6"/>
  <c r="B547" i="6" s="1"/>
  <c r="C365" i="6"/>
  <c r="C547" i="6" s="1"/>
  <c r="D365" i="6"/>
  <c r="D547" i="6" s="1"/>
  <c r="E365" i="6"/>
  <c r="E547" i="6" s="1"/>
  <c r="F365" i="6"/>
  <c r="F547" i="6" s="1"/>
  <c r="G365" i="6"/>
  <c r="G547" i="6" s="1"/>
  <c r="H365" i="6"/>
  <c r="H547" i="6" s="1"/>
  <c r="I365" i="6"/>
  <c r="I547" i="6" s="1"/>
  <c r="J365" i="6"/>
  <c r="J547" i="6" s="1"/>
  <c r="K365" i="6"/>
  <c r="K547" i="6" s="1"/>
  <c r="L365" i="6"/>
  <c r="L547" i="6" s="1"/>
  <c r="M365" i="6"/>
  <c r="M547" i="6" s="1"/>
  <c r="N365" i="6"/>
  <c r="N547" i="6" s="1"/>
  <c r="O365" i="6"/>
  <c r="O547" i="6" s="1"/>
  <c r="P365" i="6"/>
  <c r="P547" i="6" s="1"/>
  <c r="Q365" i="6"/>
  <c r="Q547" i="6" s="1"/>
  <c r="R365" i="6"/>
  <c r="R547" i="6" s="1"/>
  <c r="S365" i="6"/>
  <c r="S547" i="6" s="1"/>
  <c r="T365" i="6"/>
  <c r="T547" i="6" s="1"/>
  <c r="U365" i="6"/>
  <c r="U547" i="6" s="1"/>
  <c r="V365" i="6"/>
  <c r="V547" i="6" s="1"/>
  <c r="W365" i="6"/>
  <c r="W547" i="6" s="1"/>
  <c r="X365" i="6"/>
  <c r="X547" i="6" s="1"/>
  <c r="Y365" i="6"/>
  <c r="Y547" i="6" s="1"/>
  <c r="Z365" i="6"/>
  <c r="Z547" i="6" s="1"/>
  <c r="AA365" i="6"/>
  <c r="AA547" i="6" s="1"/>
  <c r="A366" i="6"/>
  <c r="A548" i="6" s="1"/>
  <c r="B366" i="6"/>
  <c r="B548" i="6" s="1"/>
  <c r="C366" i="6"/>
  <c r="C548" i="6" s="1"/>
  <c r="D366" i="6"/>
  <c r="D548" i="6" s="1"/>
  <c r="E366" i="6"/>
  <c r="E548" i="6" s="1"/>
  <c r="F366" i="6"/>
  <c r="F548" i="6" s="1"/>
  <c r="G366" i="6"/>
  <c r="G548" i="6" s="1"/>
  <c r="H366" i="6"/>
  <c r="H548" i="6" s="1"/>
  <c r="I366" i="6"/>
  <c r="I548" i="6" s="1"/>
  <c r="J366" i="6"/>
  <c r="J548" i="6" s="1"/>
  <c r="K366" i="6"/>
  <c r="K548" i="6" s="1"/>
  <c r="L366" i="6"/>
  <c r="L548" i="6" s="1"/>
  <c r="M366" i="6"/>
  <c r="M548" i="6" s="1"/>
  <c r="N366" i="6"/>
  <c r="N548" i="6" s="1"/>
  <c r="O366" i="6"/>
  <c r="O548" i="6" s="1"/>
  <c r="P366" i="6"/>
  <c r="P548" i="6" s="1"/>
  <c r="Q366" i="6"/>
  <c r="Q548" i="6" s="1"/>
  <c r="R366" i="6"/>
  <c r="R548" i="6" s="1"/>
  <c r="S366" i="6"/>
  <c r="S548" i="6" s="1"/>
  <c r="T366" i="6"/>
  <c r="T548" i="6" s="1"/>
  <c r="U366" i="6"/>
  <c r="U548" i="6" s="1"/>
  <c r="V366" i="6"/>
  <c r="V548" i="6" s="1"/>
  <c r="W366" i="6"/>
  <c r="W548" i="6" s="1"/>
  <c r="X366" i="6"/>
  <c r="X548" i="6" s="1"/>
  <c r="Y366" i="6"/>
  <c r="Y548" i="6" s="1"/>
  <c r="Z366" i="6"/>
  <c r="Z548" i="6" s="1"/>
  <c r="AA366" i="6"/>
  <c r="AA548" i="6" s="1"/>
  <c r="O426" i="6" l="1"/>
  <c r="R245" i="6"/>
  <c r="O425" i="6"/>
  <c r="R244" i="6"/>
  <c r="A571" i="6"/>
  <c r="A563" i="6"/>
  <c r="A27" i="29"/>
  <c r="A30" i="29"/>
  <c r="A29" i="29"/>
  <c r="A28" i="29"/>
  <c r="I165" i="6"/>
  <c r="I349" i="6" s="1"/>
  <c r="I531" i="6" l="1"/>
  <c r="AL349" i="6"/>
  <c r="AL531" i="6" s="1"/>
  <c r="A572" i="6"/>
  <c r="A564" i="6"/>
  <c r="F33" i="3"/>
  <c r="I124" i="6"/>
  <c r="I306" i="6" s="1"/>
  <c r="F72" i="3"/>
  <c r="AG72" i="3" s="1"/>
  <c r="AG162" i="3" s="1"/>
  <c r="AG252" i="3" s="1"/>
  <c r="I80" i="6"/>
  <c r="I490" i="6" l="1"/>
  <c r="AL306" i="6"/>
  <c r="AL490" i="6" s="1"/>
  <c r="I33" i="6"/>
  <c r="AF558" i="6" s="1"/>
  <c r="AG558" i="6"/>
  <c r="AG33" i="3"/>
  <c r="AG123" i="3" s="1"/>
  <c r="AG213" i="3" s="1"/>
  <c r="I262" i="6"/>
  <c r="D558" i="6"/>
  <c r="A565" i="6"/>
  <c r="A573" i="6"/>
  <c r="L344" i="6"/>
  <c r="L526" i="6" s="1"/>
  <c r="L268" i="6"/>
  <c r="L452" i="6" s="1"/>
  <c r="L257" i="6"/>
  <c r="L441" i="6" s="1"/>
  <c r="I78" i="3"/>
  <c r="I68" i="3"/>
  <c r="AJ68" i="3" s="1"/>
  <c r="AH9" i="8" l="1"/>
  <c r="I446" i="6"/>
  <c r="AL262" i="6"/>
  <c r="AL446" i="6" s="1"/>
  <c r="AJ78" i="3"/>
  <c r="AJ168" i="3" s="1"/>
  <c r="AJ258" i="3" s="1"/>
  <c r="AJ158" i="3"/>
  <c r="AJ248" i="3" s="1"/>
  <c r="AC284" i="3"/>
  <c r="AC293" i="3" s="1"/>
  <c r="AC282" i="3"/>
  <c r="AC291" i="3" s="1"/>
  <c r="AC280" i="3"/>
  <c r="AC289" i="3" s="1"/>
  <c r="AC285" i="3"/>
  <c r="AC294" i="3" s="1"/>
  <c r="AC283" i="3"/>
  <c r="AC292" i="3" s="1"/>
  <c r="AC281" i="3"/>
  <c r="AC290" i="3" s="1"/>
  <c r="AC279" i="3"/>
  <c r="AC288" i="3" s="1"/>
  <c r="A574" i="6"/>
  <c r="F49" i="28"/>
  <c r="D49" i="28"/>
  <c r="C49" i="28"/>
  <c r="G49" i="28"/>
  <c r="E49" i="28"/>
  <c r="C47" i="25"/>
  <c r="D47" i="25"/>
  <c r="F47" i="25"/>
  <c r="A303" i="3" l="1"/>
  <c r="A304" i="3" s="1"/>
  <c r="A305" i="3" s="1"/>
  <c r="A306" i="3" s="1"/>
  <c r="A307" i="3" s="1"/>
  <c r="A308" i="3" s="1"/>
  <c r="A288" i="3" l="1"/>
  <c r="A280" i="3"/>
  <c r="A289" i="3" s="1"/>
  <c r="A281" i="3" l="1"/>
  <c r="M24" i="25"/>
  <c r="G47" i="25" s="1"/>
  <c r="E47" i="25"/>
  <c r="G24" i="25"/>
  <c r="E24" i="25"/>
  <c r="A282" i="3" l="1"/>
  <c r="A290" i="3"/>
  <c r="A283" i="3" l="1"/>
  <c r="A291" i="3"/>
  <c r="A27" i="27"/>
  <c r="A284" i="3" l="1"/>
  <c r="A292" i="3"/>
  <c r="A14" i="27"/>
  <c r="A29" i="27" s="1"/>
  <c r="A10" i="27"/>
  <c r="A25" i="27" s="1"/>
  <c r="A285" i="3" l="1"/>
  <c r="A294" i="3" s="1"/>
  <c r="A293" i="3"/>
  <c r="A15" i="27"/>
  <c r="A30" i="27" s="1"/>
  <c r="A13" i="27"/>
  <c r="A28" i="27" s="1"/>
  <c r="A11" i="27"/>
  <c r="A26" i="27" s="1"/>
  <c r="A9" i="27"/>
  <c r="A24" i="27" s="1"/>
  <c r="P193" i="3" l="1"/>
  <c r="Q193" i="3"/>
  <c r="O204" i="3"/>
  <c r="O193" i="3"/>
  <c r="K189" i="3"/>
  <c r="L189" i="3"/>
  <c r="M189" i="3"/>
  <c r="K190" i="3"/>
  <c r="L190" i="3"/>
  <c r="M190" i="3"/>
  <c r="K191" i="3"/>
  <c r="L191" i="3"/>
  <c r="M191" i="3"/>
  <c r="K192" i="3"/>
  <c r="L192" i="3"/>
  <c r="K193" i="3"/>
  <c r="K194" i="3"/>
  <c r="K197" i="3"/>
  <c r="L197" i="3"/>
  <c r="K198" i="3"/>
  <c r="K199" i="3"/>
  <c r="M199" i="3"/>
  <c r="M200" i="3"/>
  <c r="M201" i="3"/>
  <c r="K202" i="3"/>
  <c r="L202" i="3"/>
  <c r="M202" i="3"/>
  <c r="K203" i="3"/>
  <c r="L203" i="3"/>
  <c r="M203" i="3"/>
  <c r="K204" i="3"/>
  <c r="L204" i="3"/>
  <c r="M204" i="3"/>
  <c r="K206" i="3"/>
  <c r="K207" i="3"/>
  <c r="L207" i="3"/>
  <c r="M207" i="3"/>
  <c r="K208" i="3"/>
  <c r="L208" i="3"/>
  <c r="M208" i="3"/>
  <c r="K209" i="3"/>
  <c r="L209" i="3"/>
  <c r="M209" i="3"/>
  <c r="N209" i="3"/>
  <c r="O209" i="3"/>
  <c r="P209" i="3"/>
  <c r="Q209" i="3"/>
  <c r="R209" i="3"/>
  <c r="S209" i="3"/>
  <c r="K210" i="3"/>
  <c r="L210" i="3"/>
  <c r="M210" i="3"/>
  <c r="N210" i="3"/>
  <c r="O210" i="3"/>
  <c r="P210" i="3"/>
  <c r="Q210" i="3"/>
  <c r="R210" i="3"/>
  <c r="S210" i="3"/>
  <c r="T210" i="3"/>
  <c r="U210" i="3"/>
  <c r="V210" i="3"/>
  <c r="K211" i="3"/>
  <c r="L211" i="3"/>
  <c r="M211" i="3"/>
  <c r="N211" i="3"/>
  <c r="O211" i="3"/>
  <c r="P211" i="3"/>
  <c r="Q211" i="3"/>
  <c r="R211" i="3"/>
  <c r="S211" i="3"/>
  <c r="T211" i="3"/>
  <c r="U211" i="3"/>
  <c r="V211" i="3"/>
  <c r="K212" i="3"/>
  <c r="L212" i="3"/>
  <c r="M212" i="3"/>
  <c r="N212" i="3"/>
  <c r="O212" i="3"/>
  <c r="P212" i="3"/>
  <c r="Q212" i="3"/>
  <c r="R212" i="3"/>
  <c r="S212" i="3"/>
  <c r="T212" i="3"/>
  <c r="U212" i="3"/>
  <c r="V212" i="3"/>
  <c r="K213" i="3"/>
  <c r="L213" i="3"/>
  <c r="M213" i="3"/>
  <c r="N213" i="3"/>
  <c r="O213" i="3"/>
  <c r="P213" i="3"/>
  <c r="Q213" i="3"/>
  <c r="R213" i="3"/>
  <c r="S213" i="3"/>
  <c r="T213" i="3"/>
  <c r="U213" i="3"/>
  <c r="V213" i="3"/>
  <c r="K214" i="3"/>
  <c r="L214" i="3"/>
  <c r="M214" i="3"/>
  <c r="N214" i="3"/>
  <c r="O214" i="3"/>
  <c r="P214" i="3"/>
  <c r="S214" i="3"/>
  <c r="T214" i="3"/>
  <c r="U214" i="3"/>
  <c r="V214" i="3"/>
  <c r="K215" i="3"/>
  <c r="L215" i="3"/>
  <c r="M215" i="3"/>
  <c r="N215" i="3"/>
  <c r="O215" i="3"/>
  <c r="P215" i="3"/>
  <c r="Q215" i="3"/>
  <c r="R215" i="3"/>
  <c r="S215" i="3"/>
  <c r="T215" i="3"/>
  <c r="U215" i="3"/>
  <c r="V215" i="3"/>
  <c r="K216" i="3"/>
  <c r="L216" i="3"/>
  <c r="M216" i="3"/>
  <c r="N216" i="3"/>
  <c r="O216" i="3"/>
  <c r="S216" i="3"/>
  <c r="T216" i="3"/>
  <c r="U216" i="3"/>
  <c r="V216" i="3"/>
  <c r="H217" i="3"/>
  <c r="M217" i="3"/>
  <c r="N217" i="3"/>
  <c r="O217" i="3"/>
  <c r="S217" i="3"/>
  <c r="T217" i="3"/>
  <c r="U217" i="3"/>
  <c r="V217" i="3"/>
  <c r="M218" i="3"/>
  <c r="N218" i="3"/>
  <c r="O218" i="3"/>
  <c r="P218" i="3"/>
  <c r="Q218" i="3"/>
  <c r="R218" i="3"/>
  <c r="S218" i="3"/>
  <c r="T218" i="3"/>
  <c r="U218" i="3"/>
  <c r="V218" i="3"/>
  <c r="K219" i="3"/>
  <c r="M219" i="3"/>
  <c r="N219" i="3"/>
  <c r="O219" i="3"/>
  <c r="S219" i="3"/>
  <c r="T219" i="3"/>
  <c r="U219" i="3"/>
  <c r="V219" i="3"/>
  <c r="K220" i="3"/>
  <c r="M220" i="3"/>
  <c r="N220" i="3"/>
  <c r="O220" i="3"/>
  <c r="S220" i="3"/>
  <c r="T220" i="3"/>
  <c r="U220" i="3"/>
  <c r="V220" i="3"/>
  <c r="M221" i="3"/>
  <c r="N221" i="3"/>
  <c r="O221" i="3"/>
  <c r="P221" i="3"/>
  <c r="Q221" i="3"/>
  <c r="R221" i="3"/>
  <c r="S221" i="3"/>
  <c r="T221" i="3"/>
  <c r="U221" i="3"/>
  <c r="V221" i="3"/>
  <c r="M222" i="3"/>
  <c r="N222" i="3"/>
  <c r="O222" i="3"/>
  <c r="S222" i="3"/>
  <c r="T222" i="3"/>
  <c r="U222" i="3"/>
  <c r="V222" i="3"/>
  <c r="K223" i="3"/>
  <c r="L223" i="3"/>
  <c r="M223" i="3"/>
  <c r="N223" i="3"/>
  <c r="O223" i="3"/>
  <c r="S223" i="3"/>
  <c r="T223" i="3"/>
  <c r="U223" i="3"/>
  <c r="V223" i="3"/>
  <c r="K224" i="3"/>
  <c r="L224" i="3"/>
  <c r="M224" i="3"/>
  <c r="N224" i="3"/>
  <c r="O224" i="3"/>
  <c r="P224" i="3"/>
  <c r="Q224" i="3"/>
  <c r="R224" i="3"/>
  <c r="S224" i="3"/>
  <c r="T224" i="3"/>
  <c r="U224" i="3"/>
  <c r="V224" i="3"/>
  <c r="K225" i="3"/>
  <c r="L225" i="3"/>
  <c r="M225" i="3"/>
  <c r="N225" i="3"/>
  <c r="O225" i="3"/>
  <c r="Q225" i="3"/>
  <c r="R225" i="3"/>
  <c r="S225" i="3"/>
  <c r="U225" i="3"/>
  <c r="V225" i="3"/>
  <c r="R250" i="3"/>
  <c r="N264" i="3"/>
  <c r="O103" i="3"/>
  <c r="O13" i="3"/>
  <c r="O22" i="3" s="1"/>
  <c r="K96" i="3"/>
  <c r="K186" i="3" s="1"/>
  <c r="L96" i="3"/>
  <c r="L186" i="3" s="1"/>
  <c r="M96" i="3"/>
  <c r="M186" i="3" s="1"/>
  <c r="P96" i="3"/>
  <c r="P186" i="3" s="1"/>
  <c r="Q96" i="3"/>
  <c r="Q186" i="3" s="1"/>
  <c r="R96" i="3"/>
  <c r="R186" i="3" s="1"/>
  <c r="S96" i="3"/>
  <c r="S186" i="3" s="1"/>
  <c r="U96" i="3"/>
  <c r="U186" i="3" s="1"/>
  <c r="V96" i="3"/>
  <c r="V186" i="3" s="1"/>
  <c r="K97" i="3"/>
  <c r="K187" i="3" s="1"/>
  <c r="L97" i="3"/>
  <c r="L187" i="3" s="1"/>
  <c r="M97" i="3"/>
  <c r="M187" i="3" s="1"/>
  <c r="N97" i="3"/>
  <c r="N187" i="3" s="1"/>
  <c r="O97" i="3"/>
  <c r="O187" i="3" s="1"/>
  <c r="P97" i="3"/>
  <c r="P187" i="3" s="1"/>
  <c r="Q97" i="3"/>
  <c r="Q187" i="3" s="1"/>
  <c r="R97" i="3"/>
  <c r="R187" i="3" s="1"/>
  <c r="S97" i="3"/>
  <c r="S187" i="3" s="1"/>
  <c r="T97" i="3"/>
  <c r="T187" i="3" s="1"/>
  <c r="K98" i="3"/>
  <c r="K188" i="3" s="1"/>
  <c r="L98" i="3"/>
  <c r="L188" i="3" s="1"/>
  <c r="M98" i="3"/>
  <c r="M188" i="3" s="1"/>
  <c r="N98" i="3"/>
  <c r="N188" i="3" s="1"/>
  <c r="O98" i="3"/>
  <c r="O188" i="3" s="1"/>
  <c r="P98" i="3"/>
  <c r="P188" i="3" s="1"/>
  <c r="Q98" i="3"/>
  <c r="Q188" i="3" s="1"/>
  <c r="R98" i="3"/>
  <c r="R188" i="3" s="1"/>
  <c r="S98" i="3"/>
  <c r="S188" i="3" s="1"/>
  <c r="T98" i="3"/>
  <c r="T188" i="3" s="1"/>
  <c r="U98" i="3"/>
  <c r="U188" i="3" s="1"/>
  <c r="V98" i="3"/>
  <c r="V188" i="3" s="1"/>
  <c r="AR193" i="3" l="1"/>
  <c r="AR238" i="3" s="1"/>
  <c r="Q238" i="3"/>
  <c r="AQ193" i="3"/>
  <c r="P238" i="3"/>
  <c r="AR204" i="3"/>
  <c r="Q204" i="3"/>
  <c r="P204" i="3"/>
  <c r="I116" i="3"/>
  <c r="AJ116" i="3" s="1"/>
  <c r="AJ124" i="3" s="1"/>
  <c r="I117" i="3"/>
  <c r="AJ117" i="3" s="1"/>
  <c r="AJ125" i="3" s="1"/>
  <c r="H155" i="3"/>
  <c r="H245" i="3" s="1"/>
  <c r="H156" i="3"/>
  <c r="H246" i="3" s="1"/>
  <c r="H170" i="3"/>
  <c r="H260" i="3" s="1"/>
  <c r="H171" i="3"/>
  <c r="H261" i="3" s="1"/>
  <c r="H166" i="3"/>
  <c r="H256" i="3" s="1"/>
  <c r="H167" i="3"/>
  <c r="H257" i="3" s="1"/>
  <c r="H159" i="3"/>
  <c r="H249" i="3" s="1"/>
  <c r="H160" i="3"/>
  <c r="H250" i="3" s="1"/>
  <c r="A94" i="3"/>
  <c r="A184" i="3" s="1"/>
  <c r="B94" i="3"/>
  <c r="B184" i="3" s="1"/>
  <c r="C94" i="3"/>
  <c r="C184" i="3" s="1"/>
  <c r="D94" i="3"/>
  <c r="D184" i="3" s="1"/>
  <c r="E94" i="3"/>
  <c r="E184" i="3" s="1"/>
  <c r="F94" i="3"/>
  <c r="F184" i="3" s="1"/>
  <c r="G94" i="3"/>
  <c r="G184" i="3" s="1"/>
  <c r="H94" i="3"/>
  <c r="H184" i="3" s="1"/>
  <c r="I94" i="3"/>
  <c r="I184" i="3" s="1"/>
  <c r="J94" i="3"/>
  <c r="J184" i="3" s="1"/>
  <c r="K94" i="3"/>
  <c r="K184" i="3" s="1"/>
  <c r="L94" i="3"/>
  <c r="L184" i="3" s="1"/>
  <c r="M94" i="3"/>
  <c r="M184" i="3" s="1"/>
  <c r="N94" i="3"/>
  <c r="N184" i="3" s="1"/>
  <c r="O94" i="3"/>
  <c r="O184" i="3" s="1"/>
  <c r="P94" i="3"/>
  <c r="P184" i="3" s="1"/>
  <c r="Q94" i="3"/>
  <c r="Q184" i="3" s="1"/>
  <c r="R94" i="3"/>
  <c r="R184" i="3" s="1"/>
  <c r="S94" i="3"/>
  <c r="S184" i="3" s="1"/>
  <c r="T94" i="3"/>
  <c r="T184" i="3" s="1"/>
  <c r="U94" i="3"/>
  <c r="U184" i="3" s="1"/>
  <c r="V94" i="3"/>
  <c r="V184" i="3" s="1"/>
  <c r="A95" i="3"/>
  <c r="A185" i="3" s="1"/>
  <c r="B95" i="3"/>
  <c r="B185" i="3" s="1"/>
  <c r="C95" i="3"/>
  <c r="C185" i="3" s="1"/>
  <c r="D95" i="3"/>
  <c r="D185" i="3" s="1"/>
  <c r="E95" i="3"/>
  <c r="E185" i="3" s="1"/>
  <c r="F95" i="3"/>
  <c r="F185" i="3" s="1"/>
  <c r="G95" i="3"/>
  <c r="G185" i="3" s="1"/>
  <c r="H95" i="3"/>
  <c r="H185" i="3" s="1"/>
  <c r="I95" i="3"/>
  <c r="I185" i="3" s="1"/>
  <c r="J95" i="3"/>
  <c r="J185" i="3" s="1"/>
  <c r="K95" i="3"/>
  <c r="K185" i="3" s="1"/>
  <c r="L95" i="3"/>
  <c r="L185" i="3" s="1"/>
  <c r="M95" i="3"/>
  <c r="M185" i="3" s="1"/>
  <c r="N95" i="3"/>
  <c r="N185" i="3" s="1"/>
  <c r="O95" i="3"/>
  <c r="O185" i="3" s="1"/>
  <c r="P95" i="3"/>
  <c r="P185" i="3" s="1"/>
  <c r="Q95" i="3"/>
  <c r="Q185" i="3" s="1"/>
  <c r="R95" i="3"/>
  <c r="R185" i="3" s="1"/>
  <c r="S95" i="3"/>
  <c r="S185" i="3" s="1"/>
  <c r="T95" i="3"/>
  <c r="T185" i="3" s="1"/>
  <c r="U95" i="3"/>
  <c r="U185" i="3" s="1"/>
  <c r="V95" i="3"/>
  <c r="V185" i="3" s="1"/>
  <c r="A96" i="3"/>
  <c r="A186" i="3" s="1"/>
  <c r="B96" i="3"/>
  <c r="B186" i="3" s="1"/>
  <c r="C96" i="3"/>
  <c r="C186" i="3" s="1"/>
  <c r="D96" i="3"/>
  <c r="D186" i="3" s="1"/>
  <c r="E96" i="3"/>
  <c r="E186" i="3" s="1"/>
  <c r="F96" i="3"/>
  <c r="F186" i="3" s="1"/>
  <c r="G96" i="3"/>
  <c r="G186" i="3" s="1"/>
  <c r="H96" i="3"/>
  <c r="H186" i="3" s="1"/>
  <c r="I96" i="3"/>
  <c r="I186" i="3" s="1"/>
  <c r="J96" i="3"/>
  <c r="J186" i="3" s="1"/>
  <c r="A97" i="3"/>
  <c r="A187" i="3" s="1"/>
  <c r="B97" i="3"/>
  <c r="B187" i="3" s="1"/>
  <c r="C97" i="3"/>
  <c r="C187" i="3" s="1"/>
  <c r="D97" i="3"/>
  <c r="D187" i="3" s="1"/>
  <c r="E97" i="3"/>
  <c r="E187" i="3" s="1"/>
  <c r="F97" i="3"/>
  <c r="F187" i="3" s="1"/>
  <c r="G97" i="3"/>
  <c r="G187" i="3" s="1"/>
  <c r="H97" i="3"/>
  <c r="H187" i="3" s="1"/>
  <c r="I97" i="3"/>
  <c r="I187" i="3" s="1"/>
  <c r="J97" i="3"/>
  <c r="J187" i="3" s="1"/>
  <c r="A98" i="3"/>
  <c r="A188" i="3" s="1"/>
  <c r="B98" i="3"/>
  <c r="B188" i="3" s="1"/>
  <c r="C98" i="3"/>
  <c r="C188" i="3" s="1"/>
  <c r="D98" i="3"/>
  <c r="D188" i="3" s="1"/>
  <c r="E98" i="3"/>
  <c r="E188" i="3" s="1"/>
  <c r="F98" i="3"/>
  <c r="F188" i="3" s="1"/>
  <c r="G98" i="3"/>
  <c r="G188" i="3" s="1"/>
  <c r="H98" i="3"/>
  <c r="H188" i="3" s="1"/>
  <c r="I98" i="3"/>
  <c r="I188" i="3" s="1"/>
  <c r="J98" i="3"/>
  <c r="J188" i="3" s="1"/>
  <c r="A99" i="3"/>
  <c r="A189" i="3" s="1"/>
  <c r="B99" i="3"/>
  <c r="B189" i="3" s="1"/>
  <c r="C99" i="3"/>
  <c r="C189" i="3" s="1"/>
  <c r="D99" i="3"/>
  <c r="D189" i="3" s="1"/>
  <c r="E99" i="3"/>
  <c r="E189" i="3" s="1"/>
  <c r="F99" i="3"/>
  <c r="F189" i="3" s="1"/>
  <c r="G99" i="3"/>
  <c r="G189" i="3" s="1"/>
  <c r="H99" i="3"/>
  <c r="H189" i="3" s="1"/>
  <c r="I99" i="3"/>
  <c r="I189" i="3" s="1"/>
  <c r="J99" i="3"/>
  <c r="J189" i="3" s="1"/>
  <c r="A100" i="3"/>
  <c r="A190" i="3" s="1"/>
  <c r="B100" i="3"/>
  <c r="B190" i="3" s="1"/>
  <c r="C100" i="3"/>
  <c r="C190" i="3" s="1"/>
  <c r="D100" i="3"/>
  <c r="D190" i="3" s="1"/>
  <c r="E100" i="3"/>
  <c r="E190" i="3" s="1"/>
  <c r="F100" i="3"/>
  <c r="F190" i="3" s="1"/>
  <c r="G100" i="3"/>
  <c r="G190" i="3" s="1"/>
  <c r="H100" i="3"/>
  <c r="H190" i="3" s="1"/>
  <c r="I100" i="3"/>
  <c r="I190" i="3" s="1"/>
  <c r="J100" i="3"/>
  <c r="J190" i="3" s="1"/>
  <c r="A101" i="3"/>
  <c r="A191" i="3" s="1"/>
  <c r="B101" i="3"/>
  <c r="B191" i="3" s="1"/>
  <c r="C101" i="3"/>
  <c r="C191" i="3" s="1"/>
  <c r="D101" i="3"/>
  <c r="D191" i="3" s="1"/>
  <c r="E101" i="3"/>
  <c r="E191" i="3" s="1"/>
  <c r="F101" i="3"/>
  <c r="F191" i="3" s="1"/>
  <c r="G101" i="3"/>
  <c r="G191" i="3" s="1"/>
  <c r="H101" i="3"/>
  <c r="H191" i="3" s="1"/>
  <c r="I101" i="3"/>
  <c r="I191" i="3" s="1"/>
  <c r="J101" i="3"/>
  <c r="J191" i="3" s="1"/>
  <c r="A102" i="3"/>
  <c r="A192" i="3" s="1"/>
  <c r="B102" i="3"/>
  <c r="B192" i="3" s="1"/>
  <c r="C102" i="3"/>
  <c r="C192" i="3" s="1"/>
  <c r="D102" i="3"/>
  <c r="D192" i="3" s="1"/>
  <c r="E102" i="3"/>
  <c r="E192" i="3" s="1"/>
  <c r="F102" i="3"/>
  <c r="F192" i="3" s="1"/>
  <c r="G102" i="3"/>
  <c r="G192" i="3" s="1"/>
  <c r="H102" i="3"/>
  <c r="H192" i="3" s="1"/>
  <c r="I102" i="3"/>
  <c r="I192" i="3" s="1"/>
  <c r="J102" i="3"/>
  <c r="J192" i="3" s="1"/>
  <c r="A103" i="3"/>
  <c r="A193" i="3" s="1"/>
  <c r="B103" i="3"/>
  <c r="B193" i="3" s="1"/>
  <c r="C103" i="3"/>
  <c r="C193" i="3" s="1"/>
  <c r="D103" i="3"/>
  <c r="D193" i="3" s="1"/>
  <c r="E103" i="3"/>
  <c r="E193" i="3" s="1"/>
  <c r="F103" i="3"/>
  <c r="F193" i="3" s="1"/>
  <c r="G103" i="3"/>
  <c r="G193" i="3" s="1"/>
  <c r="H103" i="3"/>
  <c r="H193" i="3" s="1"/>
  <c r="I103" i="3"/>
  <c r="I193" i="3" s="1"/>
  <c r="J103" i="3"/>
  <c r="J193" i="3" s="1"/>
  <c r="A104" i="3"/>
  <c r="A194" i="3" s="1"/>
  <c r="B104" i="3"/>
  <c r="B194" i="3" s="1"/>
  <c r="C104" i="3"/>
  <c r="C194" i="3" s="1"/>
  <c r="D104" i="3"/>
  <c r="D194" i="3" s="1"/>
  <c r="E104" i="3"/>
  <c r="E194" i="3" s="1"/>
  <c r="F104" i="3"/>
  <c r="F194" i="3" s="1"/>
  <c r="G104" i="3"/>
  <c r="G194" i="3" s="1"/>
  <c r="H104" i="3"/>
  <c r="H194" i="3" s="1"/>
  <c r="I104" i="3"/>
  <c r="I194" i="3" s="1"/>
  <c r="J104" i="3"/>
  <c r="J194" i="3" s="1"/>
  <c r="A105" i="3"/>
  <c r="A195" i="3" s="1"/>
  <c r="B105" i="3"/>
  <c r="B195" i="3" s="1"/>
  <c r="C105" i="3"/>
  <c r="C195" i="3" s="1"/>
  <c r="D105" i="3"/>
  <c r="D195" i="3" s="1"/>
  <c r="E105" i="3"/>
  <c r="E195" i="3" s="1"/>
  <c r="F105" i="3"/>
  <c r="F195" i="3" s="1"/>
  <c r="G105" i="3"/>
  <c r="G195" i="3" s="1"/>
  <c r="H105" i="3"/>
  <c r="H195" i="3" s="1"/>
  <c r="I105" i="3"/>
  <c r="I195" i="3" s="1"/>
  <c r="A106" i="3"/>
  <c r="A196" i="3" s="1"/>
  <c r="B106" i="3"/>
  <c r="B196" i="3" s="1"/>
  <c r="C106" i="3"/>
  <c r="C196" i="3" s="1"/>
  <c r="D106" i="3"/>
  <c r="D196" i="3" s="1"/>
  <c r="E106" i="3"/>
  <c r="E196" i="3" s="1"/>
  <c r="F106" i="3"/>
  <c r="F196" i="3" s="1"/>
  <c r="G106" i="3"/>
  <c r="G196" i="3" s="1"/>
  <c r="H106" i="3"/>
  <c r="H196" i="3" s="1"/>
  <c r="I106" i="3"/>
  <c r="I196" i="3" s="1"/>
  <c r="A107" i="3"/>
  <c r="A197" i="3" s="1"/>
  <c r="B107" i="3"/>
  <c r="B197" i="3" s="1"/>
  <c r="C107" i="3"/>
  <c r="C197" i="3" s="1"/>
  <c r="D107" i="3"/>
  <c r="D197" i="3" s="1"/>
  <c r="E107" i="3"/>
  <c r="E197" i="3" s="1"/>
  <c r="F107" i="3"/>
  <c r="F197" i="3" s="1"/>
  <c r="G107" i="3"/>
  <c r="G197" i="3" s="1"/>
  <c r="H107" i="3"/>
  <c r="H197" i="3" s="1"/>
  <c r="A108" i="3"/>
  <c r="A198" i="3" s="1"/>
  <c r="B108" i="3"/>
  <c r="B198" i="3" s="1"/>
  <c r="C108" i="3"/>
  <c r="C198" i="3" s="1"/>
  <c r="D108" i="3"/>
  <c r="D198" i="3" s="1"/>
  <c r="E108" i="3"/>
  <c r="E198" i="3" s="1"/>
  <c r="F108" i="3"/>
  <c r="F198" i="3" s="1"/>
  <c r="G108" i="3"/>
  <c r="G198" i="3" s="1"/>
  <c r="H198" i="3"/>
  <c r="A109" i="3"/>
  <c r="A199" i="3" s="1"/>
  <c r="B109" i="3"/>
  <c r="B199" i="3" s="1"/>
  <c r="C109" i="3"/>
  <c r="C199" i="3" s="1"/>
  <c r="D109" i="3"/>
  <c r="D199" i="3" s="1"/>
  <c r="E109" i="3"/>
  <c r="E199" i="3" s="1"/>
  <c r="F109" i="3"/>
  <c r="F199" i="3" s="1"/>
  <c r="G109" i="3"/>
  <c r="G199" i="3" s="1"/>
  <c r="H109" i="3"/>
  <c r="H199" i="3" s="1"/>
  <c r="I109" i="3"/>
  <c r="I199" i="3" s="1"/>
  <c r="J109" i="3"/>
  <c r="J199" i="3" s="1"/>
  <c r="A110" i="3"/>
  <c r="A200" i="3" s="1"/>
  <c r="B110" i="3"/>
  <c r="B200" i="3" s="1"/>
  <c r="C110" i="3"/>
  <c r="C200" i="3" s="1"/>
  <c r="D110" i="3"/>
  <c r="D200" i="3" s="1"/>
  <c r="E110" i="3"/>
  <c r="E200" i="3" s="1"/>
  <c r="F110" i="3"/>
  <c r="F200" i="3" s="1"/>
  <c r="G110" i="3"/>
  <c r="G200" i="3" s="1"/>
  <c r="H110" i="3"/>
  <c r="H200" i="3" s="1"/>
  <c r="I110" i="3"/>
  <c r="I200" i="3" s="1"/>
  <c r="J110" i="3"/>
  <c r="J200" i="3" s="1"/>
  <c r="A111" i="3"/>
  <c r="A201" i="3" s="1"/>
  <c r="B111" i="3"/>
  <c r="B201" i="3" s="1"/>
  <c r="C111" i="3"/>
  <c r="C201" i="3" s="1"/>
  <c r="D111" i="3"/>
  <c r="D201" i="3" s="1"/>
  <c r="E111" i="3"/>
  <c r="E201" i="3" s="1"/>
  <c r="F111" i="3"/>
  <c r="F201" i="3" s="1"/>
  <c r="G111" i="3"/>
  <c r="G201" i="3" s="1"/>
  <c r="H111" i="3"/>
  <c r="H201" i="3" s="1"/>
  <c r="I111" i="3"/>
  <c r="I201" i="3" s="1"/>
  <c r="J111" i="3"/>
  <c r="J201" i="3" s="1"/>
  <c r="A112" i="3"/>
  <c r="A202" i="3" s="1"/>
  <c r="B112" i="3"/>
  <c r="B202" i="3" s="1"/>
  <c r="C112" i="3"/>
  <c r="C202" i="3" s="1"/>
  <c r="D112" i="3"/>
  <c r="D202" i="3" s="1"/>
  <c r="E112" i="3"/>
  <c r="E202" i="3" s="1"/>
  <c r="F112" i="3"/>
  <c r="F202" i="3" s="1"/>
  <c r="G112" i="3"/>
  <c r="G202" i="3" s="1"/>
  <c r="J112" i="3"/>
  <c r="J202" i="3" s="1"/>
  <c r="A113" i="3"/>
  <c r="A203" i="3" s="1"/>
  <c r="B113" i="3"/>
  <c r="B203" i="3" s="1"/>
  <c r="C113" i="3"/>
  <c r="C203" i="3" s="1"/>
  <c r="D113" i="3"/>
  <c r="D203" i="3" s="1"/>
  <c r="E113" i="3"/>
  <c r="E203" i="3" s="1"/>
  <c r="F113" i="3"/>
  <c r="F203" i="3" s="1"/>
  <c r="G113" i="3"/>
  <c r="G203" i="3" s="1"/>
  <c r="J113" i="3"/>
  <c r="J203" i="3" s="1"/>
  <c r="A114" i="3"/>
  <c r="A204" i="3" s="1"/>
  <c r="B114" i="3"/>
  <c r="B204" i="3" s="1"/>
  <c r="C114" i="3"/>
  <c r="C204" i="3" s="1"/>
  <c r="D114" i="3"/>
  <c r="D204" i="3" s="1"/>
  <c r="E114" i="3"/>
  <c r="E204" i="3" s="1"/>
  <c r="H114" i="3"/>
  <c r="J114" i="3"/>
  <c r="J204" i="3" s="1"/>
  <c r="A115" i="3"/>
  <c r="A205" i="3" s="1"/>
  <c r="B115" i="3"/>
  <c r="B205" i="3" s="1"/>
  <c r="C115" i="3"/>
  <c r="C205" i="3" s="1"/>
  <c r="D115" i="3"/>
  <c r="D205" i="3" s="1"/>
  <c r="E115" i="3"/>
  <c r="E205" i="3" s="1"/>
  <c r="F115" i="3"/>
  <c r="F205" i="3" s="1"/>
  <c r="G115" i="3"/>
  <c r="G205" i="3" s="1"/>
  <c r="H115" i="3"/>
  <c r="J115" i="3"/>
  <c r="J205" i="3" s="1"/>
  <c r="A116" i="3"/>
  <c r="A206" i="3" s="1"/>
  <c r="B116" i="3"/>
  <c r="B206" i="3" s="1"/>
  <c r="C116" i="3"/>
  <c r="C206" i="3" s="1"/>
  <c r="D116" i="3"/>
  <c r="D206" i="3" s="1"/>
  <c r="E116" i="3"/>
  <c r="E206" i="3" s="1"/>
  <c r="F116" i="3"/>
  <c r="F206" i="3" s="1"/>
  <c r="G116" i="3"/>
  <c r="G206" i="3" s="1"/>
  <c r="J116" i="3"/>
  <c r="J206" i="3" s="1"/>
  <c r="A117" i="3"/>
  <c r="A207" i="3" s="1"/>
  <c r="B117" i="3"/>
  <c r="B207" i="3" s="1"/>
  <c r="C117" i="3"/>
  <c r="C207" i="3" s="1"/>
  <c r="D117" i="3"/>
  <c r="D207" i="3" s="1"/>
  <c r="E117" i="3"/>
  <c r="E207" i="3" s="1"/>
  <c r="F117" i="3"/>
  <c r="F207" i="3" s="1"/>
  <c r="G117" i="3"/>
  <c r="G207" i="3" s="1"/>
  <c r="J117" i="3"/>
  <c r="J207" i="3" s="1"/>
  <c r="A118" i="3"/>
  <c r="A208" i="3" s="1"/>
  <c r="B118" i="3"/>
  <c r="B208" i="3" s="1"/>
  <c r="C118" i="3"/>
  <c r="C208" i="3" s="1"/>
  <c r="D118" i="3"/>
  <c r="D208" i="3" s="1"/>
  <c r="E118" i="3"/>
  <c r="E208" i="3" s="1"/>
  <c r="F118" i="3"/>
  <c r="F208" i="3" s="1"/>
  <c r="G118" i="3"/>
  <c r="G208" i="3" s="1"/>
  <c r="H118" i="3"/>
  <c r="I118" i="3"/>
  <c r="J118" i="3"/>
  <c r="J208" i="3" s="1"/>
  <c r="A119" i="3"/>
  <c r="A209" i="3" s="1"/>
  <c r="B119" i="3"/>
  <c r="B209" i="3" s="1"/>
  <c r="C119" i="3"/>
  <c r="C209" i="3" s="1"/>
  <c r="D119" i="3"/>
  <c r="D209" i="3" s="1"/>
  <c r="E119" i="3"/>
  <c r="E209" i="3" s="1"/>
  <c r="F119" i="3"/>
  <c r="F209" i="3" s="1"/>
  <c r="G119" i="3"/>
  <c r="G209" i="3" s="1"/>
  <c r="H119" i="3"/>
  <c r="I119" i="3"/>
  <c r="J119" i="3"/>
  <c r="J209" i="3" s="1"/>
  <c r="A120" i="3"/>
  <c r="A210" i="3" s="1"/>
  <c r="B120" i="3"/>
  <c r="B210" i="3" s="1"/>
  <c r="C120" i="3"/>
  <c r="C210" i="3" s="1"/>
  <c r="D120" i="3"/>
  <c r="D210" i="3" s="1"/>
  <c r="E120" i="3"/>
  <c r="E210" i="3" s="1"/>
  <c r="F120" i="3"/>
  <c r="F210" i="3" s="1"/>
  <c r="G120" i="3"/>
  <c r="G210" i="3" s="1"/>
  <c r="H120" i="3"/>
  <c r="I120" i="3"/>
  <c r="J120" i="3"/>
  <c r="J210" i="3" s="1"/>
  <c r="A121" i="3"/>
  <c r="A211" i="3" s="1"/>
  <c r="B121" i="3"/>
  <c r="B211" i="3" s="1"/>
  <c r="C121" i="3"/>
  <c r="C211" i="3" s="1"/>
  <c r="D121" i="3"/>
  <c r="D211" i="3" s="1"/>
  <c r="G121" i="3"/>
  <c r="G211" i="3" s="1"/>
  <c r="H121" i="3"/>
  <c r="I121" i="3"/>
  <c r="J121" i="3"/>
  <c r="J211" i="3" s="1"/>
  <c r="A122" i="3"/>
  <c r="A212" i="3" s="1"/>
  <c r="B122" i="3"/>
  <c r="B212" i="3" s="1"/>
  <c r="C122" i="3"/>
  <c r="C212" i="3" s="1"/>
  <c r="D122" i="3"/>
  <c r="D212" i="3" s="1"/>
  <c r="F122" i="3"/>
  <c r="F212" i="3" s="1"/>
  <c r="G122" i="3"/>
  <c r="G212" i="3" s="1"/>
  <c r="H122" i="3"/>
  <c r="I122" i="3"/>
  <c r="J122" i="3"/>
  <c r="J212" i="3" s="1"/>
  <c r="A123" i="3"/>
  <c r="A213" i="3" s="1"/>
  <c r="B123" i="3"/>
  <c r="B213" i="3" s="1"/>
  <c r="C123" i="3"/>
  <c r="C213" i="3" s="1"/>
  <c r="D123" i="3"/>
  <c r="D213" i="3" s="1"/>
  <c r="E123" i="3"/>
  <c r="E213" i="3" s="1"/>
  <c r="G123" i="3"/>
  <c r="G213" i="3" s="1"/>
  <c r="H123" i="3"/>
  <c r="I123" i="3"/>
  <c r="A124" i="3"/>
  <c r="A214" i="3" s="1"/>
  <c r="B124" i="3"/>
  <c r="B214" i="3" s="1"/>
  <c r="C124" i="3"/>
  <c r="C214" i="3" s="1"/>
  <c r="D124" i="3"/>
  <c r="D214" i="3" s="1"/>
  <c r="E124" i="3"/>
  <c r="E214" i="3" s="1"/>
  <c r="F124" i="3"/>
  <c r="F214" i="3" s="1"/>
  <c r="G124" i="3"/>
  <c r="G214" i="3" s="1"/>
  <c r="J124" i="3"/>
  <c r="J214" i="3" s="1"/>
  <c r="A125" i="3"/>
  <c r="A215" i="3" s="1"/>
  <c r="B125" i="3"/>
  <c r="B215" i="3" s="1"/>
  <c r="C125" i="3"/>
  <c r="C215" i="3" s="1"/>
  <c r="D125" i="3"/>
  <c r="D215" i="3" s="1"/>
  <c r="E125" i="3"/>
  <c r="E215" i="3" s="1"/>
  <c r="F125" i="3"/>
  <c r="F215" i="3" s="1"/>
  <c r="G125" i="3"/>
  <c r="G215" i="3" s="1"/>
  <c r="J125" i="3"/>
  <c r="J215" i="3" s="1"/>
  <c r="A126" i="3"/>
  <c r="A216" i="3" s="1"/>
  <c r="B126" i="3"/>
  <c r="B216" i="3" s="1"/>
  <c r="C126" i="3"/>
  <c r="C216" i="3" s="1"/>
  <c r="D126" i="3"/>
  <c r="D216" i="3" s="1"/>
  <c r="E126" i="3"/>
  <c r="E216" i="3" s="1"/>
  <c r="F126" i="3"/>
  <c r="F216" i="3" s="1"/>
  <c r="G126" i="3"/>
  <c r="G216" i="3" s="1"/>
  <c r="H126" i="3"/>
  <c r="J126" i="3"/>
  <c r="J216" i="3" s="1"/>
  <c r="A127" i="3"/>
  <c r="A217" i="3" s="1"/>
  <c r="B127" i="3"/>
  <c r="B217" i="3" s="1"/>
  <c r="C127" i="3"/>
  <c r="C217" i="3" s="1"/>
  <c r="D127" i="3"/>
  <c r="D217" i="3" s="1"/>
  <c r="E127" i="3"/>
  <c r="E217" i="3" s="1"/>
  <c r="F127" i="3"/>
  <c r="F217" i="3" s="1"/>
  <c r="J127" i="3"/>
  <c r="J217" i="3" s="1"/>
  <c r="A128" i="3"/>
  <c r="A218" i="3" s="1"/>
  <c r="B128" i="3"/>
  <c r="B218" i="3" s="1"/>
  <c r="C128" i="3"/>
  <c r="C218" i="3" s="1"/>
  <c r="D128" i="3"/>
  <c r="D218" i="3" s="1"/>
  <c r="E128" i="3"/>
  <c r="E218" i="3" s="1"/>
  <c r="F128" i="3"/>
  <c r="F218" i="3" s="1"/>
  <c r="G128" i="3"/>
  <c r="G218" i="3" s="1"/>
  <c r="J128" i="3"/>
  <c r="J218" i="3" s="1"/>
  <c r="A129" i="3"/>
  <c r="A219" i="3" s="1"/>
  <c r="B129" i="3"/>
  <c r="B219" i="3" s="1"/>
  <c r="C129" i="3"/>
  <c r="C219" i="3" s="1"/>
  <c r="D129" i="3"/>
  <c r="D219" i="3" s="1"/>
  <c r="E129" i="3"/>
  <c r="E219" i="3" s="1"/>
  <c r="F129" i="3"/>
  <c r="F219" i="3" s="1"/>
  <c r="G129" i="3"/>
  <c r="G219" i="3" s="1"/>
  <c r="J129" i="3"/>
  <c r="J219" i="3" s="1"/>
  <c r="A130" i="3"/>
  <c r="A220" i="3" s="1"/>
  <c r="B130" i="3"/>
  <c r="B220" i="3" s="1"/>
  <c r="C130" i="3"/>
  <c r="C220" i="3" s="1"/>
  <c r="D130" i="3"/>
  <c r="D220" i="3" s="1"/>
  <c r="E130" i="3"/>
  <c r="E220" i="3" s="1"/>
  <c r="F130" i="3"/>
  <c r="F220" i="3" s="1"/>
  <c r="G130" i="3"/>
  <c r="G220" i="3" s="1"/>
  <c r="H130" i="3"/>
  <c r="H220" i="3" s="1"/>
  <c r="A131" i="3"/>
  <c r="A221" i="3" s="1"/>
  <c r="B131" i="3"/>
  <c r="B221" i="3" s="1"/>
  <c r="C131" i="3"/>
  <c r="C221" i="3" s="1"/>
  <c r="D131" i="3"/>
  <c r="D221" i="3" s="1"/>
  <c r="E131" i="3"/>
  <c r="E221" i="3" s="1"/>
  <c r="F131" i="3"/>
  <c r="F221" i="3" s="1"/>
  <c r="G131" i="3"/>
  <c r="G221" i="3" s="1"/>
  <c r="H131" i="3"/>
  <c r="H221" i="3" s="1"/>
  <c r="I131" i="3"/>
  <c r="I221" i="3" s="1"/>
  <c r="J131" i="3"/>
  <c r="J221" i="3" s="1"/>
  <c r="A132" i="3"/>
  <c r="A222" i="3" s="1"/>
  <c r="B132" i="3"/>
  <c r="B222" i="3" s="1"/>
  <c r="C132" i="3"/>
  <c r="C222" i="3" s="1"/>
  <c r="D132" i="3"/>
  <c r="D222" i="3" s="1"/>
  <c r="E132" i="3"/>
  <c r="E222" i="3" s="1"/>
  <c r="F132" i="3"/>
  <c r="F222" i="3" s="1"/>
  <c r="G132" i="3"/>
  <c r="G222" i="3" s="1"/>
  <c r="H132" i="3"/>
  <c r="H222" i="3" s="1"/>
  <c r="I132" i="3"/>
  <c r="I222" i="3" s="1"/>
  <c r="J132" i="3"/>
  <c r="J222" i="3" s="1"/>
  <c r="A223" i="3"/>
  <c r="B223" i="3"/>
  <c r="C223" i="3"/>
  <c r="D133" i="3"/>
  <c r="D223" i="3" s="1"/>
  <c r="E133" i="3"/>
  <c r="E223" i="3" s="1"/>
  <c r="F133" i="3"/>
  <c r="F223" i="3" s="1"/>
  <c r="G133" i="3"/>
  <c r="G223" i="3" s="1"/>
  <c r="H133" i="3"/>
  <c r="H223" i="3" s="1"/>
  <c r="I133" i="3"/>
  <c r="I223" i="3" s="1"/>
  <c r="J133" i="3"/>
  <c r="J223" i="3" s="1"/>
  <c r="A134" i="3"/>
  <c r="A224" i="3" s="1"/>
  <c r="B134" i="3"/>
  <c r="B224" i="3" s="1"/>
  <c r="C134" i="3"/>
  <c r="C224" i="3" s="1"/>
  <c r="D134" i="3"/>
  <c r="D224" i="3" s="1"/>
  <c r="E134" i="3"/>
  <c r="E224" i="3" s="1"/>
  <c r="F134" i="3"/>
  <c r="F224" i="3" s="1"/>
  <c r="G134" i="3"/>
  <c r="G224" i="3" s="1"/>
  <c r="H134" i="3"/>
  <c r="H224" i="3" s="1"/>
  <c r="I134" i="3"/>
  <c r="I224" i="3" s="1"/>
  <c r="J134" i="3"/>
  <c r="J224" i="3" s="1"/>
  <c r="A135" i="3"/>
  <c r="A225" i="3" s="1"/>
  <c r="B135" i="3"/>
  <c r="B225" i="3" s="1"/>
  <c r="C135" i="3"/>
  <c r="C225" i="3" s="1"/>
  <c r="D135" i="3"/>
  <c r="D225" i="3" s="1"/>
  <c r="E135" i="3"/>
  <c r="E225" i="3" s="1"/>
  <c r="F135" i="3"/>
  <c r="F225" i="3" s="1"/>
  <c r="G135" i="3"/>
  <c r="G225" i="3" s="1"/>
  <c r="H135" i="3"/>
  <c r="H225" i="3" s="1"/>
  <c r="J135" i="3"/>
  <c r="J225" i="3" s="1"/>
  <c r="A136" i="3"/>
  <c r="A226" i="3" s="1"/>
  <c r="B136" i="3"/>
  <c r="B226" i="3" s="1"/>
  <c r="C136" i="3"/>
  <c r="C226" i="3" s="1"/>
  <c r="D136" i="3"/>
  <c r="D226" i="3" s="1"/>
  <c r="E136" i="3"/>
  <c r="E226" i="3" s="1"/>
  <c r="F136" i="3"/>
  <c r="F226" i="3" s="1"/>
  <c r="G136" i="3"/>
  <c r="G226" i="3" s="1"/>
  <c r="H136" i="3"/>
  <c r="H226" i="3" s="1"/>
  <c r="I136" i="3"/>
  <c r="I226" i="3" s="1"/>
  <c r="J136" i="3"/>
  <c r="J226" i="3" s="1"/>
  <c r="K136" i="3"/>
  <c r="K226" i="3" s="1"/>
  <c r="L136" i="3"/>
  <c r="L226" i="3" s="1"/>
  <c r="M136" i="3"/>
  <c r="M226" i="3" s="1"/>
  <c r="N136" i="3"/>
  <c r="N226" i="3" s="1"/>
  <c r="O136" i="3"/>
  <c r="O226" i="3" s="1"/>
  <c r="P136" i="3"/>
  <c r="P226" i="3" s="1"/>
  <c r="Q136" i="3"/>
  <c r="Q226" i="3" s="1"/>
  <c r="R136" i="3"/>
  <c r="R226" i="3" s="1"/>
  <c r="S136" i="3"/>
  <c r="S226" i="3" s="1"/>
  <c r="T136" i="3"/>
  <c r="T226" i="3" s="1"/>
  <c r="U136" i="3"/>
  <c r="U226" i="3" s="1"/>
  <c r="V136" i="3"/>
  <c r="V226" i="3" s="1"/>
  <c r="A137" i="3"/>
  <c r="A227" i="3" s="1"/>
  <c r="B137" i="3"/>
  <c r="B227" i="3" s="1"/>
  <c r="C137" i="3"/>
  <c r="C227" i="3" s="1"/>
  <c r="D137" i="3"/>
  <c r="D227" i="3" s="1"/>
  <c r="E137" i="3"/>
  <c r="E227" i="3" s="1"/>
  <c r="F137" i="3"/>
  <c r="F227" i="3" s="1"/>
  <c r="G137" i="3"/>
  <c r="G227" i="3" s="1"/>
  <c r="H137" i="3"/>
  <c r="H227" i="3" s="1"/>
  <c r="I137" i="3"/>
  <c r="I227" i="3" s="1"/>
  <c r="J137" i="3"/>
  <c r="J227" i="3" s="1"/>
  <c r="K137" i="3"/>
  <c r="K227" i="3" s="1"/>
  <c r="L137" i="3"/>
  <c r="L227" i="3" s="1"/>
  <c r="M137" i="3"/>
  <c r="M227" i="3" s="1"/>
  <c r="N137" i="3"/>
  <c r="N227" i="3" s="1"/>
  <c r="O137" i="3"/>
  <c r="O227" i="3" s="1"/>
  <c r="P137" i="3"/>
  <c r="P227" i="3" s="1"/>
  <c r="Q137" i="3"/>
  <c r="Q227" i="3" s="1"/>
  <c r="R137" i="3"/>
  <c r="R227" i="3" s="1"/>
  <c r="S137" i="3"/>
  <c r="S227" i="3" s="1"/>
  <c r="T137" i="3"/>
  <c r="T227" i="3" s="1"/>
  <c r="U137" i="3"/>
  <c r="U227" i="3" s="1"/>
  <c r="V137" i="3"/>
  <c r="V227" i="3" s="1"/>
  <c r="A138" i="3"/>
  <c r="A228" i="3" s="1"/>
  <c r="B138" i="3"/>
  <c r="B228" i="3" s="1"/>
  <c r="D138" i="3"/>
  <c r="D228" i="3" s="1"/>
  <c r="E138" i="3"/>
  <c r="E228" i="3" s="1"/>
  <c r="F138" i="3"/>
  <c r="F228" i="3" s="1"/>
  <c r="G138" i="3"/>
  <c r="G228" i="3" s="1"/>
  <c r="H138" i="3"/>
  <c r="H228" i="3" s="1"/>
  <c r="I138" i="3"/>
  <c r="I228" i="3" s="1"/>
  <c r="J138" i="3"/>
  <c r="J228" i="3" s="1"/>
  <c r="K138" i="3"/>
  <c r="K228" i="3" s="1"/>
  <c r="L138" i="3"/>
  <c r="L228" i="3" s="1"/>
  <c r="M138" i="3"/>
  <c r="M228" i="3" s="1"/>
  <c r="N138" i="3"/>
  <c r="N228" i="3" s="1"/>
  <c r="O138" i="3"/>
  <c r="O228" i="3" s="1"/>
  <c r="P138" i="3"/>
  <c r="P228" i="3" s="1"/>
  <c r="Q138" i="3"/>
  <c r="Q228" i="3" s="1"/>
  <c r="R138" i="3"/>
  <c r="R228" i="3" s="1"/>
  <c r="S138" i="3"/>
  <c r="S228" i="3" s="1"/>
  <c r="T138" i="3"/>
  <c r="T228" i="3" s="1"/>
  <c r="U138" i="3"/>
  <c r="U228" i="3" s="1"/>
  <c r="V138" i="3"/>
  <c r="V228" i="3" s="1"/>
  <c r="A139" i="3"/>
  <c r="A229" i="3" s="1"/>
  <c r="B139" i="3"/>
  <c r="B229" i="3" s="1"/>
  <c r="C139" i="3"/>
  <c r="C229" i="3" s="1"/>
  <c r="D139" i="3"/>
  <c r="D229" i="3" s="1"/>
  <c r="E139" i="3"/>
  <c r="E229" i="3" s="1"/>
  <c r="F139" i="3"/>
  <c r="F229" i="3" s="1"/>
  <c r="G139" i="3"/>
  <c r="G229" i="3" s="1"/>
  <c r="H139" i="3"/>
  <c r="H229" i="3" s="1"/>
  <c r="I139" i="3"/>
  <c r="I229" i="3" s="1"/>
  <c r="J139" i="3"/>
  <c r="J229" i="3" s="1"/>
  <c r="K139" i="3"/>
  <c r="K229" i="3" s="1"/>
  <c r="L139" i="3"/>
  <c r="L229" i="3" s="1"/>
  <c r="M139" i="3"/>
  <c r="M229" i="3" s="1"/>
  <c r="N139" i="3"/>
  <c r="N229" i="3" s="1"/>
  <c r="O139" i="3"/>
  <c r="O229" i="3" s="1"/>
  <c r="P139" i="3"/>
  <c r="P229" i="3" s="1"/>
  <c r="Q139" i="3"/>
  <c r="Q229" i="3" s="1"/>
  <c r="R139" i="3"/>
  <c r="R229" i="3" s="1"/>
  <c r="S139" i="3"/>
  <c r="S229" i="3" s="1"/>
  <c r="T139" i="3"/>
  <c r="T229" i="3" s="1"/>
  <c r="U139" i="3"/>
  <c r="U229" i="3" s="1"/>
  <c r="V139" i="3"/>
  <c r="V229" i="3" s="1"/>
  <c r="A140" i="3"/>
  <c r="A230" i="3" s="1"/>
  <c r="B140" i="3"/>
  <c r="B230" i="3" s="1"/>
  <c r="C140" i="3"/>
  <c r="C230" i="3" s="1"/>
  <c r="D140" i="3"/>
  <c r="D230" i="3" s="1"/>
  <c r="E140" i="3"/>
  <c r="E230" i="3" s="1"/>
  <c r="F140" i="3"/>
  <c r="F230" i="3" s="1"/>
  <c r="G140" i="3"/>
  <c r="G230" i="3" s="1"/>
  <c r="H140" i="3"/>
  <c r="H230" i="3" s="1"/>
  <c r="I140" i="3"/>
  <c r="I230" i="3" s="1"/>
  <c r="J140" i="3"/>
  <c r="J230" i="3" s="1"/>
  <c r="K140" i="3"/>
  <c r="K230" i="3" s="1"/>
  <c r="L140" i="3"/>
  <c r="L230" i="3" s="1"/>
  <c r="M140" i="3"/>
  <c r="M230" i="3" s="1"/>
  <c r="N140" i="3"/>
  <c r="N230" i="3" s="1"/>
  <c r="O140" i="3"/>
  <c r="O230" i="3" s="1"/>
  <c r="P140" i="3"/>
  <c r="P230" i="3" s="1"/>
  <c r="Q140" i="3"/>
  <c r="Q230" i="3" s="1"/>
  <c r="R140" i="3"/>
  <c r="R230" i="3" s="1"/>
  <c r="S140" i="3"/>
  <c r="S230" i="3" s="1"/>
  <c r="T140" i="3"/>
  <c r="T230" i="3" s="1"/>
  <c r="U140" i="3"/>
  <c r="U230" i="3" s="1"/>
  <c r="V140" i="3"/>
  <c r="V230" i="3" s="1"/>
  <c r="A141" i="3"/>
  <c r="A231" i="3" s="1"/>
  <c r="B141" i="3"/>
  <c r="B231" i="3" s="1"/>
  <c r="C141" i="3"/>
  <c r="C231" i="3" s="1"/>
  <c r="D141" i="3"/>
  <c r="D231" i="3" s="1"/>
  <c r="E141" i="3"/>
  <c r="E231" i="3" s="1"/>
  <c r="F141" i="3"/>
  <c r="F231" i="3" s="1"/>
  <c r="G141" i="3"/>
  <c r="G231" i="3" s="1"/>
  <c r="H141" i="3"/>
  <c r="H231" i="3" s="1"/>
  <c r="J141" i="3"/>
  <c r="J231" i="3" s="1"/>
  <c r="K141" i="3"/>
  <c r="K231" i="3" s="1"/>
  <c r="L141" i="3"/>
  <c r="L231" i="3" s="1"/>
  <c r="M141" i="3"/>
  <c r="M231" i="3" s="1"/>
  <c r="N141" i="3"/>
  <c r="N231" i="3" s="1"/>
  <c r="P141" i="3"/>
  <c r="P231" i="3" s="1"/>
  <c r="Q141" i="3"/>
  <c r="Q231" i="3" s="1"/>
  <c r="R141" i="3"/>
  <c r="R231" i="3" s="1"/>
  <c r="S141" i="3"/>
  <c r="S231" i="3" s="1"/>
  <c r="U141" i="3"/>
  <c r="U231" i="3" s="1"/>
  <c r="V141" i="3"/>
  <c r="V231" i="3" s="1"/>
  <c r="A142" i="3"/>
  <c r="A232" i="3" s="1"/>
  <c r="B142" i="3"/>
  <c r="B232" i="3" s="1"/>
  <c r="C142" i="3"/>
  <c r="C232" i="3" s="1"/>
  <c r="D142" i="3"/>
  <c r="D232" i="3" s="1"/>
  <c r="E142" i="3"/>
  <c r="E232" i="3" s="1"/>
  <c r="F142" i="3"/>
  <c r="F232" i="3" s="1"/>
  <c r="G142" i="3"/>
  <c r="G232" i="3" s="1"/>
  <c r="H142" i="3"/>
  <c r="H232" i="3" s="1"/>
  <c r="I142" i="3"/>
  <c r="I232" i="3" s="1"/>
  <c r="J142" i="3"/>
  <c r="J232" i="3" s="1"/>
  <c r="K142" i="3"/>
  <c r="K232" i="3" s="1"/>
  <c r="L142" i="3"/>
  <c r="L232" i="3" s="1"/>
  <c r="M142" i="3"/>
  <c r="M232" i="3" s="1"/>
  <c r="N142" i="3"/>
  <c r="N232" i="3" s="1"/>
  <c r="O142" i="3"/>
  <c r="O232" i="3" s="1"/>
  <c r="P142" i="3"/>
  <c r="P232" i="3" s="1"/>
  <c r="Q142" i="3"/>
  <c r="Q232" i="3" s="1"/>
  <c r="R142" i="3"/>
  <c r="R232" i="3" s="1"/>
  <c r="S142" i="3"/>
  <c r="S232" i="3" s="1"/>
  <c r="T142" i="3"/>
  <c r="T232" i="3" s="1"/>
  <c r="U142" i="3"/>
  <c r="U232" i="3" s="1"/>
  <c r="V142" i="3"/>
  <c r="V232" i="3" s="1"/>
  <c r="A143" i="3"/>
  <c r="A233" i="3" s="1"/>
  <c r="B143" i="3"/>
  <c r="B233" i="3" s="1"/>
  <c r="C143" i="3"/>
  <c r="C233" i="3" s="1"/>
  <c r="D143" i="3"/>
  <c r="D233" i="3" s="1"/>
  <c r="E143" i="3"/>
  <c r="E233" i="3" s="1"/>
  <c r="F143" i="3"/>
  <c r="F233" i="3" s="1"/>
  <c r="G143" i="3"/>
  <c r="G233" i="3" s="1"/>
  <c r="H143" i="3"/>
  <c r="H233" i="3" s="1"/>
  <c r="I143" i="3"/>
  <c r="I233" i="3" s="1"/>
  <c r="J143" i="3"/>
  <c r="J233" i="3" s="1"/>
  <c r="K143" i="3"/>
  <c r="K233" i="3" s="1"/>
  <c r="L143" i="3"/>
  <c r="L233" i="3" s="1"/>
  <c r="M143" i="3"/>
  <c r="M233" i="3" s="1"/>
  <c r="N143" i="3"/>
  <c r="N233" i="3" s="1"/>
  <c r="O143" i="3"/>
  <c r="O233" i="3" s="1"/>
  <c r="P143" i="3"/>
  <c r="P233" i="3" s="1"/>
  <c r="Q143" i="3"/>
  <c r="Q233" i="3" s="1"/>
  <c r="R143" i="3"/>
  <c r="R233" i="3" s="1"/>
  <c r="S143" i="3"/>
  <c r="S233" i="3" s="1"/>
  <c r="T143" i="3"/>
  <c r="T233" i="3" s="1"/>
  <c r="U143" i="3"/>
  <c r="U233" i="3" s="1"/>
  <c r="V143" i="3"/>
  <c r="V233" i="3" s="1"/>
  <c r="A144" i="3"/>
  <c r="A234" i="3" s="1"/>
  <c r="B144" i="3"/>
  <c r="B234" i="3" s="1"/>
  <c r="C144" i="3"/>
  <c r="C234" i="3" s="1"/>
  <c r="D144" i="3"/>
  <c r="D234" i="3" s="1"/>
  <c r="E144" i="3"/>
  <c r="E234" i="3" s="1"/>
  <c r="F144" i="3"/>
  <c r="F234" i="3" s="1"/>
  <c r="G144" i="3"/>
  <c r="G234" i="3" s="1"/>
  <c r="H144" i="3"/>
  <c r="H234" i="3" s="1"/>
  <c r="I144" i="3"/>
  <c r="I234" i="3" s="1"/>
  <c r="J144" i="3"/>
  <c r="J234" i="3" s="1"/>
  <c r="K144" i="3"/>
  <c r="K234" i="3" s="1"/>
  <c r="L144" i="3"/>
  <c r="L234" i="3" s="1"/>
  <c r="M144" i="3"/>
  <c r="M234" i="3" s="1"/>
  <c r="N144" i="3"/>
  <c r="N234" i="3" s="1"/>
  <c r="O144" i="3"/>
  <c r="O234" i="3" s="1"/>
  <c r="P144" i="3"/>
  <c r="P234" i="3" s="1"/>
  <c r="Q144" i="3"/>
  <c r="Q234" i="3" s="1"/>
  <c r="S144" i="3"/>
  <c r="S234" i="3" s="1"/>
  <c r="A145" i="3"/>
  <c r="A235" i="3" s="1"/>
  <c r="B145" i="3"/>
  <c r="B235" i="3" s="1"/>
  <c r="C145" i="3"/>
  <c r="C235" i="3" s="1"/>
  <c r="D145" i="3"/>
  <c r="D235" i="3" s="1"/>
  <c r="E145" i="3"/>
  <c r="E235" i="3" s="1"/>
  <c r="F145" i="3"/>
  <c r="F235" i="3" s="1"/>
  <c r="G145" i="3"/>
  <c r="G235" i="3" s="1"/>
  <c r="H145" i="3"/>
  <c r="H235" i="3" s="1"/>
  <c r="I145" i="3"/>
  <c r="I235" i="3" s="1"/>
  <c r="J145" i="3"/>
  <c r="J235" i="3" s="1"/>
  <c r="K145" i="3"/>
  <c r="K235" i="3" s="1"/>
  <c r="L145" i="3"/>
  <c r="L235" i="3" s="1"/>
  <c r="M145" i="3"/>
  <c r="M235" i="3" s="1"/>
  <c r="N145" i="3"/>
  <c r="N235" i="3" s="1"/>
  <c r="O145" i="3"/>
  <c r="O235" i="3" s="1"/>
  <c r="P145" i="3"/>
  <c r="P235" i="3" s="1"/>
  <c r="Q145" i="3"/>
  <c r="Q235" i="3" s="1"/>
  <c r="R145" i="3"/>
  <c r="R235" i="3" s="1"/>
  <c r="S145" i="3"/>
  <c r="S235" i="3" s="1"/>
  <c r="A146" i="3"/>
  <c r="A236" i="3" s="1"/>
  <c r="B146" i="3"/>
  <c r="B236" i="3" s="1"/>
  <c r="C146" i="3"/>
  <c r="C236" i="3" s="1"/>
  <c r="D146" i="3"/>
  <c r="D236" i="3" s="1"/>
  <c r="E146" i="3"/>
  <c r="E236" i="3" s="1"/>
  <c r="F146" i="3"/>
  <c r="F236" i="3" s="1"/>
  <c r="G146" i="3"/>
  <c r="G236" i="3" s="1"/>
  <c r="H146" i="3"/>
  <c r="H236" i="3" s="1"/>
  <c r="I146" i="3"/>
  <c r="I236" i="3" s="1"/>
  <c r="J146" i="3"/>
  <c r="J236" i="3" s="1"/>
  <c r="K146" i="3"/>
  <c r="K236" i="3" s="1"/>
  <c r="L146" i="3"/>
  <c r="L236" i="3" s="1"/>
  <c r="M146" i="3"/>
  <c r="M236" i="3" s="1"/>
  <c r="N146" i="3"/>
  <c r="N236" i="3" s="1"/>
  <c r="O146" i="3"/>
  <c r="O236" i="3" s="1"/>
  <c r="P146" i="3"/>
  <c r="Q146" i="3"/>
  <c r="Q236" i="3" s="1"/>
  <c r="R146" i="3"/>
  <c r="R236" i="3" s="1"/>
  <c r="S146" i="3"/>
  <c r="S236" i="3" s="1"/>
  <c r="T146" i="3"/>
  <c r="T236" i="3" s="1"/>
  <c r="U146" i="3"/>
  <c r="U236" i="3" s="1"/>
  <c r="V146" i="3"/>
  <c r="V236" i="3" s="1"/>
  <c r="A147" i="3"/>
  <c r="A237" i="3" s="1"/>
  <c r="B147" i="3"/>
  <c r="B237" i="3" s="1"/>
  <c r="C147" i="3"/>
  <c r="C237" i="3" s="1"/>
  <c r="D147" i="3"/>
  <c r="D237" i="3" s="1"/>
  <c r="E147" i="3"/>
  <c r="E237" i="3" s="1"/>
  <c r="F147" i="3"/>
  <c r="F237" i="3" s="1"/>
  <c r="G147" i="3"/>
  <c r="G237" i="3" s="1"/>
  <c r="H147" i="3"/>
  <c r="H237" i="3" s="1"/>
  <c r="I147" i="3"/>
  <c r="I237" i="3" s="1"/>
  <c r="J147" i="3"/>
  <c r="J237" i="3" s="1"/>
  <c r="K147" i="3"/>
  <c r="K237" i="3" s="1"/>
  <c r="L147" i="3"/>
  <c r="L237" i="3" s="1"/>
  <c r="N147" i="3"/>
  <c r="N237" i="3" s="1"/>
  <c r="P147" i="3"/>
  <c r="Q147" i="3"/>
  <c r="S147" i="3"/>
  <c r="S237" i="3" s="1"/>
  <c r="A148" i="3"/>
  <c r="A238" i="3" s="1"/>
  <c r="B148" i="3"/>
  <c r="B238" i="3" s="1"/>
  <c r="C148" i="3"/>
  <c r="C238" i="3" s="1"/>
  <c r="D148" i="3"/>
  <c r="D238" i="3" s="1"/>
  <c r="E148" i="3"/>
  <c r="E238" i="3" s="1"/>
  <c r="F148" i="3"/>
  <c r="F238" i="3" s="1"/>
  <c r="G148" i="3"/>
  <c r="G238" i="3" s="1"/>
  <c r="H148" i="3"/>
  <c r="H238" i="3" s="1"/>
  <c r="I148" i="3"/>
  <c r="I238" i="3" s="1"/>
  <c r="J148" i="3"/>
  <c r="J238" i="3" s="1"/>
  <c r="K148" i="3"/>
  <c r="K238" i="3" s="1"/>
  <c r="L148" i="3"/>
  <c r="L238" i="3" s="1"/>
  <c r="M148" i="3"/>
  <c r="M238" i="3" s="1"/>
  <c r="N148" i="3"/>
  <c r="N238" i="3" s="1"/>
  <c r="P148" i="3"/>
  <c r="Q148" i="3"/>
  <c r="R148" i="3"/>
  <c r="R238" i="3" s="1"/>
  <c r="S148" i="3"/>
  <c r="S238" i="3" s="1"/>
  <c r="A149" i="3"/>
  <c r="A239" i="3" s="1"/>
  <c r="B149" i="3"/>
  <c r="B239" i="3" s="1"/>
  <c r="C149" i="3"/>
  <c r="C239" i="3" s="1"/>
  <c r="D149" i="3"/>
  <c r="D239" i="3" s="1"/>
  <c r="E149" i="3"/>
  <c r="E239" i="3" s="1"/>
  <c r="F149" i="3"/>
  <c r="F239" i="3" s="1"/>
  <c r="G149" i="3"/>
  <c r="G239" i="3" s="1"/>
  <c r="H149" i="3"/>
  <c r="H239" i="3" s="1"/>
  <c r="I149" i="3"/>
  <c r="I239" i="3" s="1"/>
  <c r="J149" i="3"/>
  <c r="J239" i="3" s="1"/>
  <c r="K149" i="3"/>
  <c r="K239" i="3" s="1"/>
  <c r="M149" i="3"/>
  <c r="M239" i="3" s="1"/>
  <c r="N149" i="3"/>
  <c r="N239" i="3" s="1"/>
  <c r="O149" i="3"/>
  <c r="O239" i="3" s="1"/>
  <c r="P149" i="3"/>
  <c r="P239" i="3" s="1"/>
  <c r="Q149" i="3"/>
  <c r="Q239" i="3" s="1"/>
  <c r="R149" i="3"/>
  <c r="R239" i="3" s="1"/>
  <c r="S149" i="3"/>
  <c r="S239" i="3" s="1"/>
  <c r="T149" i="3"/>
  <c r="T239" i="3" s="1"/>
  <c r="U149" i="3"/>
  <c r="U239" i="3" s="1"/>
  <c r="V149" i="3"/>
  <c r="V239" i="3" s="1"/>
  <c r="A150" i="3"/>
  <c r="A240" i="3" s="1"/>
  <c r="B150" i="3"/>
  <c r="B240" i="3" s="1"/>
  <c r="C150" i="3"/>
  <c r="C240" i="3" s="1"/>
  <c r="D150" i="3"/>
  <c r="D240" i="3" s="1"/>
  <c r="E150" i="3"/>
  <c r="E240" i="3" s="1"/>
  <c r="F150" i="3"/>
  <c r="F240" i="3" s="1"/>
  <c r="G150" i="3"/>
  <c r="G240" i="3" s="1"/>
  <c r="H150" i="3"/>
  <c r="H240" i="3" s="1"/>
  <c r="I150" i="3"/>
  <c r="I240" i="3" s="1"/>
  <c r="J150" i="3"/>
  <c r="J240" i="3" s="1"/>
  <c r="K150" i="3"/>
  <c r="K240" i="3" s="1"/>
  <c r="M150" i="3"/>
  <c r="M240" i="3" s="1"/>
  <c r="N150" i="3"/>
  <c r="N240" i="3" s="1"/>
  <c r="O150" i="3"/>
  <c r="O240" i="3" s="1"/>
  <c r="P150" i="3"/>
  <c r="P240" i="3" s="1"/>
  <c r="Q150" i="3"/>
  <c r="Q240" i="3" s="1"/>
  <c r="S150" i="3"/>
  <c r="S240" i="3" s="1"/>
  <c r="A151" i="3"/>
  <c r="A241" i="3" s="1"/>
  <c r="B151" i="3"/>
  <c r="B241" i="3" s="1"/>
  <c r="C151" i="3"/>
  <c r="C241" i="3" s="1"/>
  <c r="D151" i="3"/>
  <c r="D241" i="3" s="1"/>
  <c r="E151" i="3"/>
  <c r="E241" i="3" s="1"/>
  <c r="F151" i="3"/>
  <c r="F241" i="3" s="1"/>
  <c r="G151" i="3"/>
  <c r="G241" i="3" s="1"/>
  <c r="H151" i="3"/>
  <c r="H241" i="3" s="1"/>
  <c r="K151" i="3"/>
  <c r="K241" i="3" s="1"/>
  <c r="L151" i="3"/>
  <c r="L241" i="3" s="1"/>
  <c r="M151" i="3"/>
  <c r="M241" i="3" s="1"/>
  <c r="N151" i="3"/>
  <c r="N241" i="3" s="1"/>
  <c r="O151" i="3"/>
  <c r="O241" i="3" s="1"/>
  <c r="P151" i="3"/>
  <c r="P241" i="3" s="1"/>
  <c r="Q151" i="3"/>
  <c r="Q241" i="3" s="1"/>
  <c r="R151" i="3"/>
  <c r="R241" i="3" s="1"/>
  <c r="S151" i="3"/>
  <c r="S241" i="3" s="1"/>
  <c r="A152" i="3"/>
  <c r="A242" i="3" s="1"/>
  <c r="B152" i="3"/>
  <c r="B242" i="3" s="1"/>
  <c r="C152" i="3"/>
  <c r="C242" i="3" s="1"/>
  <c r="D152" i="3"/>
  <c r="D242" i="3" s="1"/>
  <c r="E152" i="3"/>
  <c r="E242" i="3" s="1"/>
  <c r="F152" i="3"/>
  <c r="F242" i="3" s="1"/>
  <c r="G152" i="3"/>
  <c r="G242" i="3" s="1"/>
  <c r="H152" i="3"/>
  <c r="H242" i="3" s="1"/>
  <c r="K152" i="3"/>
  <c r="K242" i="3" s="1"/>
  <c r="M152" i="3"/>
  <c r="M242" i="3" s="1"/>
  <c r="N152" i="3"/>
  <c r="N242" i="3" s="1"/>
  <c r="O152" i="3"/>
  <c r="O242" i="3" s="1"/>
  <c r="P152" i="3"/>
  <c r="P242" i="3" s="1"/>
  <c r="Q152" i="3"/>
  <c r="Q242" i="3" s="1"/>
  <c r="R152" i="3"/>
  <c r="R242" i="3" s="1"/>
  <c r="S152" i="3"/>
  <c r="S242" i="3" s="1"/>
  <c r="T152" i="3"/>
  <c r="T242" i="3" s="1"/>
  <c r="U152" i="3"/>
  <c r="U242" i="3" s="1"/>
  <c r="V152" i="3"/>
  <c r="V242" i="3" s="1"/>
  <c r="A153" i="3"/>
  <c r="A243" i="3" s="1"/>
  <c r="B153" i="3"/>
  <c r="B243" i="3" s="1"/>
  <c r="C153" i="3"/>
  <c r="C243" i="3" s="1"/>
  <c r="D153" i="3"/>
  <c r="D243" i="3" s="1"/>
  <c r="E153" i="3"/>
  <c r="E243" i="3" s="1"/>
  <c r="F153" i="3"/>
  <c r="F243" i="3" s="1"/>
  <c r="G153" i="3"/>
  <c r="G243" i="3" s="1"/>
  <c r="H153" i="3"/>
  <c r="H243" i="3" s="1"/>
  <c r="I153" i="3"/>
  <c r="I243" i="3" s="1"/>
  <c r="J153" i="3"/>
  <c r="J243" i="3" s="1"/>
  <c r="K153" i="3"/>
  <c r="K243" i="3" s="1"/>
  <c r="M153" i="3"/>
  <c r="M243" i="3" s="1"/>
  <c r="N153" i="3"/>
  <c r="N243" i="3" s="1"/>
  <c r="O153" i="3"/>
  <c r="O243" i="3" s="1"/>
  <c r="P153" i="3"/>
  <c r="P243" i="3" s="1"/>
  <c r="Q153" i="3"/>
  <c r="Q243" i="3" s="1"/>
  <c r="R153" i="3"/>
  <c r="R243" i="3" s="1"/>
  <c r="S153" i="3"/>
  <c r="S243" i="3" s="1"/>
  <c r="T153" i="3"/>
  <c r="T243" i="3" s="1"/>
  <c r="U153" i="3"/>
  <c r="U243" i="3" s="1"/>
  <c r="V153" i="3"/>
  <c r="V243" i="3" s="1"/>
  <c r="A154" i="3"/>
  <c r="A244" i="3" s="1"/>
  <c r="B154" i="3"/>
  <c r="B244" i="3" s="1"/>
  <c r="C154" i="3"/>
  <c r="C244" i="3" s="1"/>
  <c r="D154" i="3"/>
  <c r="D244" i="3" s="1"/>
  <c r="E154" i="3"/>
  <c r="E244" i="3" s="1"/>
  <c r="F154" i="3"/>
  <c r="F244" i="3" s="1"/>
  <c r="G154" i="3"/>
  <c r="G244" i="3" s="1"/>
  <c r="H154" i="3"/>
  <c r="H244" i="3" s="1"/>
  <c r="I154" i="3"/>
  <c r="I244" i="3" s="1"/>
  <c r="J154" i="3"/>
  <c r="J244" i="3" s="1"/>
  <c r="K154" i="3"/>
  <c r="K244" i="3" s="1"/>
  <c r="M154" i="3"/>
  <c r="M244" i="3" s="1"/>
  <c r="N154" i="3"/>
  <c r="N244" i="3" s="1"/>
  <c r="O154" i="3"/>
  <c r="O244" i="3" s="1"/>
  <c r="P154" i="3"/>
  <c r="P244" i="3" s="1"/>
  <c r="Q154" i="3"/>
  <c r="Q244" i="3" s="1"/>
  <c r="S154" i="3"/>
  <c r="S244" i="3" s="1"/>
  <c r="A155" i="3"/>
  <c r="A245" i="3" s="1"/>
  <c r="B155" i="3"/>
  <c r="B245" i="3" s="1"/>
  <c r="C155" i="3"/>
  <c r="C245" i="3" s="1"/>
  <c r="D155" i="3"/>
  <c r="D245" i="3" s="1"/>
  <c r="E155" i="3"/>
  <c r="E245" i="3" s="1"/>
  <c r="F155" i="3"/>
  <c r="F245" i="3" s="1"/>
  <c r="G155" i="3"/>
  <c r="G245" i="3" s="1"/>
  <c r="I155" i="3"/>
  <c r="I245" i="3" s="1"/>
  <c r="J155" i="3"/>
  <c r="J245" i="3" s="1"/>
  <c r="K155" i="3"/>
  <c r="K245" i="3" s="1"/>
  <c r="M155" i="3"/>
  <c r="M245" i="3" s="1"/>
  <c r="N245" i="3"/>
  <c r="O245" i="3"/>
  <c r="P155" i="3"/>
  <c r="P245" i="3" s="1"/>
  <c r="Q155" i="3"/>
  <c r="Q245" i="3" s="1"/>
  <c r="R155" i="3"/>
  <c r="R245" i="3" s="1"/>
  <c r="S155" i="3"/>
  <c r="S245" i="3" s="1"/>
  <c r="A156" i="3"/>
  <c r="A246" i="3" s="1"/>
  <c r="B156" i="3"/>
  <c r="B246" i="3" s="1"/>
  <c r="C156" i="3"/>
  <c r="C246" i="3" s="1"/>
  <c r="D156" i="3"/>
  <c r="D246" i="3" s="1"/>
  <c r="E156" i="3"/>
  <c r="E246" i="3" s="1"/>
  <c r="F156" i="3"/>
  <c r="F246" i="3" s="1"/>
  <c r="G156" i="3"/>
  <c r="G246" i="3" s="1"/>
  <c r="I156" i="3"/>
  <c r="I246" i="3" s="1"/>
  <c r="J156" i="3"/>
  <c r="J246" i="3" s="1"/>
  <c r="K156" i="3"/>
  <c r="K246" i="3" s="1"/>
  <c r="L156" i="3"/>
  <c r="L246" i="3" s="1"/>
  <c r="M156" i="3"/>
  <c r="M246" i="3" s="1"/>
  <c r="N246" i="3"/>
  <c r="O246" i="3"/>
  <c r="P156" i="3"/>
  <c r="P246" i="3" s="1"/>
  <c r="Q156" i="3"/>
  <c r="Q246" i="3" s="1"/>
  <c r="R156" i="3"/>
  <c r="R246" i="3" s="1"/>
  <c r="S156" i="3"/>
  <c r="S246" i="3" s="1"/>
  <c r="U246" i="3"/>
  <c r="V246" i="3"/>
  <c r="A157" i="3"/>
  <c r="A247" i="3" s="1"/>
  <c r="B157" i="3"/>
  <c r="B247" i="3" s="1"/>
  <c r="C157" i="3"/>
  <c r="C247" i="3" s="1"/>
  <c r="D157" i="3"/>
  <c r="D247" i="3" s="1"/>
  <c r="E157" i="3"/>
  <c r="E247" i="3" s="1"/>
  <c r="H157" i="3"/>
  <c r="H247" i="3" s="1"/>
  <c r="J157" i="3"/>
  <c r="J247" i="3" s="1"/>
  <c r="K157" i="3"/>
  <c r="K247" i="3" s="1"/>
  <c r="L157" i="3"/>
  <c r="L247" i="3" s="1"/>
  <c r="M157" i="3"/>
  <c r="M247" i="3" s="1"/>
  <c r="N247" i="3"/>
  <c r="P157" i="3"/>
  <c r="P247" i="3" s="1"/>
  <c r="Q157" i="3"/>
  <c r="Q247" i="3" s="1"/>
  <c r="R157" i="3"/>
  <c r="R247" i="3" s="1"/>
  <c r="S157" i="3"/>
  <c r="S247" i="3" s="1"/>
  <c r="A158" i="3"/>
  <c r="A248" i="3" s="1"/>
  <c r="B158" i="3"/>
  <c r="B248" i="3" s="1"/>
  <c r="C158" i="3"/>
  <c r="C248" i="3" s="1"/>
  <c r="D158" i="3"/>
  <c r="D248" i="3" s="1"/>
  <c r="E158" i="3"/>
  <c r="E248" i="3" s="1"/>
  <c r="F158" i="3"/>
  <c r="F248" i="3" s="1"/>
  <c r="G158" i="3"/>
  <c r="G248" i="3" s="1"/>
  <c r="H158" i="3"/>
  <c r="H248" i="3" s="1"/>
  <c r="J158" i="3"/>
  <c r="J248" i="3" s="1"/>
  <c r="P158" i="3"/>
  <c r="P248" i="3" s="1"/>
  <c r="Q158" i="3"/>
  <c r="Q248" i="3" s="1"/>
  <c r="R158" i="3"/>
  <c r="R248" i="3" s="1"/>
  <c r="S158" i="3"/>
  <c r="S248" i="3" s="1"/>
  <c r="A159" i="3"/>
  <c r="A249" i="3" s="1"/>
  <c r="B159" i="3"/>
  <c r="B249" i="3" s="1"/>
  <c r="C159" i="3"/>
  <c r="C249" i="3" s="1"/>
  <c r="D159" i="3"/>
  <c r="D249" i="3" s="1"/>
  <c r="E159" i="3"/>
  <c r="E249" i="3" s="1"/>
  <c r="F159" i="3"/>
  <c r="F249" i="3" s="1"/>
  <c r="G159" i="3"/>
  <c r="G249" i="3" s="1"/>
  <c r="I159" i="3"/>
  <c r="I249" i="3" s="1"/>
  <c r="J159" i="3"/>
  <c r="J249" i="3" s="1"/>
  <c r="K159" i="3"/>
  <c r="K249" i="3" s="1"/>
  <c r="O159" i="3"/>
  <c r="O249" i="3" s="1"/>
  <c r="P159" i="3"/>
  <c r="P249" i="3" s="1"/>
  <c r="Q159" i="3"/>
  <c r="Q249" i="3" s="1"/>
  <c r="R159" i="3"/>
  <c r="R249" i="3" s="1"/>
  <c r="S159" i="3"/>
  <c r="S249" i="3" s="1"/>
  <c r="U249" i="3"/>
  <c r="V249" i="3"/>
  <c r="A160" i="3"/>
  <c r="A250" i="3" s="1"/>
  <c r="B160" i="3"/>
  <c r="B250" i="3" s="1"/>
  <c r="C160" i="3"/>
  <c r="C250" i="3" s="1"/>
  <c r="D160" i="3"/>
  <c r="D250" i="3" s="1"/>
  <c r="E160" i="3"/>
  <c r="E250" i="3" s="1"/>
  <c r="F160" i="3"/>
  <c r="F250" i="3" s="1"/>
  <c r="G160" i="3"/>
  <c r="G250" i="3" s="1"/>
  <c r="I160" i="3"/>
  <c r="I250" i="3" s="1"/>
  <c r="J160" i="3"/>
  <c r="J250" i="3" s="1"/>
  <c r="K160" i="3"/>
  <c r="K250" i="3" s="1"/>
  <c r="L160" i="3"/>
  <c r="L250" i="3" s="1"/>
  <c r="M160" i="3"/>
  <c r="M250" i="3" s="1"/>
  <c r="N160" i="3"/>
  <c r="N250" i="3" s="1"/>
  <c r="O160" i="3"/>
  <c r="O250" i="3" s="1"/>
  <c r="P160" i="3"/>
  <c r="P250" i="3" s="1"/>
  <c r="Q160" i="3"/>
  <c r="Q250" i="3" s="1"/>
  <c r="S160" i="3"/>
  <c r="S250" i="3" s="1"/>
  <c r="A161" i="3"/>
  <c r="A251" i="3" s="1"/>
  <c r="B161" i="3"/>
  <c r="B251" i="3" s="1"/>
  <c r="C161" i="3"/>
  <c r="C251" i="3" s="1"/>
  <c r="D161" i="3"/>
  <c r="D251" i="3" s="1"/>
  <c r="E161" i="3"/>
  <c r="E251" i="3" s="1"/>
  <c r="F161" i="3"/>
  <c r="F251" i="3" s="1"/>
  <c r="G161" i="3"/>
  <c r="G251" i="3" s="1"/>
  <c r="H161" i="3"/>
  <c r="H251" i="3" s="1"/>
  <c r="I161" i="3"/>
  <c r="I251" i="3" s="1"/>
  <c r="J161" i="3"/>
  <c r="J251" i="3" s="1"/>
  <c r="K161" i="3"/>
  <c r="K251" i="3" s="1"/>
  <c r="L161" i="3"/>
  <c r="L251" i="3" s="1"/>
  <c r="M161" i="3"/>
  <c r="M251" i="3" s="1"/>
  <c r="N161" i="3"/>
  <c r="N251" i="3" s="1"/>
  <c r="O161" i="3"/>
  <c r="O251" i="3" s="1"/>
  <c r="P161" i="3"/>
  <c r="P251" i="3" s="1"/>
  <c r="Q161" i="3"/>
  <c r="Q251" i="3" s="1"/>
  <c r="R161" i="3"/>
  <c r="R251" i="3" s="1"/>
  <c r="S161" i="3"/>
  <c r="S251" i="3" s="1"/>
  <c r="A162" i="3"/>
  <c r="A252" i="3" s="1"/>
  <c r="B162" i="3"/>
  <c r="B252" i="3" s="1"/>
  <c r="C162" i="3"/>
  <c r="C252" i="3" s="1"/>
  <c r="D162" i="3"/>
  <c r="D252" i="3" s="1"/>
  <c r="E162" i="3"/>
  <c r="E252" i="3" s="1"/>
  <c r="G162" i="3"/>
  <c r="G252" i="3" s="1"/>
  <c r="H162" i="3"/>
  <c r="H252" i="3" s="1"/>
  <c r="I162" i="3"/>
  <c r="I252" i="3" s="1"/>
  <c r="J252" i="3"/>
  <c r="K162" i="3"/>
  <c r="K252" i="3" s="1"/>
  <c r="L162" i="3"/>
  <c r="L252" i="3" s="1"/>
  <c r="M162" i="3"/>
  <c r="M252" i="3" s="1"/>
  <c r="N162" i="3"/>
  <c r="N252" i="3" s="1"/>
  <c r="O162" i="3"/>
  <c r="O252" i="3" s="1"/>
  <c r="P162" i="3"/>
  <c r="P252" i="3" s="1"/>
  <c r="Q162" i="3"/>
  <c r="Q252" i="3" s="1"/>
  <c r="R162" i="3"/>
  <c r="R252" i="3" s="1"/>
  <c r="S162" i="3"/>
  <c r="S252" i="3" s="1"/>
  <c r="U252" i="3"/>
  <c r="V252" i="3"/>
  <c r="A163" i="3"/>
  <c r="A253" i="3" s="1"/>
  <c r="B163" i="3"/>
  <c r="B253" i="3" s="1"/>
  <c r="C163" i="3"/>
  <c r="C253" i="3" s="1"/>
  <c r="D163" i="3"/>
  <c r="D253" i="3" s="1"/>
  <c r="F163" i="3"/>
  <c r="F253" i="3" s="1"/>
  <c r="G163" i="3"/>
  <c r="G253" i="3" s="1"/>
  <c r="H163" i="3"/>
  <c r="H253" i="3" s="1"/>
  <c r="I163" i="3"/>
  <c r="I253" i="3" s="1"/>
  <c r="J163" i="3"/>
  <c r="J253" i="3" s="1"/>
  <c r="K163" i="3"/>
  <c r="K253" i="3" s="1"/>
  <c r="L163" i="3"/>
  <c r="L253" i="3" s="1"/>
  <c r="M163" i="3"/>
  <c r="M253" i="3" s="1"/>
  <c r="N163" i="3"/>
  <c r="N253" i="3" s="1"/>
  <c r="O163" i="3"/>
  <c r="O253" i="3" s="1"/>
  <c r="P163" i="3"/>
  <c r="P253" i="3" s="1"/>
  <c r="Q163" i="3"/>
  <c r="Q253" i="3" s="1"/>
  <c r="R163" i="3"/>
  <c r="R253" i="3" s="1"/>
  <c r="S163" i="3"/>
  <c r="S253" i="3" s="1"/>
  <c r="T163" i="3"/>
  <c r="T253" i="3" s="1"/>
  <c r="U163" i="3"/>
  <c r="U253" i="3" s="1"/>
  <c r="V163" i="3"/>
  <c r="V253" i="3" s="1"/>
  <c r="A164" i="3"/>
  <c r="A254" i="3" s="1"/>
  <c r="B164" i="3"/>
  <c r="B254" i="3" s="1"/>
  <c r="C164" i="3"/>
  <c r="C254" i="3" s="1"/>
  <c r="D164" i="3"/>
  <c r="D254" i="3" s="1"/>
  <c r="G164" i="3"/>
  <c r="G254" i="3" s="1"/>
  <c r="H164" i="3"/>
  <c r="H254" i="3" s="1"/>
  <c r="I164" i="3"/>
  <c r="I254" i="3" s="1"/>
  <c r="J164" i="3"/>
  <c r="J254" i="3" s="1"/>
  <c r="K164" i="3"/>
  <c r="K254" i="3" s="1"/>
  <c r="L164" i="3"/>
  <c r="L254" i="3" s="1"/>
  <c r="M164" i="3"/>
  <c r="M254" i="3" s="1"/>
  <c r="N164" i="3"/>
  <c r="N254" i="3" s="1"/>
  <c r="O164" i="3"/>
  <c r="O254" i="3" s="1"/>
  <c r="P164" i="3"/>
  <c r="P254" i="3" s="1"/>
  <c r="Q164" i="3"/>
  <c r="Q254" i="3" s="1"/>
  <c r="R164" i="3"/>
  <c r="R254" i="3" s="1"/>
  <c r="S164" i="3"/>
  <c r="S254" i="3" s="1"/>
  <c r="T164" i="3"/>
  <c r="T254" i="3" s="1"/>
  <c r="U164" i="3"/>
  <c r="U254" i="3" s="1"/>
  <c r="V164" i="3"/>
  <c r="V254" i="3" s="1"/>
  <c r="A165" i="3"/>
  <c r="A255" i="3" s="1"/>
  <c r="B165" i="3"/>
  <c r="B255" i="3" s="1"/>
  <c r="C165" i="3"/>
  <c r="C255" i="3" s="1"/>
  <c r="D165" i="3"/>
  <c r="D255" i="3" s="1"/>
  <c r="E165" i="3"/>
  <c r="E255" i="3" s="1"/>
  <c r="F165" i="3"/>
  <c r="F255" i="3" s="1"/>
  <c r="G165" i="3"/>
  <c r="G255" i="3" s="1"/>
  <c r="H165" i="3"/>
  <c r="H255" i="3" s="1"/>
  <c r="I165" i="3"/>
  <c r="I255" i="3" s="1"/>
  <c r="K165" i="3"/>
  <c r="K255" i="3" s="1"/>
  <c r="L165" i="3"/>
  <c r="L255" i="3" s="1"/>
  <c r="M165" i="3"/>
  <c r="M255" i="3" s="1"/>
  <c r="N165" i="3"/>
  <c r="N255" i="3" s="1"/>
  <c r="O165" i="3"/>
  <c r="O255" i="3" s="1"/>
  <c r="P165" i="3"/>
  <c r="P255" i="3" s="1"/>
  <c r="Q165" i="3"/>
  <c r="Q255" i="3" s="1"/>
  <c r="R165" i="3"/>
  <c r="R255" i="3" s="1"/>
  <c r="S165" i="3"/>
  <c r="S255" i="3" s="1"/>
  <c r="T165" i="3"/>
  <c r="T255" i="3" s="1"/>
  <c r="U165" i="3"/>
  <c r="U255" i="3" s="1"/>
  <c r="V165" i="3"/>
  <c r="V255" i="3" s="1"/>
  <c r="A166" i="3"/>
  <c r="A256" i="3" s="1"/>
  <c r="B166" i="3"/>
  <c r="B256" i="3" s="1"/>
  <c r="C166" i="3"/>
  <c r="C256" i="3" s="1"/>
  <c r="D166" i="3"/>
  <c r="D256" i="3" s="1"/>
  <c r="E166" i="3"/>
  <c r="E256" i="3" s="1"/>
  <c r="F166" i="3"/>
  <c r="F256" i="3" s="1"/>
  <c r="G166" i="3"/>
  <c r="G256" i="3" s="1"/>
  <c r="I166" i="3"/>
  <c r="I256" i="3" s="1"/>
  <c r="J166" i="3"/>
  <c r="J256" i="3" s="1"/>
  <c r="K166" i="3"/>
  <c r="K256" i="3" s="1"/>
  <c r="L166" i="3"/>
  <c r="L256" i="3" s="1"/>
  <c r="M166" i="3"/>
  <c r="M256" i="3" s="1"/>
  <c r="N166" i="3"/>
  <c r="N256" i="3" s="1"/>
  <c r="O166" i="3"/>
  <c r="O256" i="3" s="1"/>
  <c r="P166" i="3"/>
  <c r="P256" i="3" s="1"/>
  <c r="Q166" i="3"/>
  <c r="Q256" i="3" s="1"/>
  <c r="R166" i="3"/>
  <c r="R256" i="3" s="1"/>
  <c r="S166" i="3"/>
  <c r="S256" i="3" s="1"/>
  <c r="T166" i="3"/>
  <c r="T256" i="3" s="1"/>
  <c r="U166" i="3"/>
  <c r="U256" i="3" s="1"/>
  <c r="V166" i="3"/>
  <c r="V256" i="3" s="1"/>
  <c r="A167" i="3"/>
  <c r="A257" i="3" s="1"/>
  <c r="B167" i="3"/>
  <c r="B257" i="3" s="1"/>
  <c r="C167" i="3"/>
  <c r="C257" i="3" s="1"/>
  <c r="D167" i="3"/>
  <c r="D257" i="3" s="1"/>
  <c r="E167" i="3"/>
  <c r="E257" i="3" s="1"/>
  <c r="F167" i="3"/>
  <c r="F257" i="3" s="1"/>
  <c r="G167" i="3"/>
  <c r="G257" i="3" s="1"/>
  <c r="I167" i="3"/>
  <c r="I257" i="3" s="1"/>
  <c r="J167" i="3"/>
  <c r="J257" i="3" s="1"/>
  <c r="K167" i="3"/>
  <c r="K257" i="3" s="1"/>
  <c r="L167" i="3"/>
  <c r="L257" i="3" s="1"/>
  <c r="M167" i="3"/>
  <c r="M257" i="3" s="1"/>
  <c r="N167" i="3"/>
  <c r="N257" i="3" s="1"/>
  <c r="O167" i="3"/>
  <c r="O257" i="3" s="1"/>
  <c r="P167" i="3"/>
  <c r="P257" i="3" s="1"/>
  <c r="Q167" i="3"/>
  <c r="Q257" i="3" s="1"/>
  <c r="R167" i="3"/>
  <c r="R257" i="3" s="1"/>
  <c r="S167" i="3"/>
  <c r="S257" i="3" s="1"/>
  <c r="T167" i="3"/>
  <c r="T257" i="3" s="1"/>
  <c r="U167" i="3"/>
  <c r="U257" i="3" s="1"/>
  <c r="V167" i="3"/>
  <c r="V257" i="3" s="1"/>
  <c r="A168" i="3"/>
  <c r="A258" i="3" s="1"/>
  <c r="B168" i="3"/>
  <c r="B258" i="3" s="1"/>
  <c r="C168" i="3"/>
  <c r="C258" i="3" s="1"/>
  <c r="D168" i="3"/>
  <c r="D258" i="3" s="1"/>
  <c r="E168" i="3"/>
  <c r="E258" i="3" s="1"/>
  <c r="F168" i="3"/>
  <c r="F258" i="3" s="1"/>
  <c r="G168" i="3"/>
  <c r="G258" i="3" s="1"/>
  <c r="H168" i="3"/>
  <c r="H258" i="3" s="1"/>
  <c r="J168" i="3"/>
  <c r="J258" i="3" s="1"/>
  <c r="K168" i="3"/>
  <c r="K258" i="3" s="1"/>
  <c r="L168" i="3"/>
  <c r="L258" i="3" s="1"/>
  <c r="M168" i="3"/>
  <c r="M258" i="3" s="1"/>
  <c r="N168" i="3"/>
  <c r="N258" i="3" s="1"/>
  <c r="O168" i="3"/>
  <c r="O258" i="3" s="1"/>
  <c r="S168" i="3"/>
  <c r="S258" i="3" s="1"/>
  <c r="T168" i="3"/>
  <c r="T258" i="3" s="1"/>
  <c r="U168" i="3"/>
  <c r="U258" i="3" s="1"/>
  <c r="V168" i="3"/>
  <c r="V258" i="3" s="1"/>
  <c r="A169" i="3"/>
  <c r="A259" i="3" s="1"/>
  <c r="B169" i="3"/>
  <c r="B259" i="3" s="1"/>
  <c r="C169" i="3"/>
  <c r="C259" i="3" s="1"/>
  <c r="D169" i="3"/>
  <c r="D259" i="3" s="1"/>
  <c r="E169" i="3"/>
  <c r="E259" i="3" s="1"/>
  <c r="H169" i="3"/>
  <c r="H259" i="3" s="1"/>
  <c r="J169" i="3"/>
  <c r="J259" i="3" s="1"/>
  <c r="K169" i="3"/>
  <c r="K259" i="3" s="1"/>
  <c r="M169" i="3"/>
  <c r="M259" i="3" s="1"/>
  <c r="N169" i="3"/>
  <c r="N259" i="3" s="1"/>
  <c r="O169" i="3"/>
  <c r="O259" i="3" s="1"/>
  <c r="S169" i="3"/>
  <c r="S259" i="3" s="1"/>
  <c r="T169" i="3"/>
  <c r="T259" i="3" s="1"/>
  <c r="U169" i="3"/>
  <c r="U259" i="3" s="1"/>
  <c r="V169" i="3"/>
  <c r="V259" i="3" s="1"/>
  <c r="A170" i="3"/>
  <c r="A260" i="3" s="1"/>
  <c r="B170" i="3"/>
  <c r="B260" i="3" s="1"/>
  <c r="C170" i="3"/>
  <c r="C260" i="3" s="1"/>
  <c r="D170" i="3"/>
  <c r="D260" i="3" s="1"/>
  <c r="E170" i="3"/>
  <c r="E260" i="3" s="1"/>
  <c r="F170" i="3"/>
  <c r="F260" i="3" s="1"/>
  <c r="G170" i="3"/>
  <c r="G260" i="3" s="1"/>
  <c r="I170" i="3"/>
  <c r="I260" i="3" s="1"/>
  <c r="J170" i="3"/>
  <c r="J260" i="3" s="1"/>
  <c r="K170" i="3"/>
  <c r="K260" i="3" s="1"/>
  <c r="M170" i="3"/>
  <c r="M260" i="3" s="1"/>
  <c r="N170" i="3"/>
  <c r="N260" i="3" s="1"/>
  <c r="O170" i="3"/>
  <c r="O260" i="3" s="1"/>
  <c r="P170" i="3"/>
  <c r="P260" i="3" s="1"/>
  <c r="Q170" i="3"/>
  <c r="Q260" i="3" s="1"/>
  <c r="R170" i="3"/>
  <c r="R260" i="3" s="1"/>
  <c r="S170" i="3"/>
  <c r="S260" i="3" s="1"/>
  <c r="T170" i="3"/>
  <c r="T260" i="3" s="1"/>
  <c r="U170" i="3"/>
  <c r="U260" i="3" s="1"/>
  <c r="V170" i="3"/>
  <c r="V260" i="3" s="1"/>
  <c r="A171" i="3"/>
  <c r="A261" i="3" s="1"/>
  <c r="B171" i="3"/>
  <c r="B261" i="3" s="1"/>
  <c r="C171" i="3"/>
  <c r="C261" i="3" s="1"/>
  <c r="D171" i="3"/>
  <c r="D261" i="3" s="1"/>
  <c r="E171" i="3"/>
  <c r="E261" i="3" s="1"/>
  <c r="F171" i="3"/>
  <c r="F261" i="3" s="1"/>
  <c r="G171" i="3"/>
  <c r="G261" i="3" s="1"/>
  <c r="I171" i="3"/>
  <c r="I261" i="3" s="1"/>
  <c r="J171" i="3"/>
  <c r="J261" i="3" s="1"/>
  <c r="K171" i="3"/>
  <c r="K261" i="3" s="1"/>
  <c r="M171" i="3"/>
  <c r="M261" i="3" s="1"/>
  <c r="N171" i="3"/>
  <c r="N261" i="3" s="1"/>
  <c r="O171" i="3"/>
  <c r="O261" i="3" s="1"/>
  <c r="S171" i="3"/>
  <c r="S261" i="3" s="1"/>
  <c r="T171" i="3"/>
  <c r="T261" i="3" s="1"/>
  <c r="U171" i="3"/>
  <c r="U261" i="3" s="1"/>
  <c r="V171" i="3"/>
  <c r="V261" i="3" s="1"/>
  <c r="A172" i="3"/>
  <c r="A262" i="3" s="1"/>
  <c r="B172" i="3"/>
  <c r="B262" i="3" s="1"/>
  <c r="C172" i="3"/>
  <c r="C262" i="3" s="1"/>
  <c r="D172" i="3"/>
  <c r="D262" i="3" s="1"/>
  <c r="E172" i="3"/>
  <c r="E262" i="3" s="1"/>
  <c r="F172" i="3"/>
  <c r="F262" i="3" s="1"/>
  <c r="G172" i="3"/>
  <c r="G262" i="3" s="1"/>
  <c r="H172" i="3"/>
  <c r="H262" i="3" s="1"/>
  <c r="K172" i="3"/>
  <c r="K262" i="3" s="1"/>
  <c r="M172" i="3"/>
  <c r="M262" i="3" s="1"/>
  <c r="N172" i="3"/>
  <c r="N262" i="3" s="1"/>
  <c r="O172" i="3"/>
  <c r="O262" i="3" s="1"/>
  <c r="S172" i="3"/>
  <c r="S262" i="3" s="1"/>
  <c r="T172" i="3"/>
  <c r="T262" i="3" s="1"/>
  <c r="U172" i="3"/>
  <c r="U262" i="3" s="1"/>
  <c r="V172" i="3"/>
  <c r="V262" i="3" s="1"/>
  <c r="A173" i="3"/>
  <c r="A263" i="3" s="1"/>
  <c r="B173" i="3"/>
  <c r="B263" i="3" s="1"/>
  <c r="C173" i="3"/>
  <c r="C263" i="3" s="1"/>
  <c r="D173" i="3"/>
  <c r="D263" i="3" s="1"/>
  <c r="E173" i="3"/>
  <c r="E263" i="3" s="1"/>
  <c r="F173" i="3"/>
  <c r="F263" i="3" s="1"/>
  <c r="G173" i="3"/>
  <c r="G263" i="3" s="1"/>
  <c r="H173" i="3"/>
  <c r="H263" i="3" s="1"/>
  <c r="I173" i="3"/>
  <c r="I263" i="3" s="1"/>
  <c r="J173" i="3"/>
  <c r="J263" i="3" s="1"/>
  <c r="K173" i="3"/>
  <c r="K263" i="3" s="1"/>
  <c r="M173" i="3"/>
  <c r="M263" i="3" s="1"/>
  <c r="N173" i="3"/>
  <c r="N263" i="3" s="1"/>
  <c r="O173" i="3"/>
  <c r="O263" i="3" s="1"/>
  <c r="P173" i="3"/>
  <c r="P263" i="3" s="1"/>
  <c r="Q173" i="3"/>
  <c r="Q263" i="3" s="1"/>
  <c r="R173" i="3"/>
  <c r="R263" i="3" s="1"/>
  <c r="S173" i="3"/>
  <c r="S263" i="3" s="1"/>
  <c r="T173" i="3"/>
  <c r="T263" i="3" s="1"/>
  <c r="U173" i="3"/>
  <c r="U263" i="3" s="1"/>
  <c r="V173" i="3"/>
  <c r="V263" i="3" s="1"/>
  <c r="A174" i="3"/>
  <c r="A264" i="3" s="1"/>
  <c r="B174" i="3"/>
  <c r="B264" i="3" s="1"/>
  <c r="C174" i="3"/>
  <c r="C264" i="3" s="1"/>
  <c r="D174" i="3"/>
  <c r="D264" i="3" s="1"/>
  <c r="E174" i="3"/>
  <c r="E264" i="3" s="1"/>
  <c r="F174" i="3"/>
  <c r="F264" i="3" s="1"/>
  <c r="G174" i="3"/>
  <c r="G264" i="3" s="1"/>
  <c r="H174" i="3"/>
  <c r="H264" i="3" s="1"/>
  <c r="I174" i="3"/>
  <c r="I264" i="3" s="1"/>
  <c r="J174" i="3"/>
  <c r="J264" i="3" s="1"/>
  <c r="K174" i="3"/>
  <c r="K264" i="3" s="1"/>
  <c r="M174" i="3"/>
  <c r="M264" i="3" s="1"/>
  <c r="O174" i="3"/>
  <c r="O264" i="3" s="1"/>
  <c r="S174" i="3"/>
  <c r="S264" i="3" s="1"/>
  <c r="T174" i="3"/>
  <c r="T264" i="3" s="1"/>
  <c r="U174" i="3"/>
  <c r="U264" i="3" s="1"/>
  <c r="V174" i="3"/>
  <c r="V264" i="3" s="1"/>
  <c r="A175" i="3"/>
  <c r="A265" i="3" s="1"/>
  <c r="B175" i="3"/>
  <c r="B265" i="3" s="1"/>
  <c r="C175" i="3"/>
  <c r="C265" i="3" s="1"/>
  <c r="D175" i="3"/>
  <c r="D265" i="3" s="1"/>
  <c r="E175" i="3"/>
  <c r="E265" i="3" s="1"/>
  <c r="F175" i="3"/>
  <c r="F265" i="3" s="1"/>
  <c r="G175" i="3"/>
  <c r="G265" i="3" s="1"/>
  <c r="H175" i="3"/>
  <c r="H265" i="3" s="1"/>
  <c r="I175" i="3"/>
  <c r="I265" i="3" s="1"/>
  <c r="J175" i="3"/>
  <c r="J265" i="3" s="1"/>
  <c r="K175" i="3"/>
  <c r="K265" i="3" s="1"/>
  <c r="L175" i="3"/>
  <c r="L265" i="3" s="1"/>
  <c r="M175" i="3"/>
  <c r="M265" i="3" s="1"/>
  <c r="N175" i="3"/>
  <c r="N265" i="3" s="1"/>
  <c r="O175" i="3"/>
  <c r="O265" i="3" s="1"/>
  <c r="S175" i="3"/>
  <c r="S265" i="3" s="1"/>
  <c r="T175" i="3"/>
  <c r="T265" i="3" s="1"/>
  <c r="U175" i="3"/>
  <c r="U265" i="3" s="1"/>
  <c r="V175" i="3"/>
  <c r="V265" i="3" s="1"/>
  <c r="A176" i="3"/>
  <c r="A266" i="3" s="1"/>
  <c r="B176" i="3"/>
  <c r="B266" i="3" s="1"/>
  <c r="C176" i="3"/>
  <c r="C266" i="3" s="1"/>
  <c r="D176" i="3"/>
  <c r="D266" i="3" s="1"/>
  <c r="E176" i="3"/>
  <c r="E266" i="3" s="1"/>
  <c r="F176" i="3"/>
  <c r="F266" i="3" s="1"/>
  <c r="G176" i="3"/>
  <c r="G266" i="3" s="1"/>
  <c r="H176" i="3"/>
  <c r="H266" i="3" s="1"/>
  <c r="I176" i="3"/>
  <c r="I266" i="3" s="1"/>
  <c r="J176" i="3"/>
  <c r="J266" i="3" s="1"/>
  <c r="K176" i="3"/>
  <c r="K266" i="3" s="1"/>
  <c r="L176" i="3"/>
  <c r="L266" i="3" s="1"/>
  <c r="M176" i="3"/>
  <c r="M266" i="3" s="1"/>
  <c r="N176" i="3"/>
  <c r="N266" i="3" s="1"/>
  <c r="O176" i="3"/>
  <c r="O266" i="3" s="1"/>
  <c r="P176" i="3"/>
  <c r="P266" i="3" s="1"/>
  <c r="Q176" i="3"/>
  <c r="Q266" i="3" s="1"/>
  <c r="R176" i="3"/>
  <c r="R266" i="3" s="1"/>
  <c r="S176" i="3"/>
  <c r="S266" i="3" s="1"/>
  <c r="T176" i="3"/>
  <c r="T266" i="3" s="1"/>
  <c r="U176" i="3"/>
  <c r="U266" i="3" s="1"/>
  <c r="V176" i="3"/>
  <c r="V266" i="3" s="1"/>
  <c r="A177" i="3"/>
  <c r="A267" i="3" s="1"/>
  <c r="B177" i="3"/>
  <c r="B267" i="3" s="1"/>
  <c r="C177" i="3"/>
  <c r="C267" i="3" s="1"/>
  <c r="D177" i="3"/>
  <c r="D267" i="3" s="1"/>
  <c r="E177" i="3"/>
  <c r="E267" i="3" s="1"/>
  <c r="F177" i="3"/>
  <c r="F267" i="3" s="1"/>
  <c r="G177" i="3"/>
  <c r="G267" i="3" s="1"/>
  <c r="H177" i="3"/>
  <c r="H267" i="3" s="1"/>
  <c r="I177" i="3"/>
  <c r="I267" i="3" s="1"/>
  <c r="J177" i="3"/>
  <c r="J267" i="3" s="1"/>
  <c r="K177" i="3"/>
  <c r="K267" i="3" s="1"/>
  <c r="L177" i="3"/>
  <c r="L267" i="3" s="1"/>
  <c r="M177" i="3"/>
  <c r="M267" i="3" s="1"/>
  <c r="N177" i="3"/>
  <c r="N267" i="3" s="1"/>
  <c r="O177" i="3"/>
  <c r="O267" i="3" s="1"/>
  <c r="P177" i="3"/>
  <c r="P267" i="3" s="1"/>
  <c r="Q177" i="3"/>
  <c r="Q267" i="3" s="1"/>
  <c r="R177" i="3"/>
  <c r="R267" i="3" s="1"/>
  <c r="S177" i="3"/>
  <c r="S267" i="3" s="1"/>
  <c r="T177" i="3"/>
  <c r="T267" i="3" s="1"/>
  <c r="U177" i="3"/>
  <c r="U267" i="3" s="1"/>
  <c r="V177" i="3"/>
  <c r="V267" i="3" s="1"/>
  <c r="A178" i="3"/>
  <c r="A268" i="3" s="1"/>
  <c r="B178" i="3"/>
  <c r="B268" i="3" s="1"/>
  <c r="C178" i="3"/>
  <c r="C268" i="3" s="1"/>
  <c r="D178" i="3"/>
  <c r="D268" i="3" s="1"/>
  <c r="E178" i="3"/>
  <c r="E268" i="3" s="1"/>
  <c r="F178" i="3"/>
  <c r="F268" i="3" s="1"/>
  <c r="G178" i="3"/>
  <c r="G268" i="3" s="1"/>
  <c r="H178" i="3"/>
  <c r="H268" i="3" s="1"/>
  <c r="I178" i="3"/>
  <c r="I268" i="3" s="1"/>
  <c r="J178" i="3"/>
  <c r="J268" i="3" s="1"/>
  <c r="K178" i="3"/>
  <c r="K268" i="3" s="1"/>
  <c r="L178" i="3"/>
  <c r="L268" i="3" s="1"/>
  <c r="M178" i="3"/>
  <c r="M268" i="3" s="1"/>
  <c r="N178" i="3"/>
  <c r="N268" i="3" s="1"/>
  <c r="O178" i="3"/>
  <c r="O268" i="3" s="1"/>
  <c r="P178" i="3"/>
  <c r="P268" i="3" s="1"/>
  <c r="Q178" i="3"/>
  <c r="Q268" i="3" s="1"/>
  <c r="R178" i="3"/>
  <c r="R268" i="3" s="1"/>
  <c r="S178" i="3"/>
  <c r="S268" i="3" s="1"/>
  <c r="T178" i="3"/>
  <c r="T268" i="3" s="1"/>
  <c r="U178" i="3"/>
  <c r="U268" i="3" s="1"/>
  <c r="V178" i="3"/>
  <c r="V268" i="3" s="1"/>
  <c r="A179" i="3"/>
  <c r="A269" i="3" s="1"/>
  <c r="B179" i="3"/>
  <c r="B269" i="3" s="1"/>
  <c r="C179" i="3"/>
  <c r="C269" i="3" s="1"/>
  <c r="D179" i="3"/>
  <c r="D269" i="3" s="1"/>
  <c r="E179" i="3"/>
  <c r="E269" i="3" s="1"/>
  <c r="F179" i="3"/>
  <c r="F269" i="3" s="1"/>
  <c r="G179" i="3"/>
  <c r="G269" i="3" s="1"/>
  <c r="H179" i="3"/>
  <c r="H269" i="3" s="1"/>
  <c r="J179" i="3"/>
  <c r="J269" i="3" s="1"/>
  <c r="K179" i="3"/>
  <c r="K269" i="3" s="1"/>
  <c r="L179" i="3"/>
  <c r="L269" i="3" s="1"/>
  <c r="M179" i="3"/>
  <c r="M269" i="3" s="1"/>
  <c r="N179" i="3"/>
  <c r="N269" i="3" s="1"/>
  <c r="O179" i="3"/>
  <c r="O269" i="3" s="1"/>
  <c r="Q179" i="3"/>
  <c r="Q269" i="3" s="1"/>
  <c r="R179" i="3"/>
  <c r="R269" i="3" s="1"/>
  <c r="S179" i="3"/>
  <c r="S269" i="3" s="1"/>
  <c r="U179" i="3"/>
  <c r="U269" i="3" s="1"/>
  <c r="V179" i="3"/>
  <c r="V269" i="3" s="1"/>
  <c r="U40" i="9"/>
  <c r="U39" i="9"/>
  <c r="U38" i="9"/>
  <c r="S40" i="9"/>
  <c r="S39" i="9"/>
  <c r="S38" i="9"/>
  <c r="E38" i="9"/>
  <c r="AQ204" i="3" l="1"/>
  <c r="AQ238" i="3"/>
  <c r="I210" i="3"/>
  <c r="I124" i="3"/>
  <c r="H213" i="3"/>
  <c r="I212" i="3"/>
  <c r="H210" i="3"/>
  <c r="H208" i="3"/>
  <c r="I208" i="3"/>
  <c r="H212" i="3"/>
  <c r="I209" i="3"/>
  <c r="H205" i="3"/>
  <c r="I213" i="3"/>
  <c r="H211" i="3"/>
  <c r="H216" i="3"/>
  <c r="I211" i="3"/>
  <c r="H209" i="3"/>
  <c r="H204" i="3"/>
  <c r="I125" i="3"/>
  <c r="C23" i="23"/>
  <c r="C22" i="23"/>
  <c r="P7" i="23"/>
  <c r="O7" i="23"/>
  <c r="N7" i="23"/>
  <c r="M7" i="23"/>
  <c r="L7" i="23"/>
  <c r="K7" i="23"/>
  <c r="J7" i="23"/>
  <c r="I7" i="23"/>
  <c r="H7" i="23"/>
  <c r="G7" i="23"/>
  <c r="F7" i="23"/>
  <c r="E7" i="23"/>
  <c r="M10" i="23" l="1"/>
  <c r="G17" i="23"/>
  <c r="G57" i="23"/>
  <c r="G8" i="23"/>
  <c r="O35" i="23"/>
  <c r="K9" i="23"/>
  <c r="E16" i="23"/>
  <c r="J8" i="23"/>
  <c r="K11" i="23"/>
  <c r="I18" i="23"/>
  <c r="O8" i="23"/>
  <c r="N13" i="23"/>
  <c r="O19" i="23"/>
  <c r="M8" i="23"/>
  <c r="H63" i="23"/>
  <c r="H42" i="23"/>
  <c r="H39" i="23"/>
  <c r="H60" i="23"/>
  <c r="H37" i="23"/>
  <c r="H32" i="23"/>
  <c r="H17" i="23"/>
  <c r="H43" i="23"/>
  <c r="H18" i="23"/>
  <c r="H38" i="23"/>
  <c r="H35" i="23"/>
  <c r="H12" i="23"/>
  <c r="H33" i="23"/>
  <c r="H13" i="23"/>
  <c r="H9" i="23"/>
  <c r="L57" i="23"/>
  <c r="L42" i="23"/>
  <c r="L37" i="23"/>
  <c r="L17" i="23"/>
  <c r="L39" i="23"/>
  <c r="L15" i="23"/>
  <c r="P63" i="23"/>
  <c r="P60" i="23"/>
  <c r="P42" i="23"/>
  <c r="P37" i="23"/>
  <c r="P32" i="23"/>
  <c r="P17" i="23"/>
  <c r="P18" i="23"/>
  <c r="P39" i="23"/>
  <c r="P12" i="23"/>
  <c r="P33" i="23"/>
  <c r="O36" i="23"/>
  <c r="K36" i="23"/>
  <c r="G36" i="23"/>
  <c r="M36" i="23"/>
  <c r="H36" i="23"/>
  <c r="N36" i="23"/>
  <c r="P36" i="23"/>
  <c r="F36" i="23"/>
  <c r="E36" i="23"/>
  <c r="L36" i="23"/>
  <c r="J36" i="23"/>
  <c r="O40" i="23"/>
  <c r="I36" i="23"/>
  <c r="G35" i="23"/>
  <c r="K34" i="23"/>
  <c r="N43" i="23"/>
  <c r="E59" i="23"/>
  <c r="E61" i="23"/>
  <c r="E58" i="23"/>
  <c r="E39" i="23"/>
  <c r="E43" i="23"/>
  <c r="E18" i="23"/>
  <c r="E56" i="23"/>
  <c r="E38" i="23"/>
  <c r="I58" i="23"/>
  <c r="I56" i="23"/>
  <c r="I61" i="23"/>
  <c r="I59" i="23"/>
  <c r="I33" i="23"/>
  <c r="M59" i="23"/>
  <c r="M61" i="23"/>
  <c r="M56" i="23"/>
  <c r="M39" i="23"/>
  <c r="M58" i="23"/>
  <c r="M33" i="23"/>
  <c r="M18" i="23"/>
  <c r="M12" i="23"/>
  <c r="Q7" i="23"/>
  <c r="L9" i="23"/>
  <c r="O10" i="23"/>
  <c r="K10" i="23"/>
  <c r="G10" i="23"/>
  <c r="L10" i="23"/>
  <c r="F10" i="23"/>
  <c r="P10" i="23"/>
  <c r="J10" i="23"/>
  <c r="E10" i="23"/>
  <c r="N10" i="23"/>
  <c r="E12" i="23"/>
  <c r="I14" i="23"/>
  <c r="J15" i="23"/>
  <c r="N16" i="23"/>
  <c r="F39" i="23"/>
  <c r="H40" i="23"/>
  <c r="K8" i="23"/>
  <c r="P9" i="23"/>
  <c r="L12" i="23"/>
  <c r="J13" i="23"/>
  <c r="E33" i="23"/>
  <c r="J34" i="23"/>
  <c r="F8" i="23"/>
  <c r="N8" i="23"/>
  <c r="G9" i="23"/>
  <c r="I10" i="23"/>
  <c r="M11" i="23"/>
  <c r="I11" i="23"/>
  <c r="E11" i="23"/>
  <c r="L11" i="23"/>
  <c r="G11" i="23"/>
  <c r="P11" i="23"/>
  <c r="J11" i="23"/>
  <c r="O11" i="23"/>
  <c r="H11" i="23"/>
  <c r="N11" i="23"/>
  <c r="F11" i="23"/>
  <c r="G13" i="23"/>
  <c r="L32" i="23"/>
  <c r="N33" i="23"/>
  <c r="F9" i="23"/>
  <c r="H10" i="23"/>
  <c r="P14" i="23"/>
  <c r="M19" i="23"/>
  <c r="I19" i="23"/>
  <c r="E19" i="23"/>
  <c r="N19" i="23"/>
  <c r="H19" i="23"/>
  <c r="L19" i="23"/>
  <c r="F19" i="23"/>
  <c r="K19" i="23"/>
  <c r="J19" i="23"/>
  <c r="P19" i="23"/>
  <c r="G19" i="23"/>
  <c r="F66" i="23"/>
  <c r="F64" i="23"/>
  <c r="F61" i="23"/>
  <c r="F56" i="23"/>
  <c r="F63" i="23"/>
  <c r="F59" i="23"/>
  <c r="F58" i="23"/>
  <c r="J66" i="23"/>
  <c r="J64" i="23"/>
  <c r="J59" i="23"/>
  <c r="J39" i="23"/>
  <c r="J61" i="23"/>
  <c r="J40" i="23"/>
  <c r="J43" i="23"/>
  <c r="J56" i="23"/>
  <c r="J35" i="23"/>
  <c r="N66" i="23"/>
  <c r="N64" i="23"/>
  <c r="N61" i="23"/>
  <c r="N56" i="23"/>
  <c r="N58" i="23"/>
  <c r="N42" i="23"/>
  <c r="N37" i="23"/>
  <c r="N40" i="23"/>
  <c r="N59" i="23"/>
  <c r="N38" i="23"/>
  <c r="H8" i="23"/>
  <c r="L8" i="23"/>
  <c r="P8" i="23"/>
  <c r="N9" i="23"/>
  <c r="F12" i="23"/>
  <c r="O13" i="23"/>
  <c r="O14" i="23"/>
  <c r="K14" i="23"/>
  <c r="G14" i="23"/>
  <c r="M14" i="23"/>
  <c r="H14" i="23"/>
  <c r="J14" i="23"/>
  <c r="F16" i="23"/>
  <c r="K17" i="23"/>
  <c r="F32" i="23"/>
  <c r="N32" i="23"/>
  <c r="F37" i="23"/>
  <c r="G58" i="23"/>
  <c r="G56" i="23"/>
  <c r="G42" i="23"/>
  <c r="G37" i="23"/>
  <c r="G40" i="23"/>
  <c r="K58" i="23"/>
  <c r="K56" i="23"/>
  <c r="K57" i="23"/>
  <c r="O58" i="23"/>
  <c r="O56" i="23"/>
  <c r="E8" i="23"/>
  <c r="I8" i="23"/>
  <c r="M9" i="23"/>
  <c r="I9" i="23"/>
  <c r="E9" i="23"/>
  <c r="J9" i="23"/>
  <c r="O9" i="23"/>
  <c r="E14" i="23"/>
  <c r="L14" i="23"/>
  <c r="M15" i="23"/>
  <c r="I15" i="23"/>
  <c r="E15" i="23"/>
  <c r="P15" i="23"/>
  <c r="K15" i="23"/>
  <c r="F15" i="23"/>
  <c r="N15" i="23"/>
  <c r="G15" i="23"/>
  <c r="O15" i="23"/>
  <c r="J16" i="23"/>
  <c r="N18" i="23"/>
  <c r="G32" i="23"/>
  <c r="M34" i="23"/>
  <c r="I34" i="23"/>
  <c r="E34" i="23"/>
  <c r="N34" i="23"/>
  <c r="H34" i="23"/>
  <c r="L34" i="23"/>
  <c r="F34" i="23"/>
  <c r="O34" i="23"/>
  <c r="K37" i="23"/>
  <c r="O41" i="23"/>
  <c r="K41" i="23"/>
  <c r="G41" i="23"/>
  <c r="M41" i="23"/>
  <c r="H41" i="23"/>
  <c r="N41" i="23"/>
  <c r="F41" i="23"/>
  <c r="P41" i="23"/>
  <c r="E41" i="23"/>
  <c r="L41" i="23"/>
  <c r="J41" i="23"/>
  <c r="F42" i="23"/>
  <c r="J58" i="23"/>
  <c r="P61" i="23"/>
  <c r="N62" i="23"/>
  <c r="J62" i="23"/>
  <c r="F62" i="23"/>
  <c r="M62" i="23"/>
  <c r="I62" i="23"/>
  <c r="E62" i="23"/>
  <c r="P62" i="23"/>
  <c r="H62" i="23"/>
  <c r="O62" i="23"/>
  <c r="G62" i="23"/>
  <c r="K62" i="23"/>
  <c r="J63" i="23"/>
  <c r="J12" i="23"/>
  <c r="M13" i="23"/>
  <c r="I13" i="23"/>
  <c r="E13" i="23"/>
  <c r="P13" i="23"/>
  <c r="K13" i="23"/>
  <c r="F13" i="23"/>
  <c r="L13" i="23"/>
  <c r="F14" i="23"/>
  <c r="N14" i="23"/>
  <c r="H15" i="23"/>
  <c r="O16" i="23"/>
  <c r="K16" i="23"/>
  <c r="G16" i="23"/>
  <c r="M16" i="23"/>
  <c r="H16" i="23"/>
  <c r="P16" i="23"/>
  <c r="I16" i="23"/>
  <c r="L16" i="23"/>
  <c r="F17" i="23"/>
  <c r="N17" i="23"/>
  <c r="K32" i="23"/>
  <c r="G34" i="23"/>
  <c r="P34" i="23"/>
  <c r="N35" i="23"/>
  <c r="J38" i="23"/>
  <c r="I41" i="23"/>
  <c r="K42" i="23"/>
  <c r="K60" i="23"/>
  <c r="L62" i="23"/>
  <c r="O12" i="23"/>
  <c r="K12" i="23"/>
  <c r="G12" i="23"/>
  <c r="I12" i="23"/>
  <c r="N12" i="23"/>
  <c r="O18" i="23"/>
  <c r="K18" i="23"/>
  <c r="G18" i="23"/>
  <c r="L18" i="23"/>
  <c r="F18" i="23"/>
  <c r="J18" i="23"/>
  <c r="O33" i="23"/>
  <c r="K33" i="23"/>
  <c r="G33" i="23"/>
  <c r="L33" i="23"/>
  <c r="F33" i="23"/>
  <c r="J33" i="23"/>
  <c r="M17" i="23"/>
  <c r="I17" i="23"/>
  <c r="E17" i="23"/>
  <c r="J17" i="23"/>
  <c r="O17" i="23"/>
  <c r="M32" i="23"/>
  <c r="I32" i="23"/>
  <c r="E32" i="23"/>
  <c r="J32" i="23"/>
  <c r="O32" i="23"/>
  <c r="M35" i="23"/>
  <c r="I35" i="23"/>
  <c r="E35" i="23"/>
  <c r="P35" i="23"/>
  <c r="K35" i="23"/>
  <c r="F35" i="23"/>
  <c r="L35" i="23"/>
  <c r="O38" i="23"/>
  <c r="K38" i="23"/>
  <c r="G38" i="23"/>
  <c r="L38" i="23"/>
  <c r="F38" i="23"/>
  <c r="P38" i="23"/>
  <c r="I38" i="23"/>
  <c r="M38" i="23"/>
  <c r="P58" i="23"/>
  <c r="O43" i="23"/>
  <c r="K43" i="23"/>
  <c r="G43" i="23"/>
  <c r="L43" i="23"/>
  <c r="F43" i="23"/>
  <c r="P43" i="23"/>
  <c r="I43" i="23"/>
  <c r="M43" i="23"/>
  <c r="M37" i="23"/>
  <c r="I37" i="23"/>
  <c r="E37" i="23"/>
  <c r="J37" i="23"/>
  <c r="O37" i="23"/>
  <c r="M40" i="23"/>
  <c r="I40" i="23"/>
  <c r="E40" i="23"/>
  <c r="P40" i="23"/>
  <c r="K40" i="23"/>
  <c r="F40" i="23"/>
  <c r="L40" i="23"/>
  <c r="P56" i="23"/>
  <c r="N57" i="23"/>
  <c r="J57" i="23"/>
  <c r="F57" i="23"/>
  <c r="M57" i="23"/>
  <c r="I57" i="23"/>
  <c r="E57" i="23"/>
  <c r="P57" i="23"/>
  <c r="H57" i="23"/>
  <c r="O57" i="23"/>
  <c r="O39" i="23"/>
  <c r="K39" i="23"/>
  <c r="G39" i="23"/>
  <c r="I39" i="23"/>
  <c r="N39" i="23"/>
  <c r="M42" i="23"/>
  <c r="I42" i="23"/>
  <c r="E42" i="23"/>
  <c r="J42" i="23"/>
  <c r="O42" i="23"/>
  <c r="P59" i="23"/>
  <c r="N60" i="23"/>
  <c r="J60" i="23"/>
  <c r="F60" i="23"/>
  <c r="M60" i="23"/>
  <c r="I60" i="23"/>
  <c r="E60" i="23"/>
  <c r="L60" i="23"/>
  <c r="M64" i="23"/>
  <c r="O65" i="23"/>
  <c r="K65" i="23"/>
  <c r="G65" i="23"/>
  <c r="N65" i="23"/>
  <c r="J65" i="23"/>
  <c r="F65" i="23"/>
  <c r="M65" i="23"/>
  <c r="I65" i="23"/>
  <c r="E65" i="23"/>
  <c r="L65" i="23"/>
  <c r="H65" i="23"/>
  <c r="M66" i="23"/>
  <c r="O67" i="23"/>
  <c r="K67" i="23"/>
  <c r="G67" i="23"/>
  <c r="N67" i="23"/>
  <c r="J67" i="23"/>
  <c r="F67" i="23"/>
  <c r="M67" i="23"/>
  <c r="I67" i="23"/>
  <c r="E67" i="23"/>
  <c r="L67" i="23"/>
  <c r="H67" i="23"/>
  <c r="H56" i="23"/>
  <c r="L56" i="23"/>
  <c r="H58" i="23"/>
  <c r="L58" i="23"/>
  <c r="G60" i="23"/>
  <c r="O60" i="23"/>
  <c r="P65" i="23"/>
  <c r="P67" i="23"/>
  <c r="G59" i="23"/>
  <c r="K59" i="23"/>
  <c r="O59" i="23"/>
  <c r="G61" i="23"/>
  <c r="K61" i="23"/>
  <c r="O61" i="23"/>
  <c r="H59" i="23"/>
  <c r="L59" i="23"/>
  <c r="H61" i="23"/>
  <c r="L61" i="23"/>
  <c r="O63" i="23"/>
  <c r="K63" i="23"/>
  <c r="G63" i="23"/>
  <c r="N63" i="23"/>
  <c r="M63" i="23"/>
  <c r="I63" i="23"/>
  <c r="E63" i="23"/>
  <c r="L63" i="23"/>
  <c r="G64" i="23"/>
  <c r="K64" i="23"/>
  <c r="O64" i="23"/>
  <c r="G66" i="23"/>
  <c r="K66" i="23"/>
  <c r="O66" i="23"/>
  <c r="H64" i="23"/>
  <c r="L64" i="23"/>
  <c r="P64" i="23"/>
  <c r="H66" i="23"/>
  <c r="L66" i="23"/>
  <c r="P66" i="23"/>
  <c r="E64" i="23"/>
  <c r="I64" i="23"/>
  <c r="E66" i="23"/>
  <c r="I66" i="23"/>
  <c r="C23" i="21" l="1"/>
  <c r="C22" i="21"/>
  <c r="P7" i="21"/>
  <c r="O7" i="21"/>
  <c r="N7" i="21"/>
  <c r="M7" i="21"/>
  <c r="L7" i="21"/>
  <c r="K7" i="21"/>
  <c r="J7" i="21"/>
  <c r="I7" i="21"/>
  <c r="H7" i="21"/>
  <c r="G7" i="21"/>
  <c r="F7" i="21"/>
  <c r="E7" i="21"/>
  <c r="M10" i="21" l="1"/>
  <c r="O9" i="21"/>
  <c r="N33" i="21"/>
  <c r="O35" i="21"/>
  <c r="L41" i="21"/>
  <c r="K36" i="33" s="1"/>
  <c r="M8" i="21"/>
  <c r="E32" i="21"/>
  <c r="D34" i="33" s="1"/>
  <c r="K37" i="21"/>
  <c r="E18" i="21"/>
  <c r="F11" i="21"/>
  <c r="F8" i="21"/>
  <c r="N8" i="21"/>
  <c r="G19" i="21"/>
  <c r="K17" i="21"/>
  <c r="J8" i="21"/>
  <c r="P64" i="21"/>
  <c r="P41" i="21"/>
  <c r="P19" i="21"/>
  <c r="H9" i="21"/>
  <c r="F10" i="21"/>
  <c r="O11" i="21"/>
  <c r="M12" i="21"/>
  <c r="G15" i="21"/>
  <c r="P17" i="21"/>
  <c r="I65" i="21"/>
  <c r="I63" i="21"/>
  <c r="I61" i="21"/>
  <c r="I60" i="21"/>
  <c r="I36" i="21"/>
  <c r="H34" i="33" s="1"/>
  <c r="I34" i="21"/>
  <c r="I19" i="21"/>
  <c r="I17" i="21"/>
  <c r="I15" i="21"/>
  <c r="I13" i="21"/>
  <c r="I32" i="21"/>
  <c r="M65" i="21"/>
  <c r="M63" i="21"/>
  <c r="M61" i="21"/>
  <c r="M60" i="21"/>
  <c r="M62" i="21"/>
  <c r="M34" i="21"/>
  <c r="M32" i="21"/>
  <c r="M17" i="21"/>
  <c r="M13" i="21"/>
  <c r="M38" i="21"/>
  <c r="Q7" i="21"/>
  <c r="G8" i="21"/>
  <c r="K8" i="21"/>
  <c r="O8" i="21"/>
  <c r="E9" i="21"/>
  <c r="I9" i="21"/>
  <c r="M9" i="21"/>
  <c r="G10" i="21"/>
  <c r="K10" i="21"/>
  <c r="O10" i="21"/>
  <c r="K11" i="21"/>
  <c r="P12" i="21"/>
  <c r="O13" i="21"/>
  <c r="M14" i="21"/>
  <c r="K15" i="21"/>
  <c r="I16" i="21"/>
  <c r="G17" i="21"/>
  <c r="I38" i="21"/>
  <c r="H36" i="33" s="1"/>
  <c r="M57" i="21"/>
  <c r="H64" i="21"/>
  <c r="H56" i="21"/>
  <c r="H39" i="21"/>
  <c r="G38" i="33" s="1"/>
  <c r="P9" i="21"/>
  <c r="N10" i="21"/>
  <c r="E11" i="21"/>
  <c r="K13" i="21"/>
  <c r="I14" i="21"/>
  <c r="E16" i="21"/>
  <c r="P18" i="21"/>
  <c r="E65" i="21"/>
  <c r="E63" i="21"/>
  <c r="E61" i="21"/>
  <c r="E62" i="21"/>
  <c r="E60" i="21"/>
  <c r="E38" i="21"/>
  <c r="D40" i="33" s="1"/>
  <c r="E36" i="21"/>
  <c r="D38" i="33" s="1"/>
  <c r="E19" i="21"/>
  <c r="E17" i="21"/>
  <c r="E15" i="21"/>
  <c r="E13" i="21"/>
  <c r="E34" i="21"/>
  <c r="D36" i="33" s="1"/>
  <c r="F65" i="21"/>
  <c r="F61" i="21"/>
  <c r="F60" i="21"/>
  <c r="F63" i="21"/>
  <c r="F57" i="21"/>
  <c r="F55" i="21"/>
  <c r="F54" i="21"/>
  <c r="F42" i="21"/>
  <c r="E43" i="33" s="1"/>
  <c r="F38" i="21"/>
  <c r="E39" i="33" s="1"/>
  <c r="F36" i="21"/>
  <c r="E37" i="33" s="1"/>
  <c r="F34" i="21"/>
  <c r="E35" i="33" s="1"/>
  <c r="F32" i="21"/>
  <c r="F19" i="21"/>
  <c r="F17" i="21"/>
  <c r="F15" i="21"/>
  <c r="F13" i="21"/>
  <c r="J63" i="21"/>
  <c r="J65" i="21"/>
  <c r="J61" i="21"/>
  <c r="J60" i="21"/>
  <c r="J57" i="21"/>
  <c r="J55" i="21"/>
  <c r="J38" i="21"/>
  <c r="I35" i="33" s="1"/>
  <c r="J36" i="21"/>
  <c r="J34" i="21"/>
  <c r="J32" i="21"/>
  <c r="J54" i="21"/>
  <c r="J19" i="21"/>
  <c r="J17" i="21"/>
  <c r="J13" i="21"/>
  <c r="J40" i="21"/>
  <c r="I37" i="33" s="1"/>
  <c r="N65" i="21"/>
  <c r="N61" i="21"/>
  <c r="N60" i="21"/>
  <c r="N63" i="21"/>
  <c r="N57" i="21"/>
  <c r="N54" i="21"/>
  <c r="N42" i="21"/>
  <c r="M35" i="33" s="1"/>
  <c r="N38" i="21"/>
  <c r="N36" i="21"/>
  <c r="N34" i="21"/>
  <c r="N32" i="21"/>
  <c r="N17" i="21"/>
  <c r="N13" i="21"/>
  <c r="H8" i="21"/>
  <c r="L8" i="21"/>
  <c r="P8" i="21"/>
  <c r="F9" i="21"/>
  <c r="J9" i="21"/>
  <c r="N9" i="21"/>
  <c r="H10" i="21"/>
  <c r="L10" i="21"/>
  <c r="P10" i="21"/>
  <c r="G11" i="21"/>
  <c r="M11" i="21"/>
  <c r="E12" i="21"/>
  <c r="P13" i="21"/>
  <c r="P14" i="21"/>
  <c r="O15" i="21"/>
  <c r="M16" i="21"/>
  <c r="I18" i="21"/>
  <c r="N39" i="21"/>
  <c r="J42" i="21"/>
  <c r="I39" i="33" s="1"/>
  <c r="L9" i="21"/>
  <c r="J10" i="21"/>
  <c r="J11" i="21"/>
  <c r="P34" i="21"/>
  <c r="G61" i="21"/>
  <c r="G63" i="21"/>
  <c r="G65" i="21"/>
  <c r="G57" i="21"/>
  <c r="G55" i="21"/>
  <c r="G37" i="21"/>
  <c r="F37" i="33" s="1"/>
  <c r="G35" i="21"/>
  <c r="F35" i="33" s="1"/>
  <c r="G33" i="21"/>
  <c r="K63" i="21"/>
  <c r="K65" i="21"/>
  <c r="K61" i="21"/>
  <c r="K57" i="21"/>
  <c r="K55" i="21"/>
  <c r="K35" i="21"/>
  <c r="K33" i="21"/>
  <c r="K31" i="21"/>
  <c r="O63" i="21"/>
  <c r="O61" i="21"/>
  <c r="O65" i="21"/>
  <c r="O57" i="21"/>
  <c r="O55" i="21"/>
  <c r="O33" i="21"/>
  <c r="O31" i="21"/>
  <c r="O37" i="21"/>
  <c r="I8" i="21"/>
  <c r="G9" i="21"/>
  <c r="K9" i="21"/>
  <c r="E10" i="21"/>
  <c r="I10" i="21"/>
  <c r="P11" i="21"/>
  <c r="I11" i="21"/>
  <c r="N11" i="21"/>
  <c r="I12" i="21"/>
  <c r="G13" i="21"/>
  <c r="E14" i="21"/>
  <c r="N15" i="21"/>
  <c r="P16" i="21"/>
  <c r="O17" i="21"/>
  <c r="M18" i="21"/>
  <c r="K19" i="21"/>
  <c r="G31" i="21"/>
  <c r="M36" i="21"/>
  <c r="N55" i="21"/>
  <c r="H11" i="21"/>
  <c r="L11" i="21"/>
  <c r="F12" i="21"/>
  <c r="J12" i="21"/>
  <c r="N12" i="21"/>
  <c r="H13" i="21"/>
  <c r="L13" i="21"/>
  <c r="F14" i="21"/>
  <c r="J14" i="21"/>
  <c r="N14" i="21"/>
  <c r="H15" i="21"/>
  <c r="L15" i="21"/>
  <c r="P15" i="21"/>
  <c r="F16" i="21"/>
  <c r="J16" i="21"/>
  <c r="N16" i="21"/>
  <c r="H17" i="21"/>
  <c r="L17" i="21"/>
  <c r="F18" i="21"/>
  <c r="J18" i="21"/>
  <c r="N18" i="21"/>
  <c r="N19" i="21"/>
  <c r="M19" i="21"/>
  <c r="H19" i="21"/>
  <c r="L19" i="21"/>
  <c r="N35" i="21"/>
  <c r="P36" i="21"/>
  <c r="O58" i="21"/>
  <c r="K58" i="21"/>
  <c r="L58" i="21"/>
  <c r="G58" i="21"/>
  <c r="P58" i="21"/>
  <c r="J58" i="21"/>
  <c r="F58" i="21"/>
  <c r="N58" i="21"/>
  <c r="I58" i="21"/>
  <c r="E58" i="21"/>
  <c r="M58" i="21"/>
  <c r="H58" i="21"/>
  <c r="G12" i="21"/>
  <c r="K12" i="21"/>
  <c r="O12" i="21"/>
  <c r="G14" i="21"/>
  <c r="K14" i="21"/>
  <c r="O14" i="21"/>
  <c r="M15" i="21"/>
  <c r="G16" i="21"/>
  <c r="K16" i="21"/>
  <c r="O16" i="21"/>
  <c r="G18" i="21"/>
  <c r="K18" i="21"/>
  <c r="O18" i="21"/>
  <c r="O19" i="21"/>
  <c r="N37" i="21"/>
  <c r="P38" i="21"/>
  <c r="H12" i="21"/>
  <c r="L12" i="21"/>
  <c r="H14" i="21"/>
  <c r="L14" i="21"/>
  <c r="J15" i="21"/>
  <c r="H16" i="21"/>
  <c r="L16" i="21"/>
  <c r="H18" i="21"/>
  <c r="L18" i="21"/>
  <c r="N31" i="21"/>
  <c r="P32" i="21"/>
  <c r="H31" i="21"/>
  <c r="L31" i="21"/>
  <c r="P31" i="21"/>
  <c r="H33" i="21"/>
  <c r="L33" i="21"/>
  <c r="P33" i="21"/>
  <c r="H35" i="21"/>
  <c r="G34" i="33" s="1"/>
  <c r="L35" i="21"/>
  <c r="P35" i="21"/>
  <c r="H37" i="21"/>
  <c r="G36" i="33" s="1"/>
  <c r="L37" i="21"/>
  <c r="P37" i="21"/>
  <c r="M39" i="21"/>
  <c r="I39" i="21"/>
  <c r="H37" i="33" s="1"/>
  <c r="E39" i="21"/>
  <c r="D41" i="33" s="1"/>
  <c r="J39" i="21"/>
  <c r="I36" i="33" s="1"/>
  <c r="O39" i="21"/>
  <c r="M40" i="21"/>
  <c r="L34" i="33" s="1"/>
  <c r="I40" i="21"/>
  <c r="H38" i="33" s="1"/>
  <c r="E40" i="21"/>
  <c r="D42" i="33" s="1"/>
  <c r="P40" i="21"/>
  <c r="L40" i="21"/>
  <c r="K35" i="33" s="1"/>
  <c r="O40" i="21"/>
  <c r="K40" i="21"/>
  <c r="J36" i="33" s="1"/>
  <c r="G40" i="21"/>
  <c r="F40" i="33" s="1"/>
  <c r="N40" i="21"/>
  <c r="E31" i="21"/>
  <c r="I31" i="21"/>
  <c r="M31" i="21"/>
  <c r="G32" i="21"/>
  <c r="K32" i="21"/>
  <c r="O32" i="21"/>
  <c r="E33" i="21"/>
  <c r="D35" i="33" s="1"/>
  <c r="I33" i="21"/>
  <c r="M33" i="21"/>
  <c r="G34" i="21"/>
  <c r="F34" i="33" s="1"/>
  <c r="K34" i="21"/>
  <c r="O34" i="21"/>
  <c r="E35" i="21"/>
  <c r="D37" i="33" s="1"/>
  <c r="I35" i="21"/>
  <c r="M35" i="21"/>
  <c r="G36" i="21"/>
  <c r="F36" i="33" s="1"/>
  <c r="K36" i="21"/>
  <c r="O36" i="21"/>
  <c r="E37" i="21"/>
  <c r="D39" i="33" s="1"/>
  <c r="I37" i="21"/>
  <c r="H35" i="33" s="1"/>
  <c r="M37" i="21"/>
  <c r="G38" i="21"/>
  <c r="F38" i="33" s="1"/>
  <c r="K38" i="21"/>
  <c r="J34" i="33" s="1"/>
  <c r="O38" i="21"/>
  <c r="F39" i="21"/>
  <c r="E40" i="33" s="1"/>
  <c r="K39" i="21"/>
  <c r="J35" i="33" s="1"/>
  <c r="P39" i="21"/>
  <c r="F40" i="21"/>
  <c r="E41" i="33" s="1"/>
  <c r="O41" i="21"/>
  <c r="K41" i="21"/>
  <c r="J37" i="33" s="1"/>
  <c r="G41" i="21"/>
  <c r="F41" i="33" s="1"/>
  <c r="N41" i="21"/>
  <c r="M34" i="33" s="1"/>
  <c r="J41" i="21"/>
  <c r="I38" i="33" s="1"/>
  <c r="F41" i="21"/>
  <c r="E42" i="33" s="1"/>
  <c r="M41" i="21"/>
  <c r="L35" i="33" s="1"/>
  <c r="I41" i="21"/>
  <c r="H39" i="33" s="1"/>
  <c r="E41" i="21"/>
  <c r="D43" i="33" s="1"/>
  <c r="M42" i="21"/>
  <c r="L36" i="33" s="1"/>
  <c r="M54" i="21"/>
  <c r="F31" i="21"/>
  <c r="J31" i="21"/>
  <c r="H32" i="21"/>
  <c r="L32" i="21"/>
  <c r="F33" i="21"/>
  <c r="E34" i="33" s="1"/>
  <c r="J33" i="21"/>
  <c r="H34" i="21"/>
  <c r="L34" i="21"/>
  <c r="F35" i="21"/>
  <c r="E36" i="33" s="1"/>
  <c r="J35" i="21"/>
  <c r="H36" i="21"/>
  <c r="G35" i="33" s="1"/>
  <c r="L36" i="21"/>
  <c r="F37" i="21"/>
  <c r="E38" i="33" s="1"/>
  <c r="J37" i="21"/>
  <c r="I34" i="33" s="1"/>
  <c r="H38" i="21"/>
  <c r="G37" i="33" s="1"/>
  <c r="L38" i="21"/>
  <c r="G39" i="21"/>
  <c r="F39" i="33" s="1"/>
  <c r="L39" i="21"/>
  <c r="K34" i="33" s="1"/>
  <c r="H40" i="21"/>
  <c r="G39" i="33" s="1"/>
  <c r="H41" i="21"/>
  <c r="G40" i="33" s="1"/>
  <c r="I56" i="21"/>
  <c r="M59" i="21"/>
  <c r="I59" i="21"/>
  <c r="E59" i="21"/>
  <c r="N59" i="21"/>
  <c r="H59" i="21"/>
  <c r="L59" i="21"/>
  <c r="G59" i="21"/>
  <c r="P59" i="21"/>
  <c r="K59" i="21"/>
  <c r="F59" i="21"/>
  <c r="O59" i="21"/>
  <c r="J59" i="21"/>
  <c r="G42" i="21"/>
  <c r="F42" i="33" s="1"/>
  <c r="K42" i="21"/>
  <c r="J38" i="33" s="1"/>
  <c r="O42" i="21"/>
  <c r="N34" i="33" s="1"/>
  <c r="G54" i="21"/>
  <c r="K54" i="21"/>
  <c r="O54" i="21"/>
  <c r="I64" i="21"/>
  <c r="H42" i="21"/>
  <c r="G41" i="33" s="1"/>
  <c r="L42" i="21"/>
  <c r="K37" i="33" s="1"/>
  <c r="P42" i="21"/>
  <c r="H54" i="21"/>
  <c r="L54" i="21"/>
  <c r="P54" i="21"/>
  <c r="O56" i="21"/>
  <c r="K56" i="21"/>
  <c r="G56" i="21"/>
  <c r="N56" i="21"/>
  <c r="J56" i="21"/>
  <c r="F56" i="21"/>
  <c r="M56" i="21"/>
  <c r="L56" i="21"/>
  <c r="E42" i="21"/>
  <c r="D44" i="33" s="1"/>
  <c r="I42" i="21"/>
  <c r="H40" i="33" s="1"/>
  <c r="E54" i="21"/>
  <c r="I54" i="21"/>
  <c r="M55" i="21"/>
  <c r="E56" i="21"/>
  <c r="P56" i="21"/>
  <c r="P60" i="21"/>
  <c r="P61" i="21"/>
  <c r="H55" i="21"/>
  <c r="L55" i="21"/>
  <c r="P55" i="21"/>
  <c r="H57" i="21"/>
  <c r="L57" i="21"/>
  <c r="P57" i="21"/>
  <c r="I62" i="21"/>
  <c r="E55" i="21"/>
  <c r="I55" i="21"/>
  <c r="E57" i="21"/>
  <c r="I57" i="21"/>
  <c r="G60" i="21"/>
  <c r="K60" i="21"/>
  <c r="O60" i="21"/>
  <c r="H62" i="21"/>
  <c r="P62" i="21"/>
  <c r="H60" i="21"/>
  <c r="L60" i="21"/>
  <c r="O64" i="21"/>
  <c r="K64" i="21"/>
  <c r="G64" i="21"/>
  <c r="N64" i="21"/>
  <c r="J64" i="21"/>
  <c r="F64" i="21"/>
  <c r="L64" i="21"/>
  <c r="P65" i="21"/>
  <c r="O62" i="21"/>
  <c r="K62" i="21"/>
  <c r="G62" i="21"/>
  <c r="N62" i="21"/>
  <c r="J62" i="21"/>
  <c r="F62" i="21"/>
  <c r="L62" i="21"/>
  <c r="P63" i="21"/>
  <c r="E64" i="21"/>
  <c r="M64" i="21"/>
  <c r="H61" i="21"/>
  <c r="L61" i="21"/>
  <c r="H63" i="21"/>
  <c r="L63" i="21"/>
  <c r="H65" i="21"/>
  <c r="L65" i="21"/>
  <c r="H31" i="33" l="1"/>
  <c r="M31" i="33" s="1"/>
  <c r="R150" i="6"/>
  <c r="AU150" i="6" s="1"/>
  <c r="AU334" i="6" s="1"/>
  <c r="AU516" i="6" s="1"/>
  <c r="R159" i="6"/>
  <c r="R65" i="6"/>
  <c r="AU65" i="6" s="1"/>
  <c r="AU247" i="6" s="1"/>
  <c r="AU431" i="6" s="1"/>
  <c r="R75" i="6"/>
  <c r="AU75" i="6" s="1"/>
  <c r="O58" i="3"/>
  <c r="O65" i="3" l="1"/>
  <c r="R343" i="6"/>
  <c r="R525" i="6" s="1"/>
  <c r="AU159" i="6"/>
  <c r="AU343" i="6" s="1"/>
  <c r="AU525" i="6" s="1"/>
  <c r="R257" i="6"/>
  <c r="R441" i="6" s="1"/>
  <c r="AU257" i="6"/>
  <c r="AU441" i="6" s="1"/>
  <c r="R247" i="6"/>
  <c r="R431" i="6" s="1"/>
  <c r="R334" i="6"/>
  <c r="R516" i="6" s="1"/>
  <c r="BU150" i="6"/>
  <c r="BU159" i="6" s="1"/>
  <c r="B283" i="3"/>
  <c r="B292" i="3" s="1"/>
  <c r="B282" i="3"/>
  <c r="B291" i="3" s="1"/>
  <c r="B280" i="3"/>
  <c r="B289" i="3" s="1"/>
  <c r="B284" i="3"/>
  <c r="B293" i="3" s="1"/>
  <c r="B279" i="3"/>
  <c r="B288" i="3" s="1"/>
  <c r="B281" i="3"/>
  <c r="B290" i="3" s="1"/>
  <c r="B285" i="3"/>
  <c r="B294" i="3" s="1"/>
  <c r="I158" i="3"/>
  <c r="I248" i="3" s="1"/>
  <c r="O148" i="3"/>
  <c r="N34" i="6"/>
  <c r="N216" i="6" s="1"/>
  <c r="N400" i="6" s="1"/>
  <c r="N17" i="6"/>
  <c r="L354" i="6"/>
  <c r="L536" i="6" s="1"/>
  <c r="F140" i="6"/>
  <c r="F322" i="6" s="1"/>
  <c r="F506" i="6" s="1"/>
  <c r="F56" i="6"/>
  <c r="N199" i="6" l="1"/>
  <c r="N383" i="6" s="1"/>
  <c r="AQ17" i="6"/>
  <c r="O238" i="3"/>
  <c r="O157" i="3"/>
  <c r="O247" i="3" s="1"/>
  <c r="I36" i="3"/>
  <c r="I25" i="3"/>
  <c r="J55" i="8"/>
  <c r="AK55" i="8" s="1"/>
  <c r="J45" i="8"/>
  <c r="AK45" i="8" s="1"/>
  <c r="AQ34" i="6" l="1"/>
  <c r="AQ216" i="6" s="1"/>
  <c r="AQ400" i="6" s="1"/>
  <c r="AQ199" i="6"/>
  <c r="AQ383" i="6" s="1"/>
  <c r="I115" i="3"/>
  <c r="I126" i="3" s="1"/>
  <c r="AJ25" i="3"/>
  <c r="F123" i="3"/>
  <c r="F213" i="3" s="1"/>
  <c r="I168" i="3"/>
  <c r="I258" i="3" s="1"/>
  <c r="F15" i="13"/>
  <c r="P44" i="8"/>
  <c r="AQ44" i="8" s="1"/>
  <c r="P29" i="8"/>
  <c r="AQ29" i="8" s="1"/>
  <c r="P7" i="4"/>
  <c r="O7" i="4"/>
  <c r="M7" i="4"/>
  <c r="L7" i="4"/>
  <c r="K7" i="4"/>
  <c r="J7" i="4"/>
  <c r="I7" i="4"/>
  <c r="H7" i="4"/>
  <c r="G7" i="4"/>
  <c r="F7" i="4"/>
  <c r="E7" i="4"/>
  <c r="M57" i="4" l="1"/>
  <c r="M61" i="4"/>
  <c r="M65" i="4"/>
  <c r="M33" i="4"/>
  <c r="M37" i="4"/>
  <c r="M41" i="4"/>
  <c r="M11" i="4"/>
  <c r="M15" i="4"/>
  <c r="M19" i="4"/>
  <c r="L15" i="32" s="1"/>
  <c r="M63" i="4"/>
  <c r="M35" i="4"/>
  <c r="M43" i="4"/>
  <c r="L35" i="32" s="1"/>
  <c r="M9" i="4"/>
  <c r="M13" i="4"/>
  <c r="M60" i="4"/>
  <c r="M64" i="4"/>
  <c r="M36" i="4"/>
  <c r="M40" i="4"/>
  <c r="M14" i="4"/>
  <c r="M58" i="4"/>
  <c r="M62" i="4"/>
  <c r="M66" i="4"/>
  <c r="L57" i="32" s="1"/>
  <c r="M34" i="4"/>
  <c r="M38" i="4"/>
  <c r="M42" i="4"/>
  <c r="L34" i="32" s="1"/>
  <c r="M8" i="4"/>
  <c r="M12" i="4"/>
  <c r="M16" i="4"/>
  <c r="M59" i="4"/>
  <c r="M67" i="4"/>
  <c r="L58" i="32" s="1"/>
  <c r="M39" i="4"/>
  <c r="M17" i="4"/>
  <c r="L13" i="32" s="1"/>
  <c r="M68" i="4"/>
  <c r="L59" i="32" s="1"/>
  <c r="M44" i="4"/>
  <c r="L36" i="32" s="1"/>
  <c r="M10" i="4"/>
  <c r="M18" i="4"/>
  <c r="L14" i="32" s="1"/>
  <c r="J59" i="4"/>
  <c r="J63" i="4"/>
  <c r="I57" i="32" s="1"/>
  <c r="J67" i="4"/>
  <c r="I61" i="32" s="1"/>
  <c r="J35" i="4"/>
  <c r="J39" i="4"/>
  <c r="I34" i="32" s="1"/>
  <c r="J43" i="4"/>
  <c r="I38" i="32" s="1"/>
  <c r="J9" i="4"/>
  <c r="J13" i="4"/>
  <c r="J17" i="4"/>
  <c r="I16" i="32" s="1"/>
  <c r="J57" i="4"/>
  <c r="J65" i="4"/>
  <c r="I59" i="32" s="1"/>
  <c r="J37" i="4"/>
  <c r="J11" i="4"/>
  <c r="J15" i="4"/>
  <c r="I14" i="32" s="1"/>
  <c r="J58" i="4"/>
  <c r="J66" i="4"/>
  <c r="I60" i="32" s="1"/>
  <c r="J38" i="4"/>
  <c r="J42" i="4"/>
  <c r="I37" i="32" s="1"/>
  <c r="J8" i="4"/>
  <c r="J16" i="4"/>
  <c r="I15" i="32" s="1"/>
  <c r="J60" i="4"/>
  <c r="J64" i="4"/>
  <c r="I58" i="32" s="1"/>
  <c r="J68" i="4"/>
  <c r="I62" i="32" s="1"/>
  <c r="J36" i="4"/>
  <c r="J40" i="4"/>
  <c r="I35" i="32" s="1"/>
  <c r="J44" i="4"/>
  <c r="I39" i="32" s="1"/>
  <c r="J10" i="4"/>
  <c r="J14" i="4"/>
  <c r="I13" i="32" s="1"/>
  <c r="J18" i="4"/>
  <c r="I17" i="32" s="1"/>
  <c r="J61" i="4"/>
  <c r="J33" i="4"/>
  <c r="J41" i="4"/>
  <c r="I36" i="32" s="1"/>
  <c r="J19" i="4"/>
  <c r="I18" i="32" s="1"/>
  <c r="J62" i="4"/>
  <c r="J34" i="4"/>
  <c r="J12" i="4"/>
  <c r="L58" i="4"/>
  <c r="L62" i="4"/>
  <c r="L66" i="4"/>
  <c r="K58" i="32" s="1"/>
  <c r="L34" i="4"/>
  <c r="L38" i="4"/>
  <c r="L42" i="4"/>
  <c r="K35" i="32" s="1"/>
  <c r="L8" i="4"/>
  <c r="L12" i="4"/>
  <c r="L16" i="4"/>
  <c r="K13" i="32" s="1"/>
  <c r="L60" i="4"/>
  <c r="L68" i="4"/>
  <c r="K60" i="32" s="1"/>
  <c r="L40" i="4"/>
  <c r="L18" i="4"/>
  <c r="K15" i="32" s="1"/>
  <c r="L33" i="4"/>
  <c r="L11" i="4"/>
  <c r="L19" i="4"/>
  <c r="K16" i="32" s="1"/>
  <c r="L59" i="4"/>
  <c r="L63" i="4"/>
  <c r="L67" i="4"/>
  <c r="K59" i="32" s="1"/>
  <c r="L35" i="4"/>
  <c r="L39" i="4"/>
  <c r="L43" i="4"/>
  <c r="K36" i="32" s="1"/>
  <c r="L9" i="4"/>
  <c r="L13" i="4"/>
  <c r="L17" i="4"/>
  <c r="K14" i="32" s="1"/>
  <c r="L64" i="4"/>
  <c r="L36" i="4"/>
  <c r="L44" i="4"/>
  <c r="K37" i="32" s="1"/>
  <c r="L10" i="4"/>
  <c r="L14" i="4"/>
  <c r="L57" i="4"/>
  <c r="L61" i="4"/>
  <c r="L65" i="4"/>
  <c r="K57" i="32" s="1"/>
  <c r="L37" i="4"/>
  <c r="L41" i="4"/>
  <c r="K34" i="32" s="1"/>
  <c r="L15" i="4"/>
  <c r="K9" i="4"/>
  <c r="K11" i="4"/>
  <c r="K13" i="4"/>
  <c r="K15" i="4"/>
  <c r="J13" i="32" s="1"/>
  <c r="K17" i="4"/>
  <c r="J15" i="32" s="1"/>
  <c r="K19" i="4"/>
  <c r="J17" i="32" s="1"/>
  <c r="K18" i="4"/>
  <c r="J16" i="32" s="1"/>
  <c r="K58" i="4"/>
  <c r="K62" i="4"/>
  <c r="K68" i="4"/>
  <c r="J61" i="32" s="1"/>
  <c r="K38" i="4"/>
  <c r="K42" i="4"/>
  <c r="J36" i="32" s="1"/>
  <c r="K57" i="4"/>
  <c r="K59" i="4"/>
  <c r="K61" i="4"/>
  <c r="K63" i="4"/>
  <c r="K65" i="4"/>
  <c r="J58" i="32" s="1"/>
  <c r="K67" i="4"/>
  <c r="J60" i="32" s="1"/>
  <c r="K33" i="4"/>
  <c r="K35" i="4"/>
  <c r="K37" i="4"/>
  <c r="K39" i="4"/>
  <c r="K41" i="4"/>
  <c r="J35" i="32" s="1"/>
  <c r="K43" i="4"/>
  <c r="J37" i="32" s="1"/>
  <c r="K16" i="4"/>
  <c r="J14" i="32" s="1"/>
  <c r="K64" i="4"/>
  <c r="J57" i="32" s="1"/>
  <c r="K36" i="4"/>
  <c r="K44" i="4"/>
  <c r="J38" i="32" s="1"/>
  <c r="K8" i="4"/>
  <c r="K10" i="4"/>
  <c r="K12" i="4"/>
  <c r="K14" i="4"/>
  <c r="K60" i="4"/>
  <c r="K66" i="4"/>
  <c r="J59" i="32" s="1"/>
  <c r="K34" i="4"/>
  <c r="K40" i="4"/>
  <c r="J34" i="32" s="1"/>
  <c r="I59" i="4"/>
  <c r="I63" i="4"/>
  <c r="H58" i="32" s="1"/>
  <c r="I67" i="4"/>
  <c r="H62" i="32" s="1"/>
  <c r="I35" i="4"/>
  <c r="I39" i="4"/>
  <c r="H35" i="32" s="1"/>
  <c r="I43" i="4"/>
  <c r="H39" i="32" s="1"/>
  <c r="I10" i="4"/>
  <c r="I14" i="4"/>
  <c r="H14" i="32" s="1"/>
  <c r="I18" i="4"/>
  <c r="H18" i="32" s="1"/>
  <c r="I34" i="4"/>
  <c r="I42" i="4"/>
  <c r="H38" i="32" s="1"/>
  <c r="I9" i="4"/>
  <c r="I13" i="4"/>
  <c r="H13" i="32" s="1"/>
  <c r="I40" i="4"/>
  <c r="H36" i="32" s="1"/>
  <c r="I15" i="4"/>
  <c r="H15" i="32" s="1"/>
  <c r="I58" i="4"/>
  <c r="I62" i="4"/>
  <c r="H57" i="32" s="1"/>
  <c r="I66" i="4"/>
  <c r="H61" i="32" s="1"/>
  <c r="I38" i="4"/>
  <c r="H34" i="32" s="1"/>
  <c r="I17" i="4"/>
  <c r="H17" i="32" s="1"/>
  <c r="I19" i="4"/>
  <c r="H19" i="32" s="1"/>
  <c r="I57" i="4"/>
  <c r="I61" i="4"/>
  <c r="I65" i="4"/>
  <c r="H60" i="32" s="1"/>
  <c r="I33" i="4"/>
  <c r="I37" i="4"/>
  <c r="I41" i="4"/>
  <c r="H37" i="32" s="1"/>
  <c r="I8" i="4"/>
  <c r="I12" i="4"/>
  <c r="I16" i="4"/>
  <c r="H16" i="32" s="1"/>
  <c r="I60" i="4"/>
  <c r="I64" i="4"/>
  <c r="H59" i="32" s="1"/>
  <c r="I68" i="4"/>
  <c r="H63" i="32" s="1"/>
  <c r="I36" i="4"/>
  <c r="I44" i="4"/>
  <c r="H40" i="32" s="1"/>
  <c r="I11" i="4"/>
  <c r="H16" i="4"/>
  <c r="G17" i="32" s="1"/>
  <c r="H19" i="4"/>
  <c r="G20" i="32" s="1"/>
  <c r="H57" i="4"/>
  <c r="H58" i="4"/>
  <c r="H59" i="4"/>
  <c r="H60" i="4"/>
  <c r="H61" i="4"/>
  <c r="G57" i="32" s="1"/>
  <c r="H62" i="4"/>
  <c r="G58" i="32" s="1"/>
  <c r="H63" i="4"/>
  <c r="G59" i="32" s="1"/>
  <c r="H64" i="4"/>
  <c r="G60" i="32" s="1"/>
  <c r="H65" i="4"/>
  <c r="G61" i="32" s="1"/>
  <c r="H66" i="4"/>
  <c r="G62" i="32" s="1"/>
  <c r="H67" i="4"/>
  <c r="G63" i="32" s="1"/>
  <c r="H68" i="4"/>
  <c r="G64" i="32" s="1"/>
  <c r="H33" i="4"/>
  <c r="H34" i="4"/>
  <c r="H35" i="4"/>
  <c r="H36" i="4"/>
  <c r="H37" i="4"/>
  <c r="G34" i="32" s="1"/>
  <c r="H38" i="4"/>
  <c r="G35" i="32" s="1"/>
  <c r="H39" i="4"/>
  <c r="G36" i="32" s="1"/>
  <c r="H40" i="4"/>
  <c r="G37" i="32" s="1"/>
  <c r="H41" i="4"/>
  <c r="G38" i="32" s="1"/>
  <c r="H42" i="4"/>
  <c r="G39" i="32" s="1"/>
  <c r="H43" i="4"/>
  <c r="G40" i="32" s="1"/>
  <c r="H44" i="4"/>
  <c r="G41" i="32" s="1"/>
  <c r="H8" i="4"/>
  <c r="H9" i="4"/>
  <c r="H10" i="4"/>
  <c r="H11" i="4"/>
  <c r="H12" i="4"/>
  <c r="G13" i="32" s="1"/>
  <c r="H13" i="4"/>
  <c r="G14" i="32" s="1"/>
  <c r="H14" i="4"/>
  <c r="G15" i="32" s="1"/>
  <c r="H15" i="4"/>
  <c r="G16" i="32" s="1"/>
  <c r="H17" i="4"/>
  <c r="G18" i="32" s="1"/>
  <c r="H18" i="4"/>
  <c r="G19" i="32" s="1"/>
  <c r="F59" i="4"/>
  <c r="E57" i="32" s="1"/>
  <c r="F63" i="4"/>
  <c r="E61" i="32" s="1"/>
  <c r="F67" i="4"/>
  <c r="E65" i="32" s="1"/>
  <c r="F35" i="4"/>
  <c r="E34" i="32" s="1"/>
  <c r="F39" i="4"/>
  <c r="E38" i="32" s="1"/>
  <c r="F43" i="4"/>
  <c r="E42" i="32" s="1"/>
  <c r="F8" i="4"/>
  <c r="F12" i="4"/>
  <c r="E15" i="32" s="1"/>
  <c r="F16" i="4"/>
  <c r="E19" i="32" s="1"/>
  <c r="F57" i="4"/>
  <c r="F65" i="4"/>
  <c r="E63" i="32" s="1"/>
  <c r="F41" i="4"/>
  <c r="E40" i="32" s="1"/>
  <c r="F10" i="4"/>
  <c r="E13" i="32" s="1"/>
  <c r="F14" i="4"/>
  <c r="E17" i="32" s="1"/>
  <c r="F58" i="4"/>
  <c r="F66" i="4"/>
  <c r="E64" i="32" s="1"/>
  <c r="F42" i="4"/>
  <c r="E41" i="32" s="1"/>
  <c r="F19" i="4"/>
  <c r="E22" i="32" s="1"/>
  <c r="F60" i="4"/>
  <c r="E58" i="32" s="1"/>
  <c r="F64" i="4"/>
  <c r="E62" i="32" s="1"/>
  <c r="F68" i="4"/>
  <c r="E66" i="32" s="1"/>
  <c r="F36" i="4"/>
  <c r="E35" i="32" s="1"/>
  <c r="F40" i="4"/>
  <c r="E39" i="32" s="1"/>
  <c r="F44" i="4"/>
  <c r="E43" i="32" s="1"/>
  <c r="F9" i="4"/>
  <c r="F13" i="4"/>
  <c r="E16" i="32" s="1"/>
  <c r="F17" i="4"/>
  <c r="E20" i="32" s="1"/>
  <c r="F61" i="4"/>
  <c r="E59" i="32" s="1"/>
  <c r="F33" i="4"/>
  <c r="F37" i="4"/>
  <c r="E36" i="32" s="1"/>
  <c r="F18" i="4"/>
  <c r="E21" i="32" s="1"/>
  <c r="F62" i="4"/>
  <c r="E60" i="32" s="1"/>
  <c r="F34" i="4"/>
  <c r="F38" i="4"/>
  <c r="E37" i="32" s="1"/>
  <c r="F11" i="4"/>
  <c r="E14" i="32" s="1"/>
  <c r="F15" i="4"/>
  <c r="E18" i="32" s="1"/>
  <c r="G8" i="4"/>
  <c r="G10" i="4"/>
  <c r="G12" i="4"/>
  <c r="F14" i="32" s="1"/>
  <c r="G14" i="4"/>
  <c r="F16" i="32" s="1"/>
  <c r="G16" i="4"/>
  <c r="F18" i="32" s="1"/>
  <c r="G18" i="4"/>
  <c r="F20" i="32" s="1"/>
  <c r="G57" i="4"/>
  <c r="G59" i="4"/>
  <c r="G61" i="4"/>
  <c r="F58" i="32" s="1"/>
  <c r="G63" i="4"/>
  <c r="F60" i="32" s="1"/>
  <c r="G65" i="4"/>
  <c r="F62" i="32" s="1"/>
  <c r="G67" i="4"/>
  <c r="F64" i="32" s="1"/>
  <c r="G33" i="4"/>
  <c r="G35" i="4"/>
  <c r="G37" i="4"/>
  <c r="F35" i="32" s="1"/>
  <c r="G39" i="4"/>
  <c r="F37" i="32" s="1"/>
  <c r="G41" i="4"/>
  <c r="F39" i="32" s="1"/>
  <c r="G43" i="4"/>
  <c r="F41" i="32" s="1"/>
  <c r="G62" i="4"/>
  <c r="F59" i="32" s="1"/>
  <c r="G66" i="4"/>
  <c r="F63" i="32" s="1"/>
  <c r="G36" i="4"/>
  <c r="F34" i="32" s="1"/>
  <c r="G40" i="4"/>
  <c r="F38" i="32" s="1"/>
  <c r="G42" i="4"/>
  <c r="F40" i="32" s="1"/>
  <c r="G9" i="4"/>
  <c r="G11" i="4"/>
  <c r="F13" i="32" s="1"/>
  <c r="G13" i="4"/>
  <c r="F15" i="32" s="1"/>
  <c r="G15" i="4"/>
  <c r="F17" i="32" s="1"/>
  <c r="G17" i="4"/>
  <c r="F19" i="32" s="1"/>
  <c r="G19" i="4"/>
  <c r="F21" i="32" s="1"/>
  <c r="G58" i="4"/>
  <c r="G60" i="4"/>
  <c r="F57" i="32" s="1"/>
  <c r="G64" i="4"/>
  <c r="F61" i="32" s="1"/>
  <c r="G68" i="4"/>
  <c r="F65" i="32" s="1"/>
  <c r="G34" i="4"/>
  <c r="G38" i="4"/>
  <c r="F36" i="32" s="1"/>
  <c r="G44" i="4"/>
  <c r="F42" i="32" s="1"/>
  <c r="E60" i="4"/>
  <c r="D59" i="32" s="1"/>
  <c r="E64" i="4"/>
  <c r="D63" i="32" s="1"/>
  <c r="E68" i="4"/>
  <c r="D67" i="32" s="1"/>
  <c r="E36" i="4"/>
  <c r="D36" i="32" s="1"/>
  <c r="E40" i="4"/>
  <c r="D40" i="32" s="1"/>
  <c r="E44" i="4"/>
  <c r="D44" i="32" s="1"/>
  <c r="E9" i="4"/>
  <c r="D13" i="32" s="1"/>
  <c r="E13" i="4"/>
  <c r="D17" i="32" s="1"/>
  <c r="E17" i="4"/>
  <c r="D21" i="32" s="1"/>
  <c r="E8" i="4"/>
  <c r="E61" i="4"/>
  <c r="D60" i="32" s="1"/>
  <c r="E65" i="4"/>
  <c r="D64" i="32" s="1"/>
  <c r="E57" i="4"/>
  <c r="E37" i="4"/>
  <c r="D37" i="32" s="1"/>
  <c r="E41" i="4"/>
  <c r="D41" i="32" s="1"/>
  <c r="E33" i="4"/>
  <c r="E10" i="4"/>
  <c r="D14" i="32" s="1"/>
  <c r="E14" i="4"/>
  <c r="D18" i="32" s="1"/>
  <c r="E18" i="4"/>
  <c r="D22" i="32" s="1"/>
  <c r="E63" i="4"/>
  <c r="D62" i="32" s="1"/>
  <c r="E35" i="4"/>
  <c r="D35" i="32" s="1"/>
  <c r="E43" i="4"/>
  <c r="D43" i="32" s="1"/>
  <c r="E12" i="4"/>
  <c r="D16" i="32" s="1"/>
  <c r="E58" i="4"/>
  <c r="D57" i="32" s="1"/>
  <c r="E62" i="4"/>
  <c r="D61" i="32" s="1"/>
  <c r="E66" i="4"/>
  <c r="D65" i="32" s="1"/>
  <c r="E34" i="4"/>
  <c r="D34" i="32" s="1"/>
  <c r="E38" i="4"/>
  <c r="D38" i="32" s="1"/>
  <c r="E42" i="4"/>
  <c r="D42" i="32" s="1"/>
  <c r="E11" i="4"/>
  <c r="D15" i="32" s="1"/>
  <c r="E15" i="4"/>
  <c r="D19" i="32" s="1"/>
  <c r="E19" i="4"/>
  <c r="D23" i="32" s="1"/>
  <c r="E59" i="4"/>
  <c r="D58" i="32" s="1"/>
  <c r="E67" i="4"/>
  <c r="D66" i="32" s="1"/>
  <c r="E39" i="4"/>
  <c r="D39" i="32" s="1"/>
  <c r="E16" i="4"/>
  <c r="D20" i="32" s="1"/>
  <c r="P60" i="4"/>
  <c r="P64" i="4"/>
  <c r="P68" i="4"/>
  <c r="P36" i="4"/>
  <c r="P40" i="4"/>
  <c r="P44" i="4"/>
  <c r="P9" i="4"/>
  <c r="P13" i="4"/>
  <c r="P17" i="4"/>
  <c r="P61" i="4"/>
  <c r="P65" i="4"/>
  <c r="P37" i="4"/>
  <c r="P41" i="4"/>
  <c r="P14" i="4"/>
  <c r="P18" i="4"/>
  <c r="P59" i="4"/>
  <c r="P63" i="4"/>
  <c r="P67" i="4"/>
  <c r="P35" i="4"/>
  <c r="P39" i="4"/>
  <c r="P43" i="4"/>
  <c r="P8" i="4"/>
  <c r="P12" i="4"/>
  <c r="P16" i="4"/>
  <c r="P10" i="4"/>
  <c r="P58" i="4"/>
  <c r="P62" i="4"/>
  <c r="P66" i="4"/>
  <c r="P34" i="4"/>
  <c r="P38" i="4"/>
  <c r="P42" i="4"/>
  <c r="P11" i="4"/>
  <c r="P15" i="4"/>
  <c r="P19" i="4"/>
  <c r="P57" i="4"/>
  <c r="P33" i="4"/>
  <c r="E37" i="9"/>
  <c r="I205" i="3"/>
  <c r="AJ36" i="3"/>
  <c r="AJ115" i="3"/>
  <c r="I216" i="3"/>
  <c r="B43" i="3"/>
  <c r="AA13" i="20"/>
  <c r="AA14" i="20" s="1"/>
  <c r="AA15" i="20" s="1"/>
  <c r="AA16" i="20" s="1"/>
  <c r="AA17" i="20" s="1"/>
  <c r="AA18" i="20" s="1"/>
  <c r="AA19" i="20" s="1"/>
  <c r="AA20" i="20" s="1"/>
  <c r="AA21" i="20" s="1"/>
  <c r="AA22" i="20" s="1"/>
  <c r="AA23" i="20" s="1"/>
  <c r="AA24" i="20" s="1"/>
  <c r="E25" i="20"/>
  <c r="H54" i="32" l="1"/>
  <c r="M54" i="32" s="1"/>
  <c r="H31" i="32"/>
  <c r="M31" i="32" s="1"/>
  <c r="N2" i="35"/>
  <c r="D21" i="8"/>
  <c r="AE21" i="8"/>
  <c r="B25" i="20"/>
  <c r="AD24" i="20"/>
  <c r="AH24" i="20" s="1"/>
  <c r="AJ126" i="3"/>
  <c r="AJ216" i="3" s="1"/>
  <c r="AJ205" i="3"/>
  <c r="C97" i="6"/>
  <c r="C554" i="6" s="1"/>
  <c r="C24" i="20"/>
  <c r="C20" i="20"/>
  <c r="C16" i="20"/>
  <c r="AA12" i="20"/>
  <c r="C23" i="20"/>
  <c r="C19" i="20"/>
  <c r="C15" i="20"/>
  <c r="C22" i="20"/>
  <c r="AH22" i="20" s="1"/>
  <c r="C18" i="20"/>
  <c r="C21" i="20"/>
  <c r="C17" i="20"/>
  <c r="AD25" i="20" l="1"/>
  <c r="E40" i="9" s="1"/>
  <c r="Q16" i="35"/>
  <c r="N23" i="35"/>
  <c r="O23" i="35" s="1"/>
  <c r="Q26" i="35"/>
  <c r="Q29" i="35"/>
  <c r="N10" i="35"/>
  <c r="O10" i="35" s="1"/>
  <c r="Q39" i="35"/>
  <c r="Q42" i="35"/>
  <c r="Q13" i="35"/>
  <c r="N36" i="35"/>
  <c r="O36" i="35" s="1"/>
  <c r="Q36" i="35"/>
  <c r="AC18" i="20"/>
  <c r="AC16" i="20"/>
  <c r="AC23" i="20"/>
  <c r="AC24" i="20"/>
  <c r="AC22" i="20"/>
  <c r="AC17" i="20"/>
  <c r="E39" i="9"/>
  <c r="AC15" i="20"/>
  <c r="AE15" i="20" s="1"/>
  <c r="AC21" i="20"/>
  <c r="AC19" i="20"/>
  <c r="AC20" i="20"/>
  <c r="C279" i="6"/>
  <c r="F22" i="20"/>
  <c r="F17" i="20"/>
  <c r="F15" i="20"/>
  <c r="F16" i="20"/>
  <c r="F19" i="20"/>
  <c r="F20" i="20"/>
  <c r="F21" i="20"/>
  <c r="F18" i="20"/>
  <c r="F23" i="20"/>
  <c r="F24" i="20"/>
  <c r="C14" i="20"/>
  <c r="AA11" i="20"/>
  <c r="C13" i="20" s="1"/>
  <c r="X36" i="35" l="1"/>
  <c r="R36" i="35"/>
  <c r="P36" i="35" s="1"/>
  <c r="AD14" i="20"/>
  <c r="AH14" i="20" s="1"/>
  <c r="AC14" i="20"/>
  <c r="AE16" i="20"/>
  <c r="AE17" i="20" s="1"/>
  <c r="AC13" i="20"/>
  <c r="AE13" i="20" s="1"/>
  <c r="AD13" i="20"/>
  <c r="AH13" i="20" s="1"/>
  <c r="Z10" i="35"/>
  <c r="Z36" i="35"/>
  <c r="Z23" i="35"/>
  <c r="F325" i="6"/>
  <c r="AI325" i="6"/>
  <c r="AI236" i="6"/>
  <c r="AI324" i="6"/>
  <c r="AI237" i="6"/>
  <c r="AI421" i="6" s="1"/>
  <c r="AI235" i="6"/>
  <c r="C463" i="6"/>
  <c r="F236" i="6"/>
  <c r="F324" i="6"/>
  <c r="F237" i="6"/>
  <c r="F235" i="6"/>
  <c r="C23" i="4"/>
  <c r="Q23" i="35" s="1"/>
  <c r="C22" i="4"/>
  <c r="F512" i="6"/>
  <c r="F13" i="20"/>
  <c r="F14" i="20"/>
  <c r="Q7" i="4"/>
  <c r="AH8" i="23" l="1"/>
  <c r="BQ8" i="23" s="1"/>
  <c r="AL8" i="23"/>
  <c r="BU8" i="23" s="1"/>
  <c r="AP8" i="23"/>
  <c r="BY8" i="23" s="1"/>
  <c r="AI8" i="23"/>
  <c r="BR8" i="23" s="1"/>
  <c r="AM8" i="23"/>
  <c r="BV8" i="23" s="1"/>
  <c r="AQ8" i="23"/>
  <c r="BZ8" i="23" s="1"/>
  <c r="AJ8" i="23"/>
  <c r="BS8" i="23" s="1"/>
  <c r="AN8" i="23"/>
  <c r="BW8" i="23" s="1"/>
  <c r="AG9" i="23"/>
  <c r="BP9" i="23" s="1"/>
  <c r="AO8" i="23"/>
  <c r="BX8" i="23" s="1"/>
  <c r="AK9" i="23"/>
  <c r="BT9" i="23" s="1"/>
  <c r="AO9" i="23"/>
  <c r="BX9" i="23" s="1"/>
  <c r="AH10" i="23"/>
  <c r="BQ10" i="23" s="1"/>
  <c r="AL10" i="23"/>
  <c r="BU10" i="23" s="1"/>
  <c r="AP10" i="23"/>
  <c r="BY10" i="23" s="1"/>
  <c r="AI11" i="23"/>
  <c r="BR11" i="23" s="1"/>
  <c r="AM11" i="23"/>
  <c r="BV11" i="23" s="1"/>
  <c r="AQ11" i="23"/>
  <c r="BZ11" i="23" s="1"/>
  <c r="AJ12" i="23"/>
  <c r="BS12" i="23" s="1"/>
  <c r="AN12" i="23"/>
  <c r="BW12" i="23" s="1"/>
  <c r="AG13" i="23"/>
  <c r="BP13" i="23" s="1"/>
  <c r="AK13" i="23"/>
  <c r="BT13" i="23" s="1"/>
  <c r="AO13" i="23"/>
  <c r="BX13" i="23" s="1"/>
  <c r="AH14" i="23"/>
  <c r="BQ14" i="23" s="1"/>
  <c r="AL14" i="23"/>
  <c r="BU14" i="23" s="1"/>
  <c r="AP14" i="23"/>
  <c r="BY14" i="23" s="1"/>
  <c r="AI15" i="23"/>
  <c r="BR15" i="23" s="1"/>
  <c r="AM15" i="23"/>
  <c r="BV15" i="23" s="1"/>
  <c r="AQ15" i="23"/>
  <c r="BZ15" i="23" s="1"/>
  <c r="AJ16" i="23"/>
  <c r="BS16" i="23" s="1"/>
  <c r="AN16" i="23"/>
  <c r="BW16" i="23" s="1"/>
  <c r="AG17" i="23"/>
  <c r="BP17" i="23" s="1"/>
  <c r="AK17" i="23"/>
  <c r="BT17" i="23" s="1"/>
  <c r="AO17" i="23"/>
  <c r="BX17" i="23" s="1"/>
  <c r="AH18" i="23"/>
  <c r="BQ18" i="23" s="1"/>
  <c r="AL18" i="23"/>
  <c r="BU18" i="23" s="1"/>
  <c r="AP18" i="23"/>
  <c r="BY18" i="23" s="1"/>
  <c r="AI19" i="23"/>
  <c r="BR19" i="23" s="1"/>
  <c r="AM19" i="23"/>
  <c r="BV19" i="23" s="1"/>
  <c r="AQ19" i="23"/>
  <c r="BZ19" i="23" s="1"/>
  <c r="AF12" i="23"/>
  <c r="BO12" i="23" s="1"/>
  <c r="AF16" i="23"/>
  <c r="BO16" i="23" s="1"/>
  <c r="AF8" i="23"/>
  <c r="BO8" i="23" s="1"/>
  <c r="AP9" i="23"/>
  <c r="BY9" i="23" s="1"/>
  <c r="AN11" i="23"/>
  <c r="BW11" i="23" s="1"/>
  <c r="AK12" i="23"/>
  <c r="BT12" i="23" s="1"/>
  <c r="AH13" i="23"/>
  <c r="BQ13" i="23" s="1"/>
  <c r="AP13" i="23"/>
  <c r="BY13" i="23" s="1"/>
  <c r="AQ14" i="23"/>
  <c r="BZ14" i="23" s="1"/>
  <c r="AN15" i="23"/>
  <c r="BW15" i="23" s="1"/>
  <c r="AK16" i="23"/>
  <c r="BT16" i="23" s="1"/>
  <c r="AH17" i="23"/>
  <c r="BQ17" i="23" s="1"/>
  <c r="AL17" i="23"/>
  <c r="BU17" i="23" s="1"/>
  <c r="AI18" i="23"/>
  <c r="BR18" i="23" s="1"/>
  <c r="AQ18" i="23"/>
  <c r="BZ18" i="23" s="1"/>
  <c r="AN19" i="23"/>
  <c r="BW19" i="23" s="1"/>
  <c r="AF13" i="23"/>
  <c r="BO13" i="23" s="1"/>
  <c r="AF17" i="23"/>
  <c r="BO17" i="23" s="1"/>
  <c r="AG8" i="23"/>
  <c r="BP8" i="23" s="1"/>
  <c r="AQ9" i="23"/>
  <c r="BZ9" i="23" s="1"/>
  <c r="AG11" i="23"/>
  <c r="BP11" i="23" s="1"/>
  <c r="AH12" i="23"/>
  <c r="BQ12" i="23" s="1"/>
  <c r="AI13" i="23"/>
  <c r="BR13" i="23" s="1"/>
  <c r="AJ14" i="23"/>
  <c r="BS14" i="23" s="1"/>
  <c r="AK15" i="23"/>
  <c r="BT15" i="23" s="1"/>
  <c r="AL16" i="23"/>
  <c r="BU16" i="23" s="1"/>
  <c r="AM17" i="23"/>
  <c r="BV17" i="23" s="1"/>
  <c r="AN18" i="23"/>
  <c r="BW18" i="23" s="1"/>
  <c r="AO19" i="23"/>
  <c r="BX19" i="23" s="1"/>
  <c r="AF18" i="23"/>
  <c r="BO18" i="23" s="1"/>
  <c r="AJ9" i="23"/>
  <c r="BS9" i="23" s="1"/>
  <c r="AK10" i="23"/>
  <c r="BT10" i="23" s="1"/>
  <c r="AH11" i="23"/>
  <c r="BQ11" i="23" s="1"/>
  <c r="AI12" i="23"/>
  <c r="BR12" i="23" s="1"/>
  <c r="AJ13" i="23"/>
  <c r="BS13" i="23" s="1"/>
  <c r="AK14" i="23"/>
  <c r="BT14" i="23" s="1"/>
  <c r="AL15" i="23"/>
  <c r="BU15" i="23" s="1"/>
  <c r="AM16" i="23"/>
  <c r="BV16" i="23" s="1"/>
  <c r="AN17" i="23"/>
  <c r="BW17" i="23" s="1"/>
  <c r="AO18" i="23"/>
  <c r="BX18" i="23" s="1"/>
  <c r="AP19" i="23"/>
  <c r="BY19" i="23" s="1"/>
  <c r="AF19" i="23"/>
  <c r="BO19" i="23" s="1"/>
  <c r="AH9" i="23"/>
  <c r="BQ9" i="23" s="1"/>
  <c r="AL9" i="23"/>
  <c r="BU9" i="23" s="1"/>
  <c r="AI10" i="23"/>
  <c r="BR10" i="23" s="1"/>
  <c r="AM10" i="23"/>
  <c r="BV10" i="23" s="1"/>
  <c r="AQ10" i="23"/>
  <c r="BZ10" i="23" s="1"/>
  <c r="AJ11" i="23"/>
  <c r="BS11" i="23" s="1"/>
  <c r="AG12" i="23"/>
  <c r="BP12" i="23" s="1"/>
  <c r="AO12" i="23"/>
  <c r="BX12" i="23" s="1"/>
  <c r="AL13" i="23"/>
  <c r="BU13" i="23" s="1"/>
  <c r="AI14" i="23"/>
  <c r="BR14" i="23" s="1"/>
  <c r="AM14" i="23"/>
  <c r="BV14" i="23" s="1"/>
  <c r="AJ15" i="23"/>
  <c r="BS15" i="23" s="1"/>
  <c r="AG16" i="23"/>
  <c r="BP16" i="23" s="1"/>
  <c r="AO16" i="23"/>
  <c r="BX16" i="23" s="1"/>
  <c r="AP17" i="23"/>
  <c r="BY17" i="23" s="1"/>
  <c r="AM18" i="23"/>
  <c r="BV18" i="23" s="1"/>
  <c r="AJ19" i="23"/>
  <c r="BS19" i="23" s="1"/>
  <c r="AF9" i="23"/>
  <c r="BO9" i="23" s="1"/>
  <c r="AM9" i="23"/>
  <c r="BV9" i="23" s="1"/>
  <c r="AN10" i="23"/>
  <c r="BW10" i="23" s="1"/>
  <c r="AO11" i="23"/>
  <c r="BX11" i="23" s="1"/>
  <c r="AP12" i="23"/>
  <c r="BY12" i="23" s="1"/>
  <c r="AQ13" i="23"/>
  <c r="BZ13" i="23" s="1"/>
  <c r="AG15" i="23"/>
  <c r="BP15" i="23" s="1"/>
  <c r="AH16" i="23"/>
  <c r="BQ16" i="23" s="1"/>
  <c r="AI17" i="23"/>
  <c r="BR17" i="23" s="1"/>
  <c r="AJ18" i="23"/>
  <c r="BS18" i="23" s="1"/>
  <c r="AK19" i="23"/>
  <c r="BT19" i="23" s="1"/>
  <c r="AF10" i="23"/>
  <c r="BO10" i="23" s="1"/>
  <c r="AN9" i="23"/>
  <c r="BW9" i="23" s="1"/>
  <c r="AO10" i="23"/>
  <c r="BX10" i="23" s="1"/>
  <c r="AP11" i="23"/>
  <c r="BY11" i="23" s="1"/>
  <c r="AQ12" i="23"/>
  <c r="BZ12" i="23" s="1"/>
  <c r="AN13" i="23"/>
  <c r="BW13" i="23" s="1"/>
  <c r="AO14" i="23"/>
  <c r="BX14" i="23" s="1"/>
  <c r="AP15" i="23"/>
  <c r="BY15" i="23" s="1"/>
  <c r="AQ16" i="23"/>
  <c r="BZ16" i="23" s="1"/>
  <c r="AG18" i="23"/>
  <c r="BP18" i="23" s="1"/>
  <c r="AH19" i="23"/>
  <c r="BQ19" i="23" s="1"/>
  <c r="AF11" i="23"/>
  <c r="BO11" i="23" s="1"/>
  <c r="AI9" i="23"/>
  <c r="BR9" i="23" s="1"/>
  <c r="AJ10" i="23"/>
  <c r="BS10" i="23" s="1"/>
  <c r="AK11" i="23"/>
  <c r="BT11" i="23" s="1"/>
  <c r="AL12" i="23"/>
  <c r="BU12" i="23" s="1"/>
  <c r="AM13" i="23"/>
  <c r="BV13" i="23" s="1"/>
  <c r="AN14" i="23"/>
  <c r="BW14" i="23" s="1"/>
  <c r="AO15" i="23"/>
  <c r="BX15" i="23" s="1"/>
  <c r="AP16" i="23"/>
  <c r="BY16" i="23" s="1"/>
  <c r="AQ17" i="23"/>
  <c r="BZ17" i="23" s="1"/>
  <c r="AG19" i="23"/>
  <c r="BP19" i="23" s="1"/>
  <c r="AF14" i="23"/>
  <c r="BO14" i="23" s="1"/>
  <c r="AK8" i="23"/>
  <c r="BT8" i="23" s="1"/>
  <c r="AG10" i="23"/>
  <c r="BP10" i="23" s="1"/>
  <c r="AL11" i="23"/>
  <c r="BU11" i="23" s="1"/>
  <c r="AM12" i="23"/>
  <c r="BV12" i="23" s="1"/>
  <c r="AG14" i="23"/>
  <c r="BP14" i="23" s="1"/>
  <c r="AH15" i="23"/>
  <c r="BQ15" i="23" s="1"/>
  <c r="AI16" i="23"/>
  <c r="BR16" i="23" s="1"/>
  <c r="AJ17" i="23"/>
  <c r="BS17" i="23" s="1"/>
  <c r="AK18" i="23"/>
  <c r="BT18" i="23" s="1"/>
  <c r="AL19" i="23"/>
  <c r="BU19" i="23" s="1"/>
  <c r="AF15" i="23"/>
  <c r="BO15" i="23" s="1"/>
  <c r="V8" i="21"/>
  <c r="AV8" i="21" s="1"/>
  <c r="Z8" i="21"/>
  <c r="AZ8" i="21" s="1"/>
  <c r="AD8" i="21"/>
  <c r="BD8" i="21" s="1"/>
  <c r="W9" i="21"/>
  <c r="AW9" i="21" s="1"/>
  <c r="AA9" i="21"/>
  <c r="BA9" i="21" s="1"/>
  <c r="T10" i="21"/>
  <c r="AT10" i="21" s="1"/>
  <c r="X10" i="21"/>
  <c r="AX10" i="21" s="1"/>
  <c r="W8" i="21"/>
  <c r="AW8" i="21" s="1"/>
  <c r="AA8" i="21"/>
  <c r="BA8" i="21" s="1"/>
  <c r="T9" i="21"/>
  <c r="AT9" i="21" s="1"/>
  <c r="X9" i="21"/>
  <c r="AX9" i="21" s="1"/>
  <c r="AB9" i="21"/>
  <c r="BB9" i="21" s="1"/>
  <c r="U10" i="21"/>
  <c r="AU10" i="21" s="1"/>
  <c r="Y10" i="21"/>
  <c r="AY10" i="21" s="1"/>
  <c r="AC10" i="21"/>
  <c r="BC10" i="21" s="1"/>
  <c r="V11" i="21"/>
  <c r="AV11" i="21" s="1"/>
  <c r="Z11" i="21"/>
  <c r="AZ11" i="21" s="1"/>
  <c r="AD11" i="21"/>
  <c r="BD11" i="21" s="1"/>
  <c r="W12" i="21"/>
  <c r="AW12" i="21" s="1"/>
  <c r="AA12" i="21"/>
  <c r="BA12" i="21" s="1"/>
  <c r="T13" i="21"/>
  <c r="AT13" i="21" s="1"/>
  <c r="X13" i="21"/>
  <c r="AX13" i="21" s="1"/>
  <c r="U8" i="21"/>
  <c r="AU8" i="21" s="1"/>
  <c r="AC8" i="21"/>
  <c r="BC8" i="21" s="1"/>
  <c r="Z9" i="21"/>
  <c r="AZ9" i="21" s="1"/>
  <c r="W10" i="21"/>
  <c r="AW10" i="21" s="1"/>
  <c r="AD10" i="21"/>
  <c r="BD10" i="21" s="1"/>
  <c r="X11" i="21"/>
  <c r="AX11" i="21" s="1"/>
  <c r="AC11" i="21"/>
  <c r="BC11" i="21" s="1"/>
  <c r="X12" i="21"/>
  <c r="AX12" i="21" s="1"/>
  <c r="AC12" i="21"/>
  <c r="BC12" i="21" s="1"/>
  <c r="W13" i="21"/>
  <c r="AW13" i="21" s="1"/>
  <c r="AB13" i="21"/>
  <c r="BB13" i="21" s="1"/>
  <c r="U14" i="21"/>
  <c r="AU14" i="21" s="1"/>
  <c r="Y14" i="21"/>
  <c r="AY14" i="21" s="1"/>
  <c r="AC14" i="21"/>
  <c r="BC14" i="21" s="1"/>
  <c r="V15" i="21"/>
  <c r="AV15" i="21" s="1"/>
  <c r="Z15" i="21"/>
  <c r="AZ15" i="21" s="1"/>
  <c r="AD15" i="21"/>
  <c r="BD15" i="21" s="1"/>
  <c r="W16" i="21"/>
  <c r="AW16" i="21" s="1"/>
  <c r="AA16" i="21"/>
  <c r="BA16" i="21" s="1"/>
  <c r="T17" i="21"/>
  <c r="AT17" i="21" s="1"/>
  <c r="X17" i="21"/>
  <c r="AX17" i="21" s="1"/>
  <c r="AB17" i="21"/>
  <c r="BB17" i="21" s="1"/>
  <c r="U18" i="21"/>
  <c r="AU18" i="21" s="1"/>
  <c r="Y18" i="21"/>
  <c r="AY18" i="21" s="1"/>
  <c r="AC18" i="21"/>
  <c r="BC18" i="21" s="1"/>
  <c r="V19" i="21"/>
  <c r="AV19" i="21" s="1"/>
  <c r="Z19" i="21"/>
  <c r="AZ19" i="21" s="1"/>
  <c r="AD19" i="21"/>
  <c r="BD19" i="21" s="1"/>
  <c r="S12" i="21"/>
  <c r="AS12" i="21" s="1"/>
  <c r="S16" i="21"/>
  <c r="AS16" i="21" s="1"/>
  <c r="S8" i="21"/>
  <c r="AS8" i="21" s="1"/>
  <c r="V9" i="21"/>
  <c r="AV9" i="21" s="1"/>
  <c r="AA10" i="21"/>
  <c r="BA10" i="21" s="1"/>
  <c r="U12" i="21"/>
  <c r="AU12" i="21" s="1"/>
  <c r="U13" i="21"/>
  <c r="AU13" i="21" s="1"/>
  <c r="AD13" i="21"/>
  <c r="BD13" i="21" s="1"/>
  <c r="X8" i="21"/>
  <c r="AX8" i="21" s="1"/>
  <c r="U9" i="21"/>
  <c r="AU9" i="21" s="1"/>
  <c r="AC9" i="21"/>
  <c r="BC9" i="21" s="1"/>
  <c r="Z10" i="21"/>
  <c r="AZ10" i="21" s="1"/>
  <c r="T11" i="21"/>
  <c r="AT11" i="21" s="1"/>
  <c r="Y11" i="21"/>
  <c r="AY11" i="21" s="1"/>
  <c r="T12" i="21"/>
  <c r="AT12" i="21" s="1"/>
  <c r="Y12" i="21"/>
  <c r="AY12" i="21" s="1"/>
  <c r="AD12" i="21"/>
  <c r="BD12" i="21" s="1"/>
  <c r="Y13" i="21"/>
  <c r="AY13" i="21" s="1"/>
  <c r="AC13" i="21"/>
  <c r="BC13" i="21" s="1"/>
  <c r="V14" i="21"/>
  <c r="AV14" i="21" s="1"/>
  <c r="Z14" i="21"/>
  <c r="AZ14" i="21" s="1"/>
  <c r="AD14" i="21"/>
  <c r="BD14" i="21" s="1"/>
  <c r="W15" i="21"/>
  <c r="AW15" i="21" s="1"/>
  <c r="AA15" i="21"/>
  <c r="BA15" i="21" s="1"/>
  <c r="T16" i="21"/>
  <c r="AT16" i="21" s="1"/>
  <c r="X16" i="21"/>
  <c r="AX16" i="21" s="1"/>
  <c r="AB16" i="21"/>
  <c r="BB16" i="21" s="1"/>
  <c r="U17" i="21"/>
  <c r="AU17" i="21" s="1"/>
  <c r="Y17" i="21"/>
  <c r="AY17" i="21" s="1"/>
  <c r="AC17" i="21"/>
  <c r="BC17" i="21" s="1"/>
  <c r="V18" i="21"/>
  <c r="AV18" i="21" s="1"/>
  <c r="Z18" i="21"/>
  <c r="AZ18" i="21" s="1"/>
  <c r="AD18" i="21"/>
  <c r="BD18" i="21" s="1"/>
  <c r="W19" i="21"/>
  <c r="AW19" i="21" s="1"/>
  <c r="AA19" i="21"/>
  <c r="BA19" i="21" s="1"/>
  <c r="S9" i="21"/>
  <c r="AS9" i="21" s="1"/>
  <c r="S13" i="21"/>
  <c r="AS13" i="21" s="1"/>
  <c r="S17" i="21"/>
  <c r="AS17" i="21" s="1"/>
  <c r="Y8" i="21"/>
  <c r="AY8" i="21" s="1"/>
  <c r="AD9" i="21"/>
  <c r="BD9" i="21" s="1"/>
  <c r="U11" i="21"/>
  <c r="AU11" i="21" s="1"/>
  <c r="AA11" i="21"/>
  <c r="BA11" i="21" s="1"/>
  <c r="Z12" i="21"/>
  <c r="AZ12" i="21" s="1"/>
  <c r="Z13" i="21"/>
  <c r="AZ13" i="21" s="1"/>
  <c r="W14" i="21"/>
  <c r="AW14" i="21" s="1"/>
  <c r="AB8" i="21"/>
  <c r="BB8" i="21" s="1"/>
  <c r="W11" i="21"/>
  <c r="AW11" i="21" s="1"/>
  <c r="V13" i="21"/>
  <c r="AV13" i="21" s="1"/>
  <c r="AA14" i="21"/>
  <c r="BA14" i="21" s="1"/>
  <c r="X15" i="21"/>
  <c r="AX15" i="21" s="1"/>
  <c r="U16" i="21"/>
  <c r="AU16" i="21" s="1"/>
  <c r="AC16" i="21"/>
  <c r="BC16" i="21" s="1"/>
  <c r="Z17" i="21"/>
  <c r="AZ17" i="21" s="1"/>
  <c r="W18" i="21"/>
  <c r="AW18" i="21" s="1"/>
  <c r="T19" i="21"/>
  <c r="AT19" i="21" s="1"/>
  <c r="AB19" i="21"/>
  <c r="BB19" i="21" s="1"/>
  <c r="S14" i="21"/>
  <c r="AS14" i="21" s="1"/>
  <c r="AA17" i="21"/>
  <c r="BA17" i="21" s="1"/>
  <c r="AC19" i="21"/>
  <c r="BC19" i="21" s="1"/>
  <c r="V12" i="21"/>
  <c r="AV12" i="21" s="1"/>
  <c r="T15" i="21"/>
  <c r="AT15" i="21" s="1"/>
  <c r="V17" i="21"/>
  <c r="AV17" i="21" s="1"/>
  <c r="AA18" i="21"/>
  <c r="BA18" i="21" s="1"/>
  <c r="S10" i="21"/>
  <c r="AS10" i="21" s="1"/>
  <c r="T8" i="21"/>
  <c r="AT8" i="21" s="1"/>
  <c r="AB12" i="21"/>
  <c r="BB12" i="21" s="1"/>
  <c r="U15" i="21"/>
  <c r="AU15" i="21" s="1"/>
  <c r="Z16" i="21"/>
  <c r="AZ16" i="21" s="1"/>
  <c r="T18" i="21"/>
  <c r="AT18" i="21" s="1"/>
  <c r="Y19" i="21"/>
  <c r="AY19" i="21" s="1"/>
  <c r="S19" i="21"/>
  <c r="AS19" i="21" s="1"/>
  <c r="Y9" i="21"/>
  <c r="AY9" i="21" s="1"/>
  <c r="AB11" i="21"/>
  <c r="BB11" i="21" s="1"/>
  <c r="AA13" i="21"/>
  <c r="BA13" i="21" s="1"/>
  <c r="AB14" i="21"/>
  <c r="BB14" i="21" s="1"/>
  <c r="Y15" i="21"/>
  <c r="AY15" i="21" s="1"/>
  <c r="V16" i="21"/>
  <c r="AV16" i="21" s="1"/>
  <c r="AD16" i="21"/>
  <c r="BD16" i="21" s="1"/>
  <c r="X18" i="21"/>
  <c r="AX18" i="21" s="1"/>
  <c r="U19" i="21"/>
  <c r="AU19" i="21" s="1"/>
  <c r="S15" i="21"/>
  <c r="AS15" i="21" s="1"/>
  <c r="V10" i="21"/>
  <c r="AV10" i="21" s="1"/>
  <c r="T14" i="21"/>
  <c r="AT14" i="21" s="1"/>
  <c r="AB15" i="21"/>
  <c r="BB15" i="21" s="1"/>
  <c r="Y16" i="21"/>
  <c r="AY16" i="21" s="1"/>
  <c r="AD17" i="21"/>
  <c r="BD17" i="21" s="1"/>
  <c r="X19" i="21"/>
  <c r="AX19" i="21" s="1"/>
  <c r="S18" i="21"/>
  <c r="AS18" i="21" s="1"/>
  <c r="AB10" i="21"/>
  <c r="BB10" i="21" s="1"/>
  <c r="X14" i="21"/>
  <c r="AX14" i="21" s="1"/>
  <c r="AC15" i="21"/>
  <c r="BC15" i="21" s="1"/>
  <c r="W17" i="21"/>
  <c r="AW17" i="21" s="1"/>
  <c r="AB18" i="21"/>
  <c r="BB18" i="21" s="1"/>
  <c r="S11" i="21"/>
  <c r="AS11" i="21" s="1"/>
  <c r="T8" i="23"/>
  <c r="AT8" i="23" s="1"/>
  <c r="X8" i="23"/>
  <c r="AX8" i="23" s="1"/>
  <c r="AB8" i="23"/>
  <c r="BB8" i="23" s="1"/>
  <c r="U9" i="23"/>
  <c r="AU9" i="23" s="1"/>
  <c r="Y9" i="23"/>
  <c r="AY9" i="23" s="1"/>
  <c r="AC9" i="23"/>
  <c r="BC9" i="23" s="1"/>
  <c r="V10" i="23"/>
  <c r="AV10" i="23" s="1"/>
  <c r="Z10" i="23"/>
  <c r="AZ10" i="23" s="1"/>
  <c r="AD10" i="23"/>
  <c r="BD10" i="23" s="1"/>
  <c r="W11" i="23"/>
  <c r="AW11" i="23" s="1"/>
  <c r="AA11" i="23"/>
  <c r="BA11" i="23" s="1"/>
  <c r="T12" i="23"/>
  <c r="AT12" i="23" s="1"/>
  <c r="X12" i="23"/>
  <c r="AX12" i="23" s="1"/>
  <c r="AB12" i="23"/>
  <c r="BB12" i="23" s="1"/>
  <c r="U13" i="23"/>
  <c r="AU13" i="23" s="1"/>
  <c r="Y13" i="23"/>
  <c r="AY13" i="23" s="1"/>
  <c r="AC13" i="23"/>
  <c r="BC13" i="23" s="1"/>
  <c r="V14" i="23"/>
  <c r="AV14" i="23" s="1"/>
  <c r="Z14" i="23"/>
  <c r="AZ14" i="23" s="1"/>
  <c r="AD14" i="23"/>
  <c r="BD14" i="23" s="1"/>
  <c r="W15" i="23"/>
  <c r="AW15" i="23" s="1"/>
  <c r="AA15" i="23"/>
  <c r="BA15" i="23" s="1"/>
  <c r="T16" i="23"/>
  <c r="AT16" i="23" s="1"/>
  <c r="X16" i="23"/>
  <c r="AX16" i="23" s="1"/>
  <c r="AB16" i="23"/>
  <c r="BB16" i="23" s="1"/>
  <c r="U17" i="23"/>
  <c r="AU17" i="23" s="1"/>
  <c r="Y17" i="23"/>
  <c r="AY17" i="23" s="1"/>
  <c r="AC17" i="23"/>
  <c r="BC17" i="23" s="1"/>
  <c r="U8" i="23"/>
  <c r="AU8" i="23" s="1"/>
  <c r="Y8" i="23"/>
  <c r="AY8" i="23" s="1"/>
  <c r="AC8" i="23"/>
  <c r="BC8" i="23" s="1"/>
  <c r="V9" i="23"/>
  <c r="AV9" i="23" s="1"/>
  <c r="Z9" i="23"/>
  <c r="AZ9" i="23" s="1"/>
  <c r="AD9" i="23"/>
  <c r="BD9" i="23" s="1"/>
  <c r="W10" i="23"/>
  <c r="AW10" i="23" s="1"/>
  <c r="AA10" i="23"/>
  <c r="BA10" i="23" s="1"/>
  <c r="T11" i="23"/>
  <c r="AT11" i="23" s="1"/>
  <c r="X11" i="23"/>
  <c r="AX11" i="23" s="1"/>
  <c r="AB11" i="23"/>
  <c r="BB11" i="23" s="1"/>
  <c r="U12" i="23"/>
  <c r="AU12" i="23" s="1"/>
  <c r="Y12" i="23"/>
  <c r="AY12" i="23" s="1"/>
  <c r="AC12" i="23"/>
  <c r="BC12" i="23" s="1"/>
  <c r="V13" i="23"/>
  <c r="AV13" i="23" s="1"/>
  <c r="Z13" i="23"/>
  <c r="AZ13" i="23" s="1"/>
  <c r="AD13" i="23"/>
  <c r="BD13" i="23" s="1"/>
  <c r="W14" i="23"/>
  <c r="AW14" i="23" s="1"/>
  <c r="AA14" i="23"/>
  <c r="BA14" i="23" s="1"/>
  <c r="T15" i="23"/>
  <c r="AT15" i="23" s="1"/>
  <c r="X15" i="23"/>
  <c r="AX15" i="23" s="1"/>
  <c r="AB15" i="23"/>
  <c r="BB15" i="23" s="1"/>
  <c r="U16" i="23"/>
  <c r="AU16" i="23" s="1"/>
  <c r="Y16" i="23"/>
  <c r="AY16" i="23" s="1"/>
  <c r="AC16" i="23"/>
  <c r="BC16" i="23" s="1"/>
  <c r="V17" i="23"/>
  <c r="AV17" i="23" s="1"/>
  <c r="Z17" i="23"/>
  <c r="AZ17" i="23" s="1"/>
  <c r="AD17" i="23"/>
  <c r="BD17" i="23" s="1"/>
  <c r="W18" i="23"/>
  <c r="AW18" i="23" s="1"/>
  <c r="AA18" i="23"/>
  <c r="BA18" i="23" s="1"/>
  <c r="T19" i="23"/>
  <c r="AT19" i="23" s="1"/>
  <c r="X19" i="23"/>
  <c r="AX19" i="23" s="1"/>
  <c r="AB19" i="23"/>
  <c r="BB19" i="23" s="1"/>
  <c r="S10" i="23"/>
  <c r="AS10" i="23" s="1"/>
  <c r="S14" i="23"/>
  <c r="AS14" i="23" s="1"/>
  <c r="S18" i="23"/>
  <c r="AS18" i="23" s="1"/>
  <c r="V8" i="23"/>
  <c r="AV8" i="23" s="1"/>
  <c r="Z8" i="23"/>
  <c r="AZ8" i="23" s="1"/>
  <c r="AD8" i="23"/>
  <c r="BD8" i="23" s="1"/>
  <c r="W9" i="23"/>
  <c r="AW9" i="23" s="1"/>
  <c r="AA9" i="23"/>
  <c r="BA9" i="23" s="1"/>
  <c r="T10" i="23"/>
  <c r="AT10" i="23" s="1"/>
  <c r="X10" i="23"/>
  <c r="AX10" i="23" s="1"/>
  <c r="AB10" i="23"/>
  <c r="BB10" i="23" s="1"/>
  <c r="U11" i="23"/>
  <c r="AU11" i="23" s="1"/>
  <c r="Y11" i="23"/>
  <c r="AY11" i="23" s="1"/>
  <c r="AC11" i="23"/>
  <c r="BC11" i="23" s="1"/>
  <c r="V12" i="23"/>
  <c r="AV12" i="23" s="1"/>
  <c r="Z12" i="23"/>
  <c r="AZ12" i="23" s="1"/>
  <c r="AD12" i="23"/>
  <c r="BD12" i="23" s="1"/>
  <c r="W13" i="23"/>
  <c r="AW13" i="23" s="1"/>
  <c r="AA13" i="23"/>
  <c r="BA13" i="23" s="1"/>
  <c r="T14" i="23"/>
  <c r="AT14" i="23" s="1"/>
  <c r="X14" i="23"/>
  <c r="AX14" i="23" s="1"/>
  <c r="AB14" i="23"/>
  <c r="BB14" i="23" s="1"/>
  <c r="U15" i="23"/>
  <c r="AU15" i="23" s="1"/>
  <c r="Y15" i="23"/>
  <c r="AY15" i="23" s="1"/>
  <c r="AC15" i="23"/>
  <c r="BC15" i="23" s="1"/>
  <c r="V16" i="23"/>
  <c r="AV16" i="23" s="1"/>
  <c r="Z16" i="23"/>
  <c r="AZ16" i="23" s="1"/>
  <c r="AD16" i="23"/>
  <c r="BD16" i="23" s="1"/>
  <c r="W17" i="23"/>
  <c r="AW17" i="23" s="1"/>
  <c r="AA17" i="23"/>
  <c r="BA17" i="23" s="1"/>
  <c r="T18" i="23"/>
  <c r="AT18" i="23" s="1"/>
  <c r="X18" i="23"/>
  <c r="AX18" i="23" s="1"/>
  <c r="AB18" i="23"/>
  <c r="BB18" i="23" s="1"/>
  <c r="U19" i="23"/>
  <c r="AU19" i="23" s="1"/>
  <c r="Y19" i="23"/>
  <c r="AY19" i="23" s="1"/>
  <c r="AC19" i="23"/>
  <c r="BC19" i="23" s="1"/>
  <c r="S11" i="23"/>
  <c r="AS11" i="23" s="1"/>
  <c r="S15" i="23"/>
  <c r="AS15" i="23" s="1"/>
  <c r="S19" i="23"/>
  <c r="AS19" i="23" s="1"/>
  <c r="W8" i="23"/>
  <c r="AW8" i="23" s="1"/>
  <c r="AB9" i="23"/>
  <c r="BB9" i="23" s="1"/>
  <c r="V11" i="23"/>
  <c r="AV11" i="23" s="1"/>
  <c r="AA12" i="23"/>
  <c r="BA12" i="23" s="1"/>
  <c r="U14" i="23"/>
  <c r="AU14" i="23" s="1"/>
  <c r="Z15" i="23"/>
  <c r="AZ15" i="23" s="1"/>
  <c r="T17" i="23"/>
  <c r="AT17" i="23" s="1"/>
  <c r="V18" i="23"/>
  <c r="AV18" i="23" s="1"/>
  <c r="AD18" i="23"/>
  <c r="BD18" i="23" s="1"/>
  <c r="AA19" i="23"/>
  <c r="BA19" i="23" s="1"/>
  <c r="S13" i="23"/>
  <c r="AS13" i="23" s="1"/>
  <c r="AA8" i="23"/>
  <c r="BA8" i="23" s="1"/>
  <c r="U10" i="23"/>
  <c r="AU10" i="23" s="1"/>
  <c r="Z11" i="23"/>
  <c r="AZ11" i="23" s="1"/>
  <c r="T13" i="23"/>
  <c r="AT13" i="23" s="1"/>
  <c r="Y14" i="23"/>
  <c r="AY14" i="23" s="1"/>
  <c r="AD15" i="23"/>
  <c r="BD15" i="23" s="1"/>
  <c r="X17" i="23"/>
  <c r="AX17" i="23" s="1"/>
  <c r="Y18" i="23"/>
  <c r="AY18" i="23" s="1"/>
  <c r="V19" i="23"/>
  <c r="AV19" i="23" s="1"/>
  <c r="AD19" i="23"/>
  <c r="BD19" i="23" s="1"/>
  <c r="S16" i="23"/>
  <c r="AS16" i="23" s="1"/>
  <c r="T9" i="23"/>
  <c r="AT9" i="23" s="1"/>
  <c r="AD11" i="23"/>
  <c r="BD11" i="23" s="1"/>
  <c r="AC14" i="23"/>
  <c r="BC14" i="23" s="1"/>
  <c r="AB17" i="23"/>
  <c r="BB17" i="23" s="1"/>
  <c r="W19" i="23"/>
  <c r="AW19" i="23" s="1"/>
  <c r="S17" i="23"/>
  <c r="AS17" i="23" s="1"/>
  <c r="X13" i="23"/>
  <c r="AX13" i="23" s="1"/>
  <c r="X9" i="23"/>
  <c r="AX9" i="23" s="1"/>
  <c r="W12" i="23"/>
  <c r="AW12" i="23" s="1"/>
  <c r="V15" i="23"/>
  <c r="AV15" i="23" s="1"/>
  <c r="U18" i="23"/>
  <c r="AU18" i="23" s="1"/>
  <c r="Z19" i="23"/>
  <c r="AZ19" i="23" s="1"/>
  <c r="S8" i="23"/>
  <c r="AS8" i="23" s="1"/>
  <c r="Y10" i="23"/>
  <c r="AY10" i="23" s="1"/>
  <c r="W16" i="23"/>
  <c r="AW16" i="23" s="1"/>
  <c r="Z18" i="23"/>
  <c r="AZ18" i="23" s="1"/>
  <c r="S9" i="23"/>
  <c r="AS9" i="23" s="1"/>
  <c r="AC10" i="23"/>
  <c r="BC10" i="23" s="1"/>
  <c r="S12" i="23"/>
  <c r="AS12" i="23" s="1"/>
  <c r="AA16" i="23"/>
  <c r="BA16" i="23" s="1"/>
  <c r="AC18" i="23"/>
  <c r="BC18" i="23" s="1"/>
  <c r="AB13" i="23"/>
  <c r="BB13" i="23" s="1"/>
  <c r="R23" i="35"/>
  <c r="X23" i="35"/>
  <c r="T8" i="4"/>
  <c r="AT8" i="4" s="1"/>
  <c r="X8" i="4"/>
  <c r="AX8" i="4" s="1"/>
  <c r="AB8" i="4"/>
  <c r="BB8" i="4" s="1"/>
  <c r="U9" i="4"/>
  <c r="AU9" i="4" s="1"/>
  <c r="Y9" i="4"/>
  <c r="AY9" i="4" s="1"/>
  <c r="AC9" i="4"/>
  <c r="BC9" i="4" s="1"/>
  <c r="V10" i="4"/>
  <c r="AV10" i="4" s="1"/>
  <c r="Z10" i="4"/>
  <c r="AZ10" i="4" s="1"/>
  <c r="AD10" i="4"/>
  <c r="BD10" i="4" s="1"/>
  <c r="W11" i="4"/>
  <c r="AW11" i="4" s="1"/>
  <c r="AA11" i="4"/>
  <c r="T12" i="4"/>
  <c r="AT12" i="4" s="1"/>
  <c r="X12" i="4"/>
  <c r="AX12" i="4" s="1"/>
  <c r="AB12" i="4"/>
  <c r="BB12" i="4" s="1"/>
  <c r="U13" i="4"/>
  <c r="AU13" i="4" s="1"/>
  <c r="Y13" i="4"/>
  <c r="AY13" i="4" s="1"/>
  <c r="AC13" i="4"/>
  <c r="BC13" i="4" s="1"/>
  <c r="V14" i="4"/>
  <c r="AV14" i="4" s="1"/>
  <c r="Z14" i="4"/>
  <c r="AZ14" i="4" s="1"/>
  <c r="AD14" i="4"/>
  <c r="BD14" i="4" s="1"/>
  <c r="W15" i="4"/>
  <c r="AW15" i="4" s="1"/>
  <c r="AA15" i="4"/>
  <c r="BA15" i="4" s="1"/>
  <c r="T16" i="4"/>
  <c r="AT16" i="4" s="1"/>
  <c r="X16" i="4"/>
  <c r="AX16" i="4" s="1"/>
  <c r="AB16" i="4"/>
  <c r="BB16" i="4" s="1"/>
  <c r="U17" i="4"/>
  <c r="AU17" i="4" s="1"/>
  <c r="Y17" i="4"/>
  <c r="AY17" i="4" s="1"/>
  <c r="AC17" i="4"/>
  <c r="BC17" i="4" s="1"/>
  <c r="V18" i="4"/>
  <c r="AV18" i="4" s="1"/>
  <c r="Z18" i="4"/>
  <c r="AZ18" i="4" s="1"/>
  <c r="AD18" i="4"/>
  <c r="BD18" i="4" s="1"/>
  <c r="W19" i="4"/>
  <c r="AW19" i="4" s="1"/>
  <c r="AA19" i="4"/>
  <c r="BA19" i="4" s="1"/>
  <c r="S9" i="4"/>
  <c r="AS9" i="4" s="1"/>
  <c r="S13" i="4"/>
  <c r="AS13" i="4" s="1"/>
  <c r="S17" i="4"/>
  <c r="AS17" i="4" s="1"/>
  <c r="U8" i="4"/>
  <c r="AU8" i="4" s="1"/>
  <c r="Y8" i="4"/>
  <c r="AY8" i="4" s="1"/>
  <c r="AC8" i="4"/>
  <c r="BC8" i="4" s="1"/>
  <c r="V9" i="4"/>
  <c r="AV9" i="4" s="1"/>
  <c r="Z9" i="4"/>
  <c r="AZ9" i="4" s="1"/>
  <c r="AD9" i="4"/>
  <c r="BD9" i="4" s="1"/>
  <c r="W10" i="4"/>
  <c r="AW10" i="4" s="1"/>
  <c r="AA10" i="4"/>
  <c r="BA10" i="4" s="1"/>
  <c r="T11" i="4"/>
  <c r="AT11" i="4" s="1"/>
  <c r="X11" i="4"/>
  <c r="AX11" i="4" s="1"/>
  <c r="AB11" i="4"/>
  <c r="BB11" i="4" s="1"/>
  <c r="U12" i="4"/>
  <c r="AU12" i="4" s="1"/>
  <c r="Y12" i="4"/>
  <c r="AY12" i="4" s="1"/>
  <c r="AC12" i="4"/>
  <c r="BC12" i="4" s="1"/>
  <c r="V13" i="4"/>
  <c r="AV13" i="4" s="1"/>
  <c r="Z13" i="4"/>
  <c r="AZ13" i="4" s="1"/>
  <c r="AD13" i="4"/>
  <c r="BD13" i="4" s="1"/>
  <c r="W14" i="4"/>
  <c r="AW14" i="4" s="1"/>
  <c r="AA14" i="4"/>
  <c r="BA14" i="4" s="1"/>
  <c r="T15" i="4"/>
  <c r="AT15" i="4" s="1"/>
  <c r="X15" i="4"/>
  <c r="AX15" i="4" s="1"/>
  <c r="AB15" i="4"/>
  <c r="BB15" i="4" s="1"/>
  <c r="U16" i="4"/>
  <c r="AU16" i="4" s="1"/>
  <c r="Y16" i="4"/>
  <c r="AY16" i="4" s="1"/>
  <c r="AC16" i="4"/>
  <c r="BC16" i="4" s="1"/>
  <c r="V17" i="4"/>
  <c r="AV17" i="4" s="1"/>
  <c r="Z17" i="4"/>
  <c r="AZ17" i="4" s="1"/>
  <c r="AD17" i="4"/>
  <c r="BD17" i="4" s="1"/>
  <c r="W18" i="4"/>
  <c r="AA18" i="4"/>
  <c r="BA18" i="4" s="1"/>
  <c r="T19" i="4"/>
  <c r="AT19" i="4" s="1"/>
  <c r="X19" i="4"/>
  <c r="AX19" i="4" s="1"/>
  <c r="AB19" i="4"/>
  <c r="BB19" i="4" s="1"/>
  <c r="S10" i="4"/>
  <c r="AS10" i="4" s="1"/>
  <c r="S14" i="4"/>
  <c r="AS14" i="4" s="1"/>
  <c r="S18" i="4"/>
  <c r="AS18" i="4" s="1"/>
  <c r="AA8" i="4"/>
  <c r="BA8" i="4" s="1"/>
  <c r="X9" i="4"/>
  <c r="AX9" i="4" s="1"/>
  <c r="Y10" i="4"/>
  <c r="AY10" i="4" s="1"/>
  <c r="V11" i="4"/>
  <c r="AV11" i="4" s="1"/>
  <c r="W12" i="4"/>
  <c r="AW12" i="4" s="1"/>
  <c r="X13" i="4"/>
  <c r="AX13" i="4" s="1"/>
  <c r="U14" i="4"/>
  <c r="AU14" i="4" s="1"/>
  <c r="V15" i="4"/>
  <c r="AV15" i="4" s="1"/>
  <c r="AD15" i="4"/>
  <c r="BD15" i="4" s="1"/>
  <c r="T17" i="4"/>
  <c r="AT17" i="4" s="1"/>
  <c r="U18" i="4"/>
  <c r="AU18" i="4" s="1"/>
  <c r="AC18" i="4"/>
  <c r="BC18" i="4" s="1"/>
  <c r="AD19" i="4"/>
  <c r="BD19" i="4" s="1"/>
  <c r="S16" i="4"/>
  <c r="AS16" i="4" s="1"/>
  <c r="V8" i="4"/>
  <c r="AV8" i="4" s="1"/>
  <c r="Z8" i="4"/>
  <c r="AZ8" i="4" s="1"/>
  <c r="AD8" i="4"/>
  <c r="BD8" i="4" s="1"/>
  <c r="W9" i="4"/>
  <c r="AW9" i="4" s="1"/>
  <c r="AA9" i="4"/>
  <c r="BA9" i="4" s="1"/>
  <c r="T10" i="4"/>
  <c r="AT10" i="4" s="1"/>
  <c r="X10" i="4"/>
  <c r="AX10" i="4" s="1"/>
  <c r="AB10" i="4"/>
  <c r="BB10" i="4" s="1"/>
  <c r="U11" i="4"/>
  <c r="AU11" i="4" s="1"/>
  <c r="Y11" i="4"/>
  <c r="AY11" i="4" s="1"/>
  <c r="AC11" i="4"/>
  <c r="BC11" i="4" s="1"/>
  <c r="V12" i="4"/>
  <c r="AV12" i="4" s="1"/>
  <c r="Z12" i="4"/>
  <c r="AZ12" i="4" s="1"/>
  <c r="AD12" i="4"/>
  <c r="BD12" i="4" s="1"/>
  <c r="W13" i="4"/>
  <c r="AW13" i="4" s="1"/>
  <c r="AA13" i="4"/>
  <c r="BA13" i="4" s="1"/>
  <c r="T14" i="4"/>
  <c r="AT14" i="4" s="1"/>
  <c r="X14" i="4"/>
  <c r="AX14" i="4" s="1"/>
  <c r="AB14" i="4"/>
  <c r="BB14" i="4" s="1"/>
  <c r="U15" i="4"/>
  <c r="AU15" i="4" s="1"/>
  <c r="Y15" i="4"/>
  <c r="AY15" i="4" s="1"/>
  <c r="AC15" i="4"/>
  <c r="BC15" i="4" s="1"/>
  <c r="V16" i="4"/>
  <c r="AV16" i="4" s="1"/>
  <c r="Z16" i="4"/>
  <c r="AZ16" i="4" s="1"/>
  <c r="AD16" i="4"/>
  <c r="BD16" i="4" s="1"/>
  <c r="W17" i="4"/>
  <c r="AW17" i="4" s="1"/>
  <c r="AA17" i="4"/>
  <c r="BA17" i="4" s="1"/>
  <c r="T18" i="4"/>
  <c r="AT18" i="4" s="1"/>
  <c r="X18" i="4"/>
  <c r="AX18" i="4" s="1"/>
  <c r="AB18" i="4"/>
  <c r="BB18" i="4" s="1"/>
  <c r="U19" i="4"/>
  <c r="AU19" i="4" s="1"/>
  <c r="Y19" i="4"/>
  <c r="AY19" i="4" s="1"/>
  <c r="AC19" i="4"/>
  <c r="BC19" i="4" s="1"/>
  <c r="S11" i="4"/>
  <c r="AS11" i="4" s="1"/>
  <c r="S15" i="4"/>
  <c r="AS15" i="4" s="1"/>
  <c r="S19" i="4"/>
  <c r="AS19" i="4" s="1"/>
  <c r="W8" i="4"/>
  <c r="AW8" i="4" s="1"/>
  <c r="T9" i="4"/>
  <c r="AT9" i="4" s="1"/>
  <c r="AB9" i="4"/>
  <c r="BB9" i="4" s="1"/>
  <c r="U10" i="4"/>
  <c r="AU10" i="4" s="1"/>
  <c r="AC10" i="4"/>
  <c r="BC10" i="4" s="1"/>
  <c r="Z11" i="4"/>
  <c r="AZ11" i="4" s="1"/>
  <c r="AD11" i="4"/>
  <c r="BD11" i="4" s="1"/>
  <c r="AA12" i="4"/>
  <c r="BA12" i="4" s="1"/>
  <c r="T13" i="4"/>
  <c r="AT13" i="4" s="1"/>
  <c r="AB13" i="4"/>
  <c r="BB13" i="4" s="1"/>
  <c r="Y14" i="4"/>
  <c r="AY14" i="4" s="1"/>
  <c r="AC14" i="4"/>
  <c r="BC14" i="4" s="1"/>
  <c r="Z15" i="4"/>
  <c r="AZ15" i="4" s="1"/>
  <c r="W16" i="4"/>
  <c r="AW16" i="4" s="1"/>
  <c r="AA16" i="4"/>
  <c r="BA16" i="4" s="1"/>
  <c r="X17" i="4"/>
  <c r="AX17" i="4" s="1"/>
  <c r="AB17" i="4"/>
  <c r="BB17" i="4" s="1"/>
  <c r="Y18" i="4"/>
  <c r="AY18" i="4" s="1"/>
  <c r="V19" i="4"/>
  <c r="AV19" i="4" s="1"/>
  <c r="Z19" i="4"/>
  <c r="AZ19" i="4" s="1"/>
  <c r="S12" i="4"/>
  <c r="AS12" i="4" s="1"/>
  <c r="S8" i="4"/>
  <c r="AS8" i="4" s="1"/>
  <c r="BA11" i="4"/>
  <c r="AW18" i="4"/>
  <c r="P23" i="35"/>
  <c r="L38" i="9"/>
  <c r="V36" i="35"/>
  <c r="Q10" i="35"/>
  <c r="X10" i="35" s="1"/>
  <c r="N13" i="35" s="1"/>
  <c r="AE18" i="20"/>
  <c r="AE14" i="20"/>
  <c r="AF13" i="20"/>
  <c r="AF14" i="20" s="1"/>
  <c r="AF15" i="20" s="1"/>
  <c r="I264" i="6"/>
  <c r="AL264" i="6"/>
  <c r="I351" i="6"/>
  <c r="I303" i="6"/>
  <c r="AL303" i="6"/>
  <c r="AL351" i="6"/>
  <c r="AL265" i="6"/>
  <c r="AL304" i="6"/>
  <c r="AL352" i="6"/>
  <c r="I304" i="6"/>
  <c r="I352" i="6"/>
  <c r="I265" i="6"/>
  <c r="E13" i="13"/>
  <c r="BW21" i="23" l="1"/>
  <c r="BY21" i="23"/>
  <c r="BX21" i="23"/>
  <c r="V23" i="35"/>
  <c r="AI8" i="21"/>
  <c r="BR8" i="21" s="1"/>
  <c r="AM8" i="21"/>
  <c r="BV8" i="21" s="1"/>
  <c r="AQ8" i="21"/>
  <c r="BZ8" i="21" s="1"/>
  <c r="AJ9" i="21"/>
  <c r="BS9" i="21" s="1"/>
  <c r="AN9" i="21"/>
  <c r="BW9" i="21" s="1"/>
  <c r="AG10" i="21"/>
  <c r="BP10" i="21" s="1"/>
  <c r="AK10" i="21"/>
  <c r="BT10" i="21" s="1"/>
  <c r="AO10" i="21"/>
  <c r="BX10" i="21" s="1"/>
  <c r="AH11" i="21"/>
  <c r="BQ11" i="21" s="1"/>
  <c r="AL11" i="21"/>
  <c r="BU11" i="21" s="1"/>
  <c r="AP11" i="21"/>
  <c r="BY11" i="21" s="1"/>
  <c r="AI12" i="21"/>
  <c r="BR12" i="21" s="1"/>
  <c r="AM12" i="21"/>
  <c r="BV12" i="21" s="1"/>
  <c r="AQ12" i="21"/>
  <c r="BZ12" i="21" s="1"/>
  <c r="AJ13" i="21"/>
  <c r="BS13" i="21" s="1"/>
  <c r="AN13" i="21"/>
  <c r="BW13" i="21" s="1"/>
  <c r="AG14" i="21"/>
  <c r="BP14" i="21" s="1"/>
  <c r="AK14" i="21"/>
  <c r="BT14" i="21" s="1"/>
  <c r="AO14" i="21"/>
  <c r="BX14" i="21" s="1"/>
  <c r="AH15" i="21"/>
  <c r="BQ15" i="21" s="1"/>
  <c r="AL15" i="21"/>
  <c r="BU15" i="21" s="1"/>
  <c r="AP15" i="21"/>
  <c r="BY15" i="21" s="1"/>
  <c r="AI16" i="21"/>
  <c r="BR16" i="21" s="1"/>
  <c r="AM16" i="21"/>
  <c r="BV16" i="21" s="1"/>
  <c r="AQ16" i="21"/>
  <c r="BZ16" i="21" s="1"/>
  <c r="AJ17" i="21"/>
  <c r="BS17" i="21" s="1"/>
  <c r="AN17" i="21"/>
  <c r="BW17" i="21" s="1"/>
  <c r="AG18" i="21"/>
  <c r="BP18" i="21" s="1"/>
  <c r="AK18" i="21"/>
  <c r="BT18" i="21" s="1"/>
  <c r="AO18" i="21"/>
  <c r="BX18" i="21" s="1"/>
  <c r="AH19" i="21"/>
  <c r="BQ19" i="21" s="1"/>
  <c r="AL19" i="21"/>
  <c r="BU19" i="21" s="1"/>
  <c r="AP19" i="21"/>
  <c r="BY19" i="21" s="1"/>
  <c r="AF11" i="21"/>
  <c r="BO11" i="21" s="1"/>
  <c r="AF15" i="21"/>
  <c r="BO15" i="21" s="1"/>
  <c r="AF19" i="21"/>
  <c r="BO19" i="21" s="1"/>
  <c r="AJ8" i="21"/>
  <c r="BS8" i="21" s="1"/>
  <c r="AN8" i="21"/>
  <c r="BW8" i="21" s="1"/>
  <c r="AG9" i="21"/>
  <c r="BP9" i="21" s="1"/>
  <c r="AK9" i="21"/>
  <c r="BT9" i="21" s="1"/>
  <c r="AO9" i="21"/>
  <c r="BX9" i="21" s="1"/>
  <c r="AH10" i="21"/>
  <c r="BQ10" i="21" s="1"/>
  <c r="AL10" i="21"/>
  <c r="BU10" i="21" s="1"/>
  <c r="AP10" i="21"/>
  <c r="BY10" i="21" s="1"/>
  <c r="AI11" i="21"/>
  <c r="BR11" i="21" s="1"/>
  <c r="AM11" i="21"/>
  <c r="BV11" i="21" s="1"/>
  <c r="AQ11" i="21"/>
  <c r="BZ11" i="21" s="1"/>
  <c r="AJ12" i="21"/>
  <c r="BS12" i="21" s="1"/>
  <c r="AN12" i="21"/>
  <c r="BW12" i="21" s="1"/>
  <c r="AG13" i="21"/>
  <c r="BP13" i="21" s="1"/>
  <c r="AK13" i="21"/>
  <c r="BT13" i="21" s="1"/>
  <c r="AO13" i="21"/>
  <c r="BX13" i="21" s="1"/>
  <c r="AH14" i="21"/>
  <c r="BQ14" i="21" s="1"/>
  <c r="AL14" i="21"/>
  <c r="BU14" i="21" s="1"/>
  <c r="AP14" i="21"/>
  <c r="BY14" i="21" s="1"/>
  <c r="AI15" i="21"/>
  <c r="BR15" i="21" s="1"/>
  <c r="AM15" i="21"/>
  <c r="BV15" i="21" s="1"/>
  <c r="AQ15" i="21"/>
  <c r="BZ15" i="21" s="1"/>
  <c r="AJ16" i="21"/>
  <c r="BS16" i="21" s="1"/>
  <c r="AN16" i="21"/>
  <c r="BW16" i="21" s="1"/>
  <c r="AG17" i="21"/>
  <c r="BP17" i="21" s="1"/>
  <c r="AK17" i="21"/>
  <c r="BT17" i="21" s="1"/>
  <c r="AO17" i="21"/>
  <c r="BX17" i="21" s="1"/>
  <c r="AH18" i="21"/>
  <c r="BQ18" i="21" s="1"/>
  <c r="AL18" i="21"/>
  <c r="BU18" i="21" s="1"/>
  <c r="AP18" i="21"/>
  <c r="BY18" i="21" s="1"/>
  <c r="AI19" i="21"/>
  <c r="BR19" i="21" s="1"/>
  <c r="AM19" i="21"/>
  <c r="BV19" i="21" s="1"/>
  <c r="AQ19" i="21"/>
  <c r="BZ19" i="21" s="1"/>
  <c r="AF12" i="21"/>
  <c r="BO12" i="21" s="1"/>
  <c r="AF16" i="21"/>
  <c r="BO16" i="21" s="1"/>
  <c r="AF8" i="21"/>
  <c r="BO8" i="21" s="1"/>
  <c r="AG8" i="21"/>
  <c r="BP8" i="21" s="1"/>
  <c r="AK8" i="21"/>
  <c r="BT8" i="21" s="1"/>
  <c r="AO8" i="21"/>
  <c r="BX8" i="21" s="1"/>
  <c r="AH9" i="21"/>
  <c r="BQ9" i="21" s="1"/>
  <c r="AL9" i="21"/>
  <c r="BU9" i="21" s="1"/>
  <c r="AP9" i="21"/>
  <c r="BY9" i="21" s="1"/>
  <c r="AI10" i="21"/>
  <c r="BR10" i="21" s="1"/>
  <c r="AM10" i="21"/>
  <c r="BV10" i="21" s="1"/>
  <c r="AQ10" i="21"/>
  <c r="BZ10" i="21" s="1"/>
  <c r="AJ11" i="21"/>
  <c r="BS11" i="21" s="1"/>
  <c r="AN11" i="21"/>
  <c r="BW11" i="21" s="1"/>
  <c r="AG12" i="21"/>
  <c r="BP12" i="21" s="1"/>
  <c r="AK12" i="21"/>
  <c r="BT12" i="21" s="1"/>
  <c r="AO12" i="21"/>
  <c r="BX12" i="21" s="1"/>
  <c r="AH13" i="21"/>
  <c r="BQ13" i="21" s="1"/>
  <c r="AL13" i="21"/>
  <c r="BU13" i="21" s="1"/>
  <c r="AP13" i="21"/>
  <c r="BY13" i="21" s="1"/>
  <c r="AI14" i="21"/>
  <c r="BR14" i="21" s="1"/>
  <c r="AM14" i="21"/>
  <c r="BV14" i="21" s="1"/>
  <c r="AQ14" i="21"/>
  <c r="BZ14" i="21" s="1"/>
  <c r="AJ15" i="21"/>
  <c r="BS15" i="21" s="1"/>
  <c r="AN15" i="21"/>
  <c r="BW15" i="21" s="1"/>
  <c r="AG16" i="21"/>
  <c r="BP16" i="21" s="1"/>
  <c r="AK16" i="21"/>
  <c r="BT16" i="21" s="1"/>
  <c r="AO16" i="21"/>
  <c r="BX16" i="21" s="1"/>
  <c r="AH17" i="21"/>
  <c r="BQ17" i="21" s="1"/>
  <c r="AL17" i="21"/>
  <c r="BU17" i="21" s="1"/>
  <c r="AP17" i="21"/>
  <c r="BY17" i="21" s="1"/>
  <c r="AI18" i="21"/>
  <c r="BR18" i="21" s="1"/>
  <c r="AM18" i="21"/>
  <c r="BV18" i="21" s="1"/>
  <c r="AQ18" i="21"/>
  <c r="BZ18" i="21" s="1"/>
  <c r="AJ19" i="21"/>
  <c r="BS19" i="21" s="1"/>
  <c r="AN19" i="21"/>
  <c r="BW19" i="21" s="1"/>
  <c r="AF9" i="21"/>
  <c r="BO9" i="21" s="1"/>
  <c r="AF13" i="21"/>
  <c r="BO13" i="21" s="1"/>
  <c r="AF17" i="21"/>
  <c r="BO17" i="21" s="1"/>
  <c r="AP8" i="21"/>
  <c r="BY8" i="21" s="1"/>
  <c r="AJ10" i="21"/>
  <c r="BS10" i="21" s="1"/>
  <c r="AO11" i="21"/>
  <c r="BX11" i="21" s="1"/>
  <c r="AI13" i="21"/>
  <c r="BR13" i="21" s="1"/>
  <c r="AN14" i="21"/>
  <c r="BW14" i="21" s="1"/>
  <c r="AH16" i="21"/>
  <c r="BQ16" i="21" s="1"/>
  <c r="AM17" i="21"/>
  <c r="BV17" i="21" s="1"/>
  <c r="AG19" i="21"/>
  <c r="BP19" i="21" s="1"/>
  <c r="AF14" i="21"/>
  <c r="BO14" i="21" s="1"/>
  <c r="AI9" i="21"/>
  <c r="BR9" i="21" s="1"/>
  <c r="AN10" i="21"/>
  <c r="BW10" i="21" s="1"/>
  <c r="AH12" i="21"/>
  <c r="BQ12" i="21" s="1"/>
  <c r="AM13" i="21"/>
  <c r="BV13" i="21" s="1"/>
  <c r="AG15" i="21"/>
  <c r="BP15" i="21" s="1"/>
  <c r="AL16" i="21"/>
  <c r="BU16" i="21" s="1"/>
  <c r="AQ17" i="21"/>
  <c r="BZ17" i="21" s="1"/>
  <c r="AK19" i="21"/>
  <c r="BT19" i="21" s="1"/>
  <c r="AF18" i="21"/>
  <c r="BO18" i="21" s="1"/>
  <c r="AP12" i="21"/>
  <c r="BY12" i="21" s="1"/>
  <c r="AI17" i="21"/>
  <c r="BR17" i="21" s="1"/>
  <c r="AF10" i="21"/>
  <c r="BO10" i="21" s="1"/>
  <c r="AH8" i="21"/>
  <c r="BQ8" i="21" s="1"/>
  <c r="AM9" i="21"/>
  <c r="BV9" i="21" s="1"/>
  <c r="AG11" i="21"/>
  <c r="BP11" i="21" s="1"/>
  <c r="AL12" i="21"/>
  <c r="BU12" i="21" s="1"/>
  <c r="AQ13" i="21"/>
  <c r="BZ13" i="21" s="1"/>
  <c r="AK15" i="21"/>
  <c r="BT15" i="21" s="1"/>
  <c r="AP16" i="21"/>
  <c r="BY16" i="21" s="1"/>
  <c r="AJ18" i="21"/>
  <c r="BS18" i="21" s="1"/>
  <c r="AO19" i="21"/>
  <c r="BX19" i="21" s="1"/>
  <c r="AL8" i="21"/>
  <c r="BU8" i="21" s="1"/>
  <c r="AQ9" i="21"/>
  <c r="BZ9" i="21" s="1"/>
  <c r="AK11" i="21"/>
  <c r="BT11" i="21" s="1"/>
  <c r="AJ14" i="21"/>
  <c r="BS14" i="21" s="1"/>
  <c r="AO15" i="21"/>
  <c r="BX15" i="21" s="1"/>
  <c r="AN18" i="21"/>
  <c r="BW18" i="21" s="1"/>
  <c r="R10" i="35"/>
  <c r="B37" i="9"/>
  <c r="AG15" i="20"/>
  <c r="AF16" i="20"/>
  <c r="AG14" i="20"/>
  <c r="AG13" i="20"/>
  <c r="AE19" i="20"/>
  <c r="BW21" i="21" l="1"/>
  <c r="BY21" i="21"/>
  <c r="BX21" i="21"/>
  <c r="P10" i="35"/>
  <c r="AE20" i="20"/>
  <c r="AG16" i="20"/>
  <c r="AF17" i="20"/>
  <c r="R108" i="6"/>
  <c r="R290" i="6" s="1"/>
  <c r="R474" i="6" s="1"/>
  <c r="AG8" i="4" l="1"/>
  <c r="AK8" i="4"/>
  <c r="BV8" i="4" s="1"/>
  <c r="AO8" i="4"/>
  <c r="BZ8" i="4" s="1"/>
  <c r="AH9" i="4"/>
  <c r="BS9" i="4" s="1"/>
  <c r="AL9" i="4"/>
  <c r="AP9" i="4"/>
  <c r="CA9" i="4" s="1"/>
  <c r="AI10" i="4"/>
  <c r="BT10" i="4" s="1"/>
  <c r="AM10" i="4"/>
  <c r="BX10" i="4" s="1"/>
  <c r="AQ10" i="4"/>
  <c r="AJ11" i="4"/>
  <c r="BU11" i="4" s="1"/>
  <c r="AN11" i="4"/>
  <c r="BY11" i="4" s="1"/>
  <c r="AG12" i="4"/>
  <c r="BR12" i="4" s="1"/>
  <c r="AK12" i="4"/>
  <c r="AO12" i="4"/>
  <c r="BZ12" i="4" s="1"/>
  <c r="AH13" i="4"/>
  <c r="BS13" i="4" s="1"/>
  <c r="AL13" i="4"/>
  <c r="BW13" i="4" s="1"/>
  <c r="AP13" i="4"/>
  <c r="AI14" i="4"/>
  <c r="BT14" i="4" s="1"/>
  <c r="AM14" i="4"/>
  <c r="BX14" i="4" s="1"/>
  <c r="AQ14" i="4"/>
  <c r="CB14" i="4" s="1"/>
  <c r="AJ15" i="4"/>
  <c r="AN15" i="4"/>
  <c r="BY15" i="4" s="1"/>
  <c r="AG16" i="4"/>
  <c r="BR16" i="4" s="1"/>
  <c r="AK16" i="4"/>
  <c r="BV16" i="4" s="1"/>
  <c r="AO16" i="4"/>
  <c r="AH17" i="4"/>
  <c r="BS17" i="4" s="1"/>
  <c r="AL17" i="4"/>
  <c r="BW17" i="4" s="1"/>
  <c r="AP17" i="4"/>
  <c r="CA17" i="4" s="1"/>
  <c r="AI18" i="4"/>
  <c r="AM18" i="4"/>
  <c r="BX18" i="4" s="1"/>
  <c r="AQ18" i="4"/>
  <c r="CB18" i="4" s="1"/>
  <c r="AJ19" i="4"/>
  <c r="BU19" i="4" s="1"/>
  <c r="AN19" i="4"/>
  <c r="AF9" i="4"/>
  <c r="BQ9" i="4" s="1"/>
  <c r="AF13" i="4"/>
  <c r="BQ13" i="4" s="1"/>
  <c r="AF17" i="4"/>
  <c r="BQ17" i="4" s="1"/>
  <c r="AN8" i="4"/>
  <c r="BY8" i="4" s="1"/>
  <c r="AI11" i="4"/>
  <c r="BT11" i="4" s="1"/>
  <c r="AJ12" i="4"/>
  <c r="BU12" i="4" s="1"/>
  <c r="AG13" i="4"/>
  <c r="BR13" i="4" s="1"/>
  <c r="AH8" i="4"/>
  <c r="AL8" i="4"/>
  <c r="BW8" i="4" s="1"/>
  <c r="AP8" i="4"/>
  <c r="CA8" i="4" s="1"/>
  <c r="AI9" i="4"/>
  <c r="BT9" i="4" s="1"/>
  <c r="AM9" i="4"/>
  <c r="AQ9" i="4"/>
  <c r="CB9" i="4" s="1"/>
  <c r="AJ10" i="4"/>
  <c r="BU10" i="4" s="1"/>
  <c r="AN10" i="4"/>
  <c r="BY10" i="4" s="1"/>
  <c r="AG11" i="4"/>
  <c r="AK11" i="4"/>
  <c r="BV11" i="4" s="1"/>
  <c r="AO11" i="4"/>
  <c r="BZ11" i="4" s="1"/>
  <c r="AH12" i="4"/>
  <c r="BS12" i="4" s="1"/>
  <c r="AL12" i="4"/>
  <c r="AP12" i="4"/>
  <c r="CA12" i="4" s="1"/>
  <c r="AI13" i="4"/>
  <c r="BT13" i="4" s="1"/>
  <c r="AM13" i="4"/>
  <c r="BX13" i="4" s="1"/>
  <c r="AQ13" i="4"/>
  <c r="AJ14" i="4"/>
  <c r="BU14" i="4" s="1"/>
  <c r="AN14" i="4"/>
  <c r="BY14" i="4" s="1"/>
  <c r="AG15" i="4"/>
  <c r="BR15" i="4" s="1"/>
  <c r="AK15" i="4"/>
  <c r="AO15" i="4"/>
  <c r="BZ15" i="4" s="1"/>
  <c r="AH16" i="4"/>
  <c r="BS16" i="4" s="1"/>
  <c r="AL16" i="4"/>
  <c r="BW16" i="4" s="1"/>
  <c r="AP16" i="4"/>
  <c r="AI17" i="4"/>
  <c r="BT17" i="4" s="1"/>
  <c r="AM17" i="4"/>
  <c r="BX17" i="4" s="1"/>
  <c r="AQ17" i="4"/>
  <c r="CB17" i="4" s="1"/>
  <c r="AJ18" i="4"/>
  <c r="AN18" i="4"/>
  <c r="BY18" i="4" s="1"/>
  <c r="AG19" i="4"/>
  <c r="BR19" i="4" s="1"/>
  <c r="AK19" i="4"/>
  <c r="BV19" i="4" s="1"/>
  <c r="AO19" i="4"/>
  <c r="BZ19" i="4" s="1"/>
  <c r="AF10" i="4"/>
  <c r="BQ10" i="4" s="1"/>
  <c r="AF14" i="4"/>
  <c r="BQ14" i="4" s="1"/>
  <c r="AF18" i="4"/>
  <c r="BQ18" i="4" s="1"/>
  <c r="AK9" i="4"/>
  <c r="BV9" i="4" s="1"/>
  <c r="AI8" i="4"/>
  <c r="BT8" i="4" s="1"/>
  <c r="AM8" i="4"/>
  <c r="BX8" i="4" s="1"/>
  <c r="AQ8" i="4"/>
  <c r="CB8" i="4" s="1"/>
  <c r="AJ9" i="4"/>
  <c r="BU9" i="4" s="1"/>
  <c r="AN9" i="4"/>
  <c r="BY9" i="4" s="1"/>
  <c r="AG10" i="4"/>
  <c r="BR10" i="4" s="1"/>
  <c r="AK10" i="4"/>
  <c r="BV10" i="4" s="1"/>
  <c r="AO10" i="4"/>
  <c r="BZ10" i="4" s="1"/>
  <c r="AH11" i="4"/>
  <c r="BS11" i="4" s="1"/>
  <c r="AL11" i="4"/>
  <c r="BW11" i="4" s="1"/>
  <c r="AP11" i="4"/>
  <c r="CA11" i="4" s="1"/>
  <c r="AI12" i="4"/>
  <c r="BT12" i="4" s="1"/>
  <c r="AM12" i="4"/>
  <c r="BX12" i="4" s="1"/>
  <c r="AQ12" i="4"/>
  <c r="CB12" i="4" s="1"/>
  <c r="AJ13" i="4"/>
  <c r="BU13" i="4" s="1"/>
  <c r="AN13" i="4"/>
  <c r="BY13" i="4" s="1"/>
  <c r="AG14" i="4"/>
  <c r="BR14" i="4" s="1"/>
  <c r="AK14" i="4"/>
  <c r="BV14" i="4" s="1"/>
  <c r="AO14" i="4"/>
  <c r="BZ14" i="4" s="1"/>
  <c r="AH15" i="4"/>
  <c r="BS15" i="4" s="1"/>
  <c r="AL15" i="4"/>
  <c r="BW15" i="4" s="1"/>
  <c r="AP15" i="4"/>
  <c r="CA15" i="4" s="1"/>
  <c r="AI16" i="4"/>
  <c r="BT16" i="4" s="1"/>
  <c r="AM16" i="4"/>
  <c r="BX16" i="4" s="1"/>
  <c r="AQ16" i="4"/>
  <c r="CB16" i="4" s="1"/>
  <c r="AJ17" i="4"/>
  <c r="BU17" i="4" s="1"/>
  <c r="AN17" i="4"/>
  <c r="BY17" i="4" s="1"/>
  <c r="AG18" i="4"/>
  <c r="BR18" i="4" s="1"/>
  <c r="AK18" i="4"/>
  <c r="BV18" i="4" s="1"/>
  <c r="AO18" i="4"/>
  <c r="BZ18" i="4" s="1"/>
  <c r="AH19" i="4"/>
  <c r="BS19" i="4" s="1"/>
  <c r="AL19" i="4"/>
  <c r="BW19" i="4" s="1"/>
  <c r="AP19" i="4"/>
  <c r="CA19" i="4" s="1"/>
  <c r="AF11" i="4"/>
  <c r="BQ11" i="4" s="1"/>
  <c r="AF15" i="4"/>
  <c r="BQ15" i="4" s="1"/>
  <c r="AF19" i="4"/>
  <c r="BQ19" i="4" s="1"/>
  <c r="AJ8" i="4"/>
  <c r="BU8" i="4" s="1"/>
  <c r="AG9" i="4"/>
  <c r="BR9" i="4" s="1"/>
  <c r="AO9" i="4"/>
  <c r="BZ9" i="4" s="1"/>
  <c r="AH10" i="4"/>
  <c r="BS10" i="4" s="1"/>
  <c r="AL10" i="4"/>
  <c r="BW10" i="4" s="1"/>
  <c r="AP10" i="4"/>
  <c r="CA10" i="4" s="1"/>
  <c r="AM11" i="4"/>
  <c r="BX11" i="4" s="1"/>
  <c r="AQ11" i="4"/>
  <c r="CB11" i="4" s="1"/>
  <c r="AN12" i="4"/>
  <c r="BY12" i="4" s="1"/>
  <c r="AK13" i="4"/>
  <c r="BV13" i="4" s="1"/>
  <c r="AP14" i="4"/>
  <c r="CA14" i="4" s="1"/>
  <c r="AJ16" i="4"/>
  <c r="BU16" i="4" s="1"/>
  <c r="AO17" i="4"/>
  <c r="BZ17" i="4" s="1"/>
  <c r="AI19" i="4"/>
  <c r="BT19" i="4" s="1"/>
  <c r="AF16" i="4"/>
  <c r="BQ16" i="4" s="1"/>
  <c r="AK17" i="4"/>
  <c r="BV17" i="4" s="1"/>
  <c r="AO13" i="4"/>
  <c r="BZ13" i="4" s="1"/>
  <c r="AI15" i="4"/>
  <c r="BT15" i="4" s="1"/>
  <c r="AN16" i="4"/>
  <c r="BY16" i="4" s="1"/>
  <c r="AH18" i="4"/>
  <c r="BS18" i="4" s="1"/>
  <c r="AM19" i="4"/>
  <c r="BX19" i="4" s="1"/>
  <c r="AF8" i="4"/>
  <c r="BQ8" i="4" s="1"/>
  <c r="AL14" i="4"/>
  <c r="BW14" i="4" s="1"/>
  <c r="AP18" i="4"/>
  <c r="CA18" i="4" s="1"/>
  <c r="AH14" i="4"/>
  <c r="BS14" i="4" s="1"/>
  <c r="AM15" i="4"/>
  <c r="BX15" i="4" s="1"/>
  <c r="AG17" i="4"/>
  <c r="BR17" i="4" s="1"/>
  <c r="AL18" i="4"/>
  <c r="BW18" i="4" s="1"/>
  <c r="AQ19" i="4"/>
  <c r="CB19" i="4" s="1"/>
  <c r="AQ15" i="4"/>
  <c r="CB15" i="4" s="1"/>
  <c r="AF12" i="4"/>
  <c r="BQ12" i="4" s="1"/>
  <c r="CB10" i="4"/>
  <c r="BU18" i="4"/>
  <c r="CA16" i="4"/>
  <c r="BV15" i="4"/>
  <c r="CB13" i="4"/>
  <c r="BW12" i="4"/>
  <c r="BR11" i="4"/>
  <c r="BX9" i="4"/>
  <c r="BS8" i="4"/>
  <c r="BY19" i="4"/>
  <c r="BT18" i="4"/>
  <c r="BZ16" i="4"/>
  <c r="BU15" i="4"/>
  <c r="CA13" i="4"/>
  <c r="BV12" i="4"/>
  <c r="BW9" i="4"/>
  <c r="BR8" i="4"/>
  <c r="V10" i="35"/>
  <c r="AF18" i="20"/>
  <c r="AG17" i="20"/>
  <c r="AE21" i="20"/>
  <c r="L128" i="6"/>
  <c r="L310" i="6" s="1"/>
  <c r="N26" i="35" l="1"/>
  <c r="N42" i="35"/>
  <c r="N29" i="35"/>
  <c r="N39" i="35"/>
  <c r="N16" i="35"/>
  <c r="AE22" i="20"/>
  <c r="AF19" i="20"/>
  <c r="AG18" i="20"/>
  <c r="L494" i="6"/>
  <c r="T25" i="7"/>
  <c r="T24" i="7"/>
  <c r="V54" i="21" l="1"/>
  <c r="AV54" i="21" s="1"/>
  <c r="AA55" i="21"/>
  <c r="BA55" i="21" s="1"/>
  <c r="U57" i="21"/>
  <c r="AU57" i="21" s="1"/>
  <c r="Z58" i="21"/>
  <c r="AZ58" i="21" s="1"/>
  <c r="T60" i="21"/>
  <c r="AT60" i="21" s="1"/>
  <c r="Y61" i="21"/>
  <c r="AY61" i="21" s="1"/>
  <c r="AA54" i="21"/>
  <c r="BA54" i="21" s="1"/>
  <c r="U56" i="21"/>
  <c r="AU56" i="21" s="1"/>
  <c r="Z57" i="21"/>
  <c r="AZ57" i="21" s="1"/>
  <c r="T59" i="21"/>
  <c r="AT59" i="21" s="1"/>
  <c r="Y60" i="21"/>
  <c r="AY60" i="21" s="1"/>
  <c r="AD61" i="21"/>
  <c r="BD61" i="21" s="1"/>
  <c r="X63" i="21"/>
  <c r="AX63" i="21" s="1"/>
  <c r="Z54" i="21"/>
  <c r="AZ54" i="21" s="1"/>
  <c r="T56" i="21"/>
  <c r="AT56" i="21" s="1"/>
  <c r="Y57" i="21"/>
  <c r="AY57" i="21" s="1"/>
  <c r="AD58" i="21"/>
  <c r="BD58" i="21" s="1"/>
  <c r="X60" i="21"/>
  <c r="AX60" i="21" s="1"/>
  <c r="AC61" i="21"/>
  <c r="BC61" i="21" s="1"/>
  <c r="T55" i="21"/>
  <c r="AT55" i="21" s="1"/>
  <c r="Y56" i="21"/>
  <c r="AY56" i="21" s="1"/>
  <c r="AD57" i="21"/>
  <c r="BD57" i="21" s="1"/>
  <c r="X59" i="21"/>
  <c r="AX59" i="21" s="1"/>
  <c r="AC60" i="21"/>
  <c r="BC60" i="21" s="1"/>
  <c r="W62" i="21"/>
  <c r="AW62" i="21" s="1"/>
  <c r="AB63" i="21"/>
  <c r="BB63" i="21" s="1"/>
  <c r="AD54" i="21"/>
  <c r="BD54" i="21" s="1"/>
  <c r="X56" i="21"/>
  <c r="AX56" i="21" s="1"/>
  <c r="AC57" i="21"/>
  <c r="BC57" i="21" s="1"/>
  <c r="W59" i="21"/>
  <c r="AW59" i="21" s="1"/>
  <c r="AB60" i="21"/>
  <c r="BB60" i="21" s="1"/>
  <c r="V62" i="21"/>
  <c r="AV62" i="21" s="1"/>
  <c r="X55" i="21"/>
  <c r="AX55" i="21" s="1"/>
  <c r="AC56" i="21"/>
  <c r="BC56" i="21" s="1"/>
  <c r="W58" i="21"/>
  <c r="AW58" i="21" s="1"/>
  <c r="AB59" i="21"/>
  <c r="BB59" i="21" s="1"/>
  <c r="V61" i="21"/>
  <c r="AV61" i="21" s="1"/>
  <c r="AA62" i="21"/>
  <c r="BA62" i="21" s="1"/>
  <c r="U64" i="21"/>
  <c r="AU64" i="21" s="1"/>
  <c r="W55" i="21"/>
  <c r="AW55" i="21" s="1"/>
  <c r="AB56" i="21"/>
  <c r="BB56" i="21" s="1"/>
  <c r="V58" i="21"/>
  <c r="AV58" i="21" s="1"/>
  <c r="AA59" i="21"/>
  <c r="BA59" i="21" s="1"/>
  <c r="U61" i="21"/>
  <c r="AU61" i="21" s="1"/>
  <c r="W54" i="21"/>
  <c r="AW54" i="21" s="1"/>
  <c r="AB55" i="21"/>
  <c r="BB55" i="21" s="1"/>
  <c r="V57" i="21"/>
  <c r="AV57" i="21" s="1"/>
  <c r="AA58" i="21"/>
  <c r="BA58" i="21" s="1"/>
  <c r="U60" i="21"/>
  <c r="AU60" i="21" s="1"/>
  <c r="Z61" i="21"/>
  <c r="AZ61" i="21" s="1"/>
  <c r="T63" i="21"/>
  <c r="AT63" i="21" s="1"/>
  <c r="Y64" i="21"/>
  <c r="AY64" i="21" s="1"/>
  <c r="AC64" i="21"/>
  <c r="BC64" i="21" s="1"/>
  <c r="S58" i="21"/>
  <c r="AS58" i="21" s="1"/>
  <c r="V55" i="21"/>
  <c r="AV55" i="21" s="1"/>
  <c r="U58" i="21"/>
  <c r="AU58" i="21" s="1"/>
  <c r="T61" i="21"/>
  <c r="AT61" i="21" s="1"/>
  <c r="Y63" i="21"/>
  <c r="AY63" i="21" s="1"/>
  <c r="X65" i="21"/>
  <c r="AX65" i="21" s="1"/>
  <c r="V56" i="21"/>
  <c r="AV56" i="21" s="1"/>
  <c r="U59" i="21"/>
  <c r="AU59" i="21" s="1"/>
  <c r="T62" i="21"/>
  <c r="AT62" i="21" s="1"/>
  <c r="T64" i="21"/>
  <c r="AT64" i="21" s="1"/>
  <c r="S55" i="21"/>
  <c r="AS55" i="21" s="1"/>
  <c r="U55" i="21"/>
  <c r="AU55" i="21" s="1"/>
  <c r="AD60" i="21"/>
  <c r="BD60" i="21" s="1"/>
  <c r="W65" i="21"/>
  <c r="AW65" i="21" s="1"/>
  <c r="AA61" i="21"/>
  <c r="BA61" i="21" s="1"/>
  <c r="U54" i="21"/>
  <c r="AU54" i="21" s="1"/>
  <c r="AD59" i="21"/>
  <c r="BD59" i="21" s="1"/>
  <c r="AA64" i="21"/>
  <c r="BA64" i="21" s="1"/>
  <c r="V60" i="21"/>
  <c r="AV60" i="21" s="1"/>
  <c r="AC54" i="21"/>
  <c r="BC54" i="21" s="1"/>
  <c r="W56" i="21"/>
  <c r="AW56" i="21" s="1"/>
  <c r="V65" i="21"/>
  <c r="AV65" i="21" s="1"/>
  <c r="S62" i="21"/>
  <c r="AS62" i="21" s="1"/>
  <c r="AD55" i="21"/>
  <c r="BD55" i="21" s="1"/>
  <c r="AC58" i="21"/>
  <c r="BC58" i="21" s="1"/>
  <c r="AB61" i="21"/>
  <c r="BB61" i="21" s="1"/>
  <c r="AD63" i="21"/>
  <c r="BD63" i="21" s="1"/>
  <c r="AC65" i="21"/>
  <c r="BC65" i="21" s="1"/>
  <c r="T54" i="21"/>
  <c r="AT54" i="21" s="1"/>
  <c r="AD56" i="21"/>
  <c r="BD56" i="21" s="1"/>
  <c r="AC59" i="21"/>
  <c r="BC59" i="21" s="1"/>
  <c r="Z62" i="21"/>
  <c r="AZ62" i="21" s="1"/>
  <c r="Z64" i="21"/>
  <c r="AZ64" i="21" s="1"/>
  <c r="S60" i="21"/>
  <c r="AS60" i="21" s="1"/>
  <c r="Z56" i="21"/>
  <c r="AZ56" i="21" s="1"/>
  <c r="X62" i="21"/>
  <c r="AX62" i="21" s="1"/>
  <c r="S57" i="21"/>
  <c r="AS57" i="21" s="1"/>
  <c r="AB64" i="21"/>
  <c r="BB64" i="21" s="1"/>
  <c r="Z55" i="21"/>
  <c r="AZ55" i="21" s="1"/>
  <c r="X61" i="21"/>
  <c r="AX61" i="21" s="1"/>
  <c r="AA65" i="21"/>
  <c r="BA65" i="21" s="1"/>
  <c r="AC62" i="21"/>
  <c r="BC62" i="21" s="1"/>
  <c r="AA60" i="21"/>
  <c r="BA60" i="21" s="1"/>
  <c r="V63" i="21"/>
  <c r="AV63" i="21" s="1"/>
  <c r="U62" i="21"/>
  <c r="AU62" i="21" s="1"/>
  <c r="AB57" i="21"/>
  <c r="BB57" i="21" s="1"/>
  <c r="Z65" i="21"/>
  <c r="AZ65" i="21" s="1"/>
  <c r="S54" i="21"/>
  <c r="AS54" i="21" s="1"/>
  <c r="AA56" i="21"/>
  <c r="BA56" i="21" s="1"/>
  <c r="Z59" i="21"/>
  <c r="AZ59" i="21" s="1"/>
  <c r="Y62" i="21"/>
  <c r="AY62" i="21" s="1"/>
  <c r="X64" i="21"/>
  <c r="AX64" i="21" s="1"/>
  <c r="S59" i="21"/>
  <c r="AS59" i="21" s="1"/>
  <c r="AB54" i="21"/>
  <c r="BB54" i="21" s="1"/>
  <c r="AA57" i="21"/>
  <c r="BA57" i="21" s="1"/>
  <c r="Z60" i="21"/>
  <c r="AZ60" i="21" s="1"/>
  <c r="U63" i="21"/>
  <c r="AU63" i="21" s="1"/>
  <c r="T65" i="21"/>
  <c r="AT65" i="21" s="1"/>
  <c r="S65" i="21"/>
  <c r="AS65" i="21" s="1"/>
  <c r="T58" i="21"/>
  <c r="AT58" i="21" s="1"/>
  <c r="W63" i="21"/>
  <c r="AW63" i="21" s="1"/>
  <c r="AC55" i="21"/>
  <c r="BC55" i="21" s="1"/>
  <c r="S63" i="21"/>
  <c r="AS63" i="21" s="1"/>
  <c r="T57" i="21"/>
  <c r="AT57" i="21" s="1"/>
  <c r="AB62" i="21"/>
  <c r="BB62" i="21" s="1"/>
  <c r="S61" i="21"/>
  <c r="AS61" i="21" s="1"/>
  <c r="X54" i="21"/>
  <c r="AX54" i="21" s="1"/>
  <c r="AC63" i="21"/>
  <c r="BC63" i="21" s="1"/>
  <c r="U65" i="21"/>
  <c r="AU65" i="21" s="1"/>
  <c r="V59" i="21"/>
  <c r="AV59" i="21" s="1"/>
  <c r="S56" i="21"/>
  <c r="AS56" i="21" s="1"/>
  <c r="AD65" i="21"/>
  <c r="BD65" i="21" s="1"/>
  <c r="Y54" i="21"/>
  <c r="AY54" i="21" s="1"/>
  <c r="X57" i="21"/>
  <c r="AX57" i="21" s="1"/>
  <c r="W60" i="21"/>
  <c r="AW60" i="21" s="1"/>
  <c r="AD62" i="21"/>
  <c r="BD62" i="21" s="1"/>
  <c r="AD64" i="21"/>
  <c r="BD64" i="21" s="1"/>
  <c r="S64" i="21"/>
  <c r="AS64" i="21" s="1"/>
  <c r="Y55" i="21"/>
  <c r="AY55" i="21" s="1"/>
  <c r="X58" i="21"/>
  <c r="AX58" i="21" s="1"/>
  <c r="W61" i="21"/>
  <c r="AW61" i="21" s="1"/>
  <c r="Z63" i="21"/>
  <c r="AZ63" i="21" s="1"/>
  <c r="Y65" i="21"/>
  <c r="AY65" i="21" s="1"/>
  <c r="Y59" i="21"/>
  <c r="AY59" i="21" s="1"/>
  <c r="W64" i="21"/>
  <c r="AW64" i="21" s="1"/>
  <c r="AB58" i="21"/>
  <c r="BB58" i="21" s="1"/>
  <c r="Y58" i="21"/>
  <c r="AY58" i="21" s="1"/>
  <c r="AA63" i="21"/>
  <c r="BA63" i="21" s="1"/>
  <c r="W57" i="21"/>
  <c r="AW57" i="21" s="1"/>
  <c r="AB65" i="21"/>
  <c r="BB65" i="21" s="1"/>
  <c r="V64" i="21"/>
  <c r="AV64" i="21" s="1"/>
  <c r="U56" i="23"/>
  <c r="AU56" i="23" s="1"/>
  <c r="Z57" i="23"/>
  <c r="AZ57" i="23" s="1"/>
  <c r="T59" i="23"/>
  <c r="AT59" i="23" s="1"/>
  <c r="Y60" i="23"/>
  <c r="AY60" i="23" s="1"/>
  <c r="AD61" i="23"/>
  <c r="BD61" i="23" s="1"/>
  <c r="X63" i="23"/>
  <c r="AX63" i="23" s="1"/>
  <c r="AC64" i="23"/>
  <c r="BC64" i="23" s="1"/>
  <c r="W66" i="23"/>
  <c r="AW66" i="23" s="1"/>
  <c r="AB67" i="23"/>
  <c r="BB67" i="23" s="1"/>
  <c r="T56" i="23"/>
  <c r="AT56" i="23" s="1"/>
  <c r="AB60" i="23"/>
  <c r="BB60" i="23" s="1"/>
  <c r="W57" i="23"/>
  <c r="AW57" i="23" s="1"/>
  <c r="AB58" i="23"/>
  <c r="BB58" i="23" s="1"/>
  <c r="V60" i="23"/>
  <c r="AV60" i="23" s="1"/>
  <c r="AA61" i="23"/>
  <c r="BA61" i="23" s="1"/>
  <c r="U63" i="23"/>
  <c r="AU63" i="23" s="1"/>
  <c r="Z64" i="23"/>
  <c r="AZ64" i="23" s="1"/>
  <c r="T66" i="23"/>
  <c r="AT66" i="23" s="1"/>
  <c r="Y67" i="23"/>
  <c r="AY67" i="23" s="1"/>
  <c r="S67" i="23"/>
  <c r="AS67" i="23" s="1"/>
  <c r="T60" i="23"/>
  <c r="AT60" i="23" s="1"/>
  <c r="X57" i="23"/>
  <c r="AX57" i="23" s="1"/>
  <c r="AC58" i="23"/>
  <c r="BC58" i="23" s="1"/>
  <c r="W60" i="23"/>
  <c r="AW60" i="23" s="1"/>
  <c r="AB61" i="23"/>
  <c r="BB61" i="23" s="1"/>
  <c r="V63" i="23"/>
  <c r="AV63" i="23" s="1"/>
  <c r="AA64" i="23"/>
  <c r="BA64" i="23" s="1"/>
  <c r="U66" i="23"/>
  <c r="AU66" i="23" s="1"/>
  <c r="Z67" i="23"/>
  <c r="AZ67" i="23" s="1"/>
  <c r="S56" i="23"/>
  <c r="AS56" i="23" s="1"/>
  <c r="AD58" i="23"/>
  <c r="BD58" i="23" s="1"/>
  <c r="AC65" i="23"/>
  <c r="BC65" i="23" s="1"/>
  <c r="U61" i="23"/>
  <c r="AU61" i="23" s="1"/>
  <c r="V66" i="23"/>
  <c r="AV66" i="23" s="1"/>
  <c r="S61" i="23"/>
  <c r="AS61" i="23" s="1"/>
  <c r="X60" i="23"/>
  <c r="AX60" i="23" s="1"/>
  <c r="Z66" i="23"/>
  <c r="AZ66" i="23" s="1"/>
  <c r="AD66" i="23"/>
  <c r="BD66" i="23" s="1"/>
  <c r="Y56" i="23"/>
  <c r="AY56" i="23" s="1"/>
  <c r="AD57" i="23"/>
  <c r="BD57" i="23" s="1"/>
  <c r="X59" i="23"/>
  <c r="AX59" i="23" s="1"/>
  <c r="AC60" i="23"/>
  <c r="BC60" i="23" s="1"/>
  <c r="W62" i="23"/>
  <c r="AW62" i="23" s="1"/>
  <c r="AB63" i="23"/>
  <c r="BB63" i="23" s="1"/>
  <c r="V65" i="23"/>
  <c r="AV65" i="23" s="1"/>
  <c r="AA66" i="23"/>
  <c r="BA66" i="23" s="1"/>
  <c r="S58" i="23"/>
  <c r="AS58" i="23" s="1"/>
  <c r="U57" i="23"/>
  <c r="AU57" i="23" s="1"/>
  <c r="V56" i="23"/>
  <c r="AV56" i="23" s="1"/>
  <c r="AA57" i="23"/>
  <c r="BA57" i="23" s="1"/>
  <c r="U59" i="23"/>
  <c r="AU59" i="23" s="1"/>
  <c r="Z60" i="23"/>
  <c r="AZ60" i="23" s="1"/>
  <c r="T62" i="23"/>
  <c r="AT62" i="23" s="1"/>
  <c r="Y63" i="23"/>
  <c r="AY63" i="23" s="1"/>
  <c r="AD64" i="23"/>
  <c r="BD64" i="23" s="1"/>
  <c r="X66" i="23"/>
  <c r="AX66" i="23" s="1"/>
  <c r="AC67" i="23"/>
  <c r="BC67" i="23" s="1"/>
  <c r="AB56" i="23"/>
  <c r="BB56" i="23" s="1"/>
  <c r="W56" i="23"/>
  <c r="AW56" i="23" s="1"/>
  <c r="AB57" i="23"/>
  <c r="BB57" i="23" s="1"/>
  <c r="V59" i="23"/>
  <c r="AV59" i="23" s="1"/>
  <c r="AA60" i="23"/>
  <c r="BA60" i="23" s="1"/>
  <c r="U62" i="23"/>
  <c r="AU62" i="23" s="1"/>
  <c r="Z63" i="23"/>
  <c r="AZ63" i="23" s="1"/>
  <c r="T65" i="23"/>
  <c r="AT65" i="23" s="1"/>
  <c r="Y66" i="23"/>
  <c r="AY66" i="23" s="1"/>
  <c r="AD67" i="23"/>
  <c r="BD67" i="23" s="1"/>
  <c r="X56" i="23"/>
  <c r="AX56" i="23" s="1"/>
  <c r="Y61" i="23"/>
  <c r="AY61" i="23" s="1"/>
  <c r="W67" i="23"/>
  <c r="AW67" i="23" s="1"/>
  <c r="Y65" i="23"/>
  <c r="AY65" i="23" s="1"/>
  <c r="AC61" i="23"/>
  <c r="BC61" i="23" s="1"/>
  <c r="AA67" i="23"/>
  <c r="BA67" i="23" s="1"/>
  <c r="V62" i="23"/>
  <c r="AV62" i="23" s="1"/>
  <c r="S57" i="23"/>
  <c r="AS57" i="23" s="1"/>
  <c r="AC56" i="23"/>
  <c r="BC56" i="23" s="1"/>
  <c r="W58" i="23"/>
  <c r="AW58" i="23" s="1"/>
  <c r="AB59" i="23"/>
  <c r="BB59" i="23" s="1"/>
  <c r="V61" i="23"/>
  <c r="AV61" i="23" s="1"/>
  <c r="AA62" i="23"/>
  <c r="BA62" i="23" s="1"/>
  <c r="U64" i="23"/>
  <c r="AU64" i="23" s="1"/>
  <c r="Z65" i="23"/>
  <c r="AZ65" i="23" s="1"/>
  <c r="T67" i="23"/>
  <c r="AT67" i="23" s="1"/>
  <c r="S62" i="23"/>
  <c r="AS62" i="23" s="1"/>
  <c r="AC57" i="23"/>
  <c r="BC57" i="23" s="1"/>
  <c r="Z56" i="23"/>
  <c r="AZ56" i="23" s="1"/>
  <c r="T58" i="23"/>
  <c r="AT58" i="23" s="1"/>
  <c r="Y59" i="23"/>
  <c r="AY59" i="23" s="1"/>
  <c r="AD60" i="23"/>
  <c r="BD60" i="23" s="1"/>
  <c r="X62" i="23"/>
  <c r="AX62" i="23" s="1"/>
  <c r="AC63" i="23"/>
  <c r="BC63" i="23" s="1"/>
  <c r="W65" i="23"/>
  <c r="AW65" i="23" s="1"/>
  <c r="AB66" i="23"/>
  <c r="BB66" i="23" s="1"/>
  <c r="S59" i="23"/>
  <c r="AS59" i="23" s="1"/>
  <c r="Z58" i="23"/>
  <c r="AZ58" i="23" s="1"/>
  <c r="AA56" i="23"/>
  <c r="BA56" i="23" s="1"/>
  <c r="U58" i="23"/>
  <c r="AU58" i="23" s="1"/>
  <c r="Z59" i="23"/>
  <c r="AZ59" i="23" s="1"/>
  <c r="T61" i="23"/>
  <c r="AT61" i="23" s="1"/>
  <c r="Y62" i="23"/>
  <c r="AY62" i="23" s="1"/>
  <c r="AD63" i="23"/>
  <c r="BD63" i="23" s="1"/>
  <c r="X65" i="23"/>
  <c r="AX65" i="23" s="1"/>
  <c r="AC66" i="23"/>
  <c r="BC66" i="23" s="1"/>
  <c r="S60" i="23"/>
  <c r="AS60" i="23" s="1"/>
  <c r="Y57" i="23"/>
  <c r="AY57" i="23" s="1"/>
  <c r="AD62" i="23"/>
  <c r="BD62" i="23" s="1"/>
  <c r="S65" i="23"/>
  <c r="AS65" i="23" s="1"/>
  <c r="W63" i="23"/>
  <c r="AW63" i="23" s="1"/>
  <c r="AA63" i="23"/>
  <c r="BA63" i="23" s="1"/>
  <c r="V57" i="23"/>
  <c r="AV57" i="23" s="1"/>
  <c r="AA58" i="23"/>
  <c r="BA58" i="23" s="1"/>
  <c r="U60" i="23"/>
  <c r="AU60" i="23" s="1"/>
  <c r="Z61" i="23"/>
  <c r="AZ61" i="23" s="1"/>
  <c r="T63" i="23"/>
  <c r="AT63" i="23" s="1"/>
  <c r="Y64" i="23"/>
  <c r="AY64" i="23" s="1"/>
  <c r="AD65" i="23"/>
  <c r="BD65" i="23" s="1"/>
  <c r="X67" i="23"/>
  <c r="AX67" i="23" s="1"/>
  <c r="S66" i="23"/>
  <c r="AS66" i="23" s="1"/>
  <c r="AA59" i="23"/>
  <c r="BA59" i="23" s="1"/>
  <c r="AD56" i="23"/>
  <c r="BD56" i="23" s="1"/>
  <c r="X58" i="23"/>
  <c r="AX58" i="23" s="1"/>
  <c r="AC59" i="23"/>
  <c r="BC59" i="23" s="1"/>
  <c r="W61" i="23"/>
  <c r="AW61" i="23" s="1"/>
  <c r="AB62" i="23"/>
  <c r="BB62" i="23" s="1"/>
  <c r="V64" i="23"/>
  <c r="AV64" i="23" s="1"/>
  <c r="AA65" i="23"/>
  <c r="BA65" i="23" s="1"/>
  <c r="U67" i="23"/>
  <c r="AU67" i="23" s="1"/>
  <c r="S63" i="23"/>
  <c r="AS63" i="23" s="1"/>
  <c r="W59" i="23"/>
  <c r="AW59" i="23" s="1"/>
  <c r="T57" i="23"/>
  <c r="AT57" i="23" s="1"/>
  <c r="Y58" i="23"/>
  <c r="AY58" i="23" s="1"/>
  <c r="AD59" i="23"/>
  <c r="BD59" i="23" s="1"/>
  <c r="X61" i="23"/>
  <c r="AX61" i="23" s="1"/>
  <c r="AC62" i="23"/>
  <c r="BC62" i="23" s="1"/>
  <c r="W64" i="23"/>
  <c r="AW64" i="23" s="1"/>
  <c r="AB65" i="23"/>
  <c r="BB65" i="23" s="1"/>
  <c r="V67" i="23"/>
  <c r="AV67" i="23" s="1"/>
  <c r="S64" i="23"/>
  <c r="AS64" i="23" s="1"/>
  <c r="V58" i="23"/>
  <c r="AV58" i="23" s="1"/>
  <c r="X64" i="23"/>
  <c r="AX64" i="23" s="1"/>
  <c r="AB64" i="23"/>
  <c r="BB64" i="23" s="1"/>
  <c r="T64" i="23"/>
  <c r="AT64" i="23" s="1"/>
  <c r="U65" i="23"/>
  <c r="AU65" i="23" s="1"/>
  <c r="Z62" i="23"/>
  <c r="AZ62" i="23" s="1"/>
  <c r="U32" i="23"/>
  <c r="AU32" i="23" s="1"/>
  <c r="Z33" i="23"/>
  <c r="AZ33" i="23" s="1"/>
  <c r="T35" i="23"/>
  <c r="AT35" i="23" s="1"/>
  <c r="Y36" i="23"/>
  <c r="AY36" i="23" s="1"/>
  <c r="AD37" i="23"/>
  <c r="BD37" i="23" s="1"/>
  <c r="X39" i="23"/>
  <c r="AX39" i="23" s="1"/>
  <c r="AC40" i="23"/>
  <c r="BC40" i="23" s="1"/>
  <c r="W42" i="23"/>
  <c r="AW42" i="23" s="1"/>
  <c r="AB43" i="23"/>
  <c r="BB43" i="23" s="1"/>
  <c r="W33" i="23"/>
  <c r="AW33" i="23" s="1"/>
  <c r="AB34" i="23"/>
  <c r="BB34" i="23" s="1"/>
  <c r="V36" i="23"/>
  <c r="AV36" i="23" s="1"/>
  <c r="AA37" i="23"/>
  <c r="BA37" i="23" s="1"/>
  <c r="U39" i="23"/>
  <c r="AU39" i="23" s="1"/>
  <c r="Z40" i="23"/>
  <c r="AZ40" i="23" s="1"/>
  <c r="T42" i="23"/>
  <c r="AT42" i="23" s="1"/>
  <c r="Y43" i="23"/>
  <c r="AY43" i="23" s="1"/>
  <c r="S43" i="23"/>
  <c r="AS43" i="23" s="1"/>
  <c r="X33" i="23"/>
  <c r="AX33" i="23" s="1"/>
  <c r="AC34" i="23"/>
  <c r="BC34" i="23" s="1"/>
  <c r="W36" i="23"/>
  <c r="AW36" i="23" s="1"/>
  <c r="AB37" i="23"/>
  <c r="BB37" i="23" s="1"/>
  <c r="V39" i="23"/>
  <c r="AV39" i="23" s="1"/>
  <c r="AA40" i="23"/>
  <c r="BA40" i="23" s="1"/>
  <c r="U42" i="23"/>
  <c r="AU42" i="23" s="1"/>
  <c r="Z43" i="23"/>
  <c r="AZ43" i="23" s="1"/>
  <c r="S32" i="23"/>
  <c r="AS32" i="23" s="1"/>
  <c r="Z34" i="23"/>
  <c r="AZ34" i="23" s="1"/>
  <c r="X40" i="23"/>
  <c r="AX40" i="23" s="1"/>
  <c r="Y41" i="23"/>
  <c r="AY41" i="23" s="1"/>
  <c r="AD34" i="23"/>
  <c r="BD34" i="23" s="1"/>
  <c r="AB40" i="23"/>
  <c r="BB40" i="23" s="1"/>
  <c r="W35" i="23"/>
  <c r="AW35" i="23" s="1"/>
  <c r="U41" i="23"/>
  <c r="AU41" i="23" s="1"/>
  <c r="Y32" i="23"/>
  <c r="AY32" i="23" s="1"/>
  <c r="AD33" i="23"/>
  <c r="BD33" i="23" s="1"/>
  <c r="X35" i="23"/>
  <c r="AX35" i="23" s="1"/>
  <c r="AC36" i="23"/>
  <c r="BC36" i="23" s="1"/>
  <c r="W38" i="23"/>
  <c r="AW38" i="23" s="1"/>
  <c r="AB39" i="23"/>
  <c r="BB39" i="23" s="1"/>
  <c r="V41" i="23"/>
  <c r="AV41" i="23" s="1"/>
  <c r="AA42" i="23"/>
  <c r="BA42" i="23" s="1"/>
  <c r="S34" i="23"/>
  <c r="AS34" i="23" s="1"/>
  <c r="V32" i="23"/>
  <c r="AV32" i="23" s="1"/>
  <c r="AA33" i="23"/>
  <c r="BA33" i="23" s="1"/>
  <c r="U35" i="23"/>
  <c r="AU35" i="23" s="1"/>
  <c r="Z36" i="23"/>
  <c r="AZ36" i="23" s="1"/>
  <c r="T38" i="23"/>
  <c r="AT38" i="23" s="1"/>
  <c r="Y39" i="23"/>
  <c r="AY39" i="23" s="1"/>
  <c r="AD40" i="23"/>
  <c r="BD40" i="23" s="1"/>
  <c r="X42" i="23"/>
  <c r="AX42" i="23" s="1"/>
  <c r="AC43" i="23"/>
  <c r="BC43" i="23" s="1"/>
  <c r="W32" i="23"/>
  <c r="AW32" i="23" s="1"/>
  <c r="AB33" i="23"/>
  <c r="BB33" i="23" s="1"/>
  <c r="V35" i="23"/>
  <c r="AV35" i="23" s="1"/>
  <c r="AA36" i="23"/>
  <c r="BA36" i="23" s="1"/>
  <c r="U38" i="23"/>
  <c r="AU38" i="23" s="1"/>
  <c r="Z39" i="23"/>
  <c r="AZ39" i="23" s="1"/>
  <c r="T41" i="23"/>
  <c r="AT41" i="23" s="1"/>
  <c r="Y42" i="23"/>
  <c r="AY42" i="23" s="1"/>
  <c r="AD43" i="23"/>
  <c r="BD43" i="23" s="1"/>
  <c r="T36" i="23"/>
  <c r="AT36" i="23" s="1"/>
  <c r="AC41" i="23"/>
  <c r="BC41" i="23" s="1"/>
  <c r="X36" i="23"/>
  <c r="AX36" i="23" s="1"/>
  <c r="V42" i="23"/>
  <c r="AV42" i="23" s="1"/>
  <c r="AA35" i="23"/>
  <c r="BA35" i="23" s="1"/>
  <c r="AB36" i="23"/>
  <c r="BB36" i="23" s="1"/>
  <c r="Z42" i="23"/>
  <c r="AZ42" i="23" s="1"/>
  <c r="V34" i="23"/>
  <c r="AV34" i="23" s="1"/>
  <c r="AC32" i="23"/>
  <c r="BC32" i="23" s="1"/>
  <c r="W34" i="23"/>
  <c r="AW34" i="23" s="1"/>
  <c r="AB35" i="23"/>
  <c r="BB35" i="23" s="1"/>
  <c r="V37" i="23"/>
  <c r="AV37" i="23" s="1"/>
  <c r="AA38" i="23"/>
  <c r="BA38" i="23" s="1"/>
  <c r="U40" i="23"/>
  <c r="AU40" i="23" s="1"/>
  <c r="Z41" i="23"/>
  <c r="AZ41" i="23" s="1"/>
  <c r="T43" i="23"/>
  <c r="AT43" i="23" s="1"/>
  <c r="S38" i="23"/>
  <c r="AS38" i="23" s="1"/>
  <c r="Z32" i="23"/>
  <c r="AZ32" i="23" s="1"/>
  <c r="T34" i="23"/>
  <c r="AT34" i="23" s="1"/>
  <c r="Y35" i="23"/>
  <c r="AY35" i="23" s="1"/>
  <c r="AD36" i="23"/>
  <c r="BD36" i="23" s="1"/>
  <c r="X38" i="23"/>
  <c r="AX38" i="23" s="1"/>
  <c r="AC39" i="23"/>
  <c r="BC39" i="23" s="1"/>
  <c r="W41" i="23"/>
  <c r="AW41" i="23" s="1"/>
  <c r="AB42" i="23"/>
  <c r="BB42" i="23" s="1"/>
  <c r="S35" i="23"/>
  <c r="AS35" i="23" s="1"/>
  <c r="AA32" i="23"/>
  <c r="BA32" i="23" s="1"/>
  <c r="U34" i="23"/>
  <c r="AU34" i="23" s="1"/>
  <c r="Z35" i="23"/>
  <c r="AZ35" i="23" s="1"/>
  <c r="T37" i="23"/>
  <c r="AT37" i="23" s="1"/>
  <c r="Y38" i="23"/>
  <c r="AY38" i="23" s="1"/>
  <c r="AD39" i="23"/>
  <c r="BD39" i="23" s="1"/>
  <c r="X41" i="23"/>
  <c r="AX41" i="23" s="1"/>
  <c r="AC42" i="23"/>
  <c r="BC42" i="23" s="1"/>
  <c r="S36" i="23"/>
  <c r="AS36" i="23" s="1"/>
  <c r="Y37" i="23"/>
  <c r="AY37" i="23" s="1"/>
  <c r="W43" i="23"/>
  <c r="AW43" i="23" s="1"/>
  <c r="AB32" i="23"/>
  <c r="BB32" i="23" s="1"/>
  <c r="T32" i="23"/>
  <c r="AT32" i="23" s="1"/>
  <c r="AC37" i="23"/>
  <c r="BC37" i="23" s="1"/>
  <c r="AA43" i="23"/>
  <c r="BA43" i="23" s="1"/>
  <c r="T40" i="23"/>
  <c r="AT40" i="23" s="1"/>
  <c r="X32" i="23"/>
  <c r="AX32" i="23" s="1"/>
  <c r="V38" i="23"/>
  <c r="AV38" i="23" s="1"/>
  <c r="S33" i="23"/>
  <c r="AS33" i="23" s="1"/>
  <c r="Z38" i="23"/>
  <c r="AZ38" i="23" s="1"/>
  <c r="V33" i="23"/>
  <c r="AV33" i="23" s="1"/>
  <c r="AA34" i="23"/>
  <c r="BA34" i="23" s="1"/>
  <c r="U36" i="23"/>
  <c r="AU36" i="23" s="1"/>
  <c r="Z37" i="23"/>
  <c r="AZ37" i="23" s="1"/>
  <c r="T39" i="23"/>
  <c r="AT39" i="23" s="1"/>
  <c r="Y40" i="23"/>
  <c r="AY40" i="23" s="1"/>
  <c r="AD41" i="23"/>
  <c r="BD41" i="23" s="1"/>
  <c r="X43" i="23"/>
  <c r="AX43" i="23" s="1"/>
  <c r="S42" i="23"/>
  <c r="AS42" i="23" s="1"/>
  <c r="AD32" i="23"/>
  <c r="BD32" i="23" s="1"/>
  <c r="X34" i="23"/>
  <c r="AX34" i="23" s="1"/>
  <c r="AC35" i="23"/>
  <c r="BC35" i="23" s="1"/>
  <c r="W37" i="23"/>
  <c r="AW37" i="23" s="1"/>
  <c r="AB38" i="23"/>
  <c r="BB38" i="23" s="1"/>
  <c r="V40" i="23"/>
  <c r="AV40" i="23" s="1"/>
  <c r="AA41" i="23"/>
  <c r="BA41" i="23" s="1"/>
  <c r="U43" i="23"/>
  <c r="AU43" i="23" s="1"/>
  <c r="S39" i="23"/>
  <c r="AS39" i="23" s="1"/>
  <c r="T33" i="23"/>
  <c r="AT33" i="23" s="1"/>
  <c r="Y34" i="23"/>
  <c r="AY34" i="23" s="1"/>
  <c r="AD35" i="23"/>
  <c r="BD35" i="23" s="1"/>
  <c r="X37" i="23"/>
  <c r="AX37" i="23" s="1"/>
  <c r="AC38" i="23"/>
  <c r="BC38" i="23" s="1"/>
  <c r="W40" i="23"/>
  <c r="AW40" i="23" s="1"/>
  <c r="AB41" i="23"/>
  <c r="BB41" i="23" s="1"/>
  <c r="V43" i="23"/>
  <c r="AV43" i="23" s="1"/>
  <c r="S40" i="23"/>
  <c r="AS40" i="23" s="1"/>
  <c r="U33" i="23"/>
  <c r="AU33" i="23" s="1"/>
  <c r="AD38" i="23"/>
  <c r="BD38" i="23" s="1"/>
  <c r="S41" i="23"/>
  <c r="AS41" i="23" s="1"/>
  <c r="U37" i="23"/>
  <c r="AU37" i="23" s="1"/>
  <c r="Y33" i="23"/>
  <c r="AY33" i="23" s="1"/>
  <c r="W39" i="23"/>
  <c r="AW39" i="23" s="1"/>
  <c r="S37" i="23"/>
  <c r="AS37" i="23" s="1"/>
  <c r="AC33" i="23"/>
  <c r="BC33" i="23" s="1"/>
  <c r="AA39" i="23"/>
  <c r="BA39" i="23" s="1"/>
  <c r="AD42" i="23"/>
  <c r="BD42" i="23" s="1"/>
  <c r="AA31" i="21"/>
  <c r="BA31" i="21" s="1"/>
  <c r="U33" i="21"/>
  <c r="AU33" i="21" s="1"/>
  <c r="V31" i="21"/>
  <c r="AV31" i="21" s="1"/>
  <c r="V33" i="21"/>
  <c r="AV33" i="21" s="1"/>
  <c r="AC34" i="21"/>
  <c r="BC34" i="21" s="1"/>
  <c r="W36" i="21"/>
  <c r="AW36" i="21" s="1"/>
  <c r="AB37" i="21"/>
  <c r="BB37" i="21" s="1"/>
  <c r="V39" i="21"/>
  <c r="AV39" i="21" s="1"/>
  <c r="AA40" i="21"/>
  <c r="BA40" i="21" s="1"/>
  <c r="U42" i="21"/>
  <c r="AU42" i="21" s="1"/>
  <c r="S38" i="21"/>
  <c r="AS38" i="21" s="1"/>
  <c r="AC31" i="21"/>
  <c r="BC31" i="21" s="1"/>
  <c r="AB33" i="21"/>
  <c r="BB33" i="21" s="1"/>
  <c r="W35" i="21"/>
  <c r="AW35" i="21" s="1"/>
  <c r="AB36" i="21"/>
  <c r="BB36" i="21" s="1"/>
  <c r="V38" i="21"/>
  <c r="AV38" i="21" s="1"/>
  <c r="AA39" i="21"/>
  <c r="BA39" i="21" s="1"/>
  <c r="U41" i="21"/>
  <c r="AU41" i="21" s="1"/>
  <c r="Z42" i="21"/>
  <c r="AZ42" i="21" s="1"/>
  <c r="S31" i="21"/>
  <c r="AS31" i="21" s="1"/>
  <c r="T33" i="21"/>
  <c r="AT33" i="21" s="1"/>
  <c r="V36" i="21"/>
  <c r="AV36" i="21" s="1"/>
  <c r="U39" i="21"/>
  <c r="AU39" i="21" s="1"/>
  <c r="T42" i="21"/>
  <c r="AT42" i="21" s="1"/>
  <c r="U35" i="21"/>
  <c r="AU35" i="21" s="1"/>
  <c r="AD40" i="21"/>
  <c r="BD40" i="21" s="1"/>
  <c r="Y32" i="21"/>
  <c r="AY32" i="21" s="1"/>
  <c r="AB35" i="21"/>
  <c r="BB35" i="21" s="1"/>
  <c r="AA38" i="21"/>
  <c r="BA38" i="21" s="1"/>
  <c r="Z41" i="21"/>
  <c r="AZ41" i="21" s="1"/>
  <c r="Z31" i="21"/>
  <c r="AZ31" i="21" s="1"/>
  <c r="W37" i="21"/>
  <c r="AW37" i="21" s="1"/>
  <c r="S33" i="21"/>
  <c r="AS33" i="21" s="1"/>
  <c r="U36" i="21"/>
  <c r="AU36" i="21" s="1"/>
  <c r="S36" i="21"/>
  <c r="AS36" i="21" s="1"/>
  <c r="W38" i="21"/>
  <c r="AW38" i="21" s="1"/>
  <c r="AC36" i="21"/>
  <c r="BC36" i="21" s="1"/>
  <c r="AD31" i="21"/>
  <c r="BD31" i="21" s="1"/>
  <c r="T32" i="21"/>
  <c r="AT32" i="21" s="1"/>
  <c r="Y33" i="21"/>
  <c r="AY33" i="21" s="1"/>
  <c r="AB31" i="21"/>
  <c r="BB31" i="21" s="1"/>
  <c r="AA33" i="21"/>
  <c r="BA33" i="21" s="1"/>
  <c r="V35" i="21"/>
  <c r="AV35" i="21" s="1"/>
  <c r="AA36" i="21"/>
  <c r="BA36" i="21" s="1"/>
  <c r="U38" i="21"/>
  <c r="AU38" i="21" s="1"/>
  <c r="Z39" i="21"/>
  <c r="AZ39" i="21" s="1"/>
  <c r="T41" i="21"/>
  <c r="AT41" i="21" s="1"/>
  <c r="Y42" i="21"/>
  <c r="AY42" i="21" s="1"/>
  <c r="S42" i="21"/>
  <c r="AS42" i="21" s="1"/>
  <c r="W32" i="21"/>
  <c r="AW32" i="21" s="1"/>
  <c r="V34" i="21"/>
  <c r="AV34" i="21" s="1"/>
  <c r="AA35" i="21"/>
  <c r="BA35" i="21" s="1"/>
  <c r="U37" i="21"/>
  <c r="AU37" i="21" s="1"/>
  <c r="Z38" i="21"/>
  <c r="AZ38" i="21" s="1"/>
  <c r="T40" i="21"/>
  <c r="AT40" i="21" s="1"/>
  <c r="Y41" i="21"/>
  <c r="AY41" i="21" s="1"/>
  <c r="AD42" i="21"/>
  <c r="BD42" i="21" s="1"/>
  <c r="T34" i="21"/>
  <c r="AT34" i="21" s="1"/>
  <c r="AD36" i="21"/>
  <c r="BD36" i="21" s="1"/>
  <c r="AC39" i="21"/>
  <c r="BC39" i="21" s="1"/>
  <c r="AB42" i="21"/>
  <c r="BB42" i="21" s="1"/>
  <c r="Z36" i="21"/>
  <c r="AZ36" i="21" s="1"/>
  <c r="X42" i="21"/>
  <c r="AX42" i="21" s="1"/>
  <c r="X33" i="21"/>
  <c r="AX33" i="21" s="1"/>
  <c r="Y36" i="21"/>
  <c r="AY36" i="21" s="1"/>
  <c r="X39" i="21"/>
  <c r="AX39" i="21" s="1"/>
  <c r="W42" i="21"/>
  <c r="AW42" i="21" s="1"/>
  <c r="Z33" i="21"/>
  <c r="AZ33" i="21" s="1"/>
  <c r="AB38" i="21"/>
  <c r="BB38" i="21" s="1"/>
  <c r="T39" i="21"/>
  <c r="AT39" i="21" s="1"/>
  <c r="AB39" i="21"/>
  <c r="BB39" i="21" s="1"/>
  <c r="V41" i="21"/>
  <c r="AV41" i="21" s="1"/>
  <c r="X32" i="21"/>
  <c r="AX32" i="21" s="1"/>
  <c r="AC33" i="21"/>
  <c r="BC33" i="21" s="1"/>
  <c r="V32" i="21"/>
  <c r="AV32" i="21" s="1"/>
  <c r="U34" i="21"/>
  <c r="AU34" i="21" s="1"/>
  <c r="Z35" i="21"/>
  <c r="AZ35" i="21" s="1"/>
  <c r="T37" i="21"/>
  <c r="AT37" i="21" s="1"/>
  <c r="Y38" i="21"/>
  <c r="AY38" i="21" s="1"/>
  <c r="AD39" i="21"/>
  <c r="BD39" i="21" s="1"/>
  <c r="X41" i="21"/>
  <c r="AX41" i="21" s="1"/>
  <c r="AC42" i="21"/>
  <c r="BC42" i="21" s="1"/>
  <c r="AC32" i="21"/>
  <c r="BC32" i="21" s="1"/>
  <c r="Z34" i="21"/>
  <c r="AZ34" i="21" s="1"/>
  <c r="T36" i="21"/>
  <c r="AT36" i="21" s="1"/>
  <c r="Y37" i="21"/>
  <c r="AY37" i="21" s="1"/>
  <c r="AD38" i="21"/>
  <c r="BD38" i="21" s="1"/>
  <c r="X40" i="21"/>
  <c r="AX40" i="21" s="1"/>
  <c r="AC41" i="21"/>
  <c r="BC41" i="21" s="1"/>
  <c r="S35" i="21"/>
  <c r="AS35" i="21" s="1"/>
  <c r="U31" i="21"/>
  <c r="AU31" i="21" s="1"/>
  <c r="AB34" i="21"/>
  <c r="BB34" i="21" s="1"/>
  <c r="AA37" i="21"/>
  <c r="BA37" i="21" s="1"/>
  <c r="Z40" i="21"/>
  <c r="AZ40" i="21" s="1"/>
  <c r="S37" i="21"/>
  <c r="AS37" i="21" s="1"/>
  <c r="T38" i="21"/>
  <c r="AT38" i="21" s="1"/>
  <c r="S41" i="21"/>
  <c r="AS41" i="21" s="1"/>
  <c r="W34" i="21"/>
  <c r="AW34" i="21" s="1"/>
  <c r="V37" i="21"/>
  <c r="AV37" i="21" s="1"/>
  <c r="U40" i="21"/>
  <c r="AU40" i="21" s="1"/>
  <c r="S32" i="21"/>
  <c r="AS32" i="21" s="1"/>
  <c r="X34" i="21"/>
  <c r="AX34" i="21" s="1"/>
  <c r="V40" i="21"/>
  <c r="AV40" i="21" s="1"/>
  <c r="AD41" i="21"/>
  <c r="BD41" i="21" s="1"/>
  <c r="AA34" i="21"/>
  <c r="BA34" i="21" s="1"/>
  <c r="AA42" i="21"/>
  <c r="BA42" i="21" s="1"/>
  <c r="T31" i="21"/>
  <c r="AT31" i="21" s="1"/>
  <c r="W31" i="21"/>
  <c r="AW31" i="21" s="1"/>
  <c r="AB32" i="21"/>
  <c r="BB32" i="21" s="1"/>
  <c r="AA32" i="21"/>
  <c r="BA32" i="21" s="1"/>
  <c r="Y34" i="21"/>
  <c r="AY34" i="21" s="1"/>
  <c r="AD35" i="21"/>
  <c r="BD35" i="21" s="1"/>
  <c r="X37" i="21"/>
  <c r="AX37" i="21" s="1"/>
  <c r="AC38" i="21"/>
  <c r="BC38" i="21" s="1"/>
  <c r="W40" i="21"/>
  <c r="AW40" i="21" s="1"/>
  <c r="AB41" i="21"/>
  <c r="BB41" i="21" s="1"/>
  <c r="S34" i="21"/>
  <c r="AS34" i="21" s="1"/>
  <c r="X31" i="21"/>
  <c r="AX31" i="21" s="1"/>
  <c r="W33" i="21"/>
  <c r="AW33" i="21" s="1"/>
  <c r="AD34" i="21"/>
  <c r="BD34" i="21" s="1"/>
  <c r="X36" i="21"/>
  <c r="AX36" i="21" s="1"/>
  <c r="AC37" i="21"/>
  <c r="BC37" i="21" s="1"/>
  <c r="W39" i="21"/>
  <c r="AW39" i="21" s="1"/>
  <c r="AB40" i="21"/>
  <c r="BB40" i="21" s="1"/>
  <c r="V42" i="21"/>
  <c r="AV42" i="21" s="1"/>
  <c r="S39" i="21"/>
  <c r="AS39" i="21" s="1"/>
  <c r="U32" i="21"/>
  <c r="AU32" i="21" s="1"/>
  <c r="Y35" i="21"/>
  <c r="AY35" i="21" s="1"/>
  <c r="X38" i="21"/>
  <c r="AX38" i="21" s="1"/>
  <c r="W41" i="21"/>
  <c r="AW41" i="21" s="1"/>
  <c r="Z32" i="21"/>
  <c r="AZ32" i="21" s="1"/>
  <c r="Y39" i="21"/>
  <c r="AY39" i="21" s="1"/>
  <c r="Y31" i="21"/>
  <c r="AY31" i="21" s="1"/>
  <c r="T35" i="21"/>
  <c r="AT35" i="21" s="1"/>
  <c r="AD37" i="21"/>
  <c r="BD37" i="21" s="1"/>
  <c r="AC40" i="21"/>
  <c r="BC40" i="21" s="1"/>
  <c r="S40" i="21"/>
  <c r="AS40" i="21" s="1"/>
  <c r="AC35" i="21"/>
  <c r="BC35" i="21" s="1"/>
  <c r="AA41" i="21"/>
  <c r="BA41" i="21" s="1"/>
  <c r="AD32" i="21"/>
  <c r="BD32" i="21" s="1"/>
  <c r="Z37" i="21"/>
  <c r="AZ37" i="21" s="1"/>
  <c r="X35" i="21"/>
  <c r="AX35" i="21" s="1"/>
  <c r="AD33" i="21"/>
  <c r="BD33" i="21" s="1"/>
  <c r="Y40" i="21"/>
  <c r="AY40" i="21" s="1"/>
  <c r="T34" i="4"/>
  <c r="Y35" i="4"/>
  <c r="AD36" i="4"/>
  <c r="X38" i="4"/>
  <c r="AC39" i="4"/>
  <c r="W41" i="4"/>
  <c r="AB42" i="4"/>
  <c r="X33" i="4"/>
  <c r="AC34" i="4"/>
  <c r="W36" i="4"/>
  <c r="AB37" i="4"/>
  <c r="V39" i="4"/>
  <c r="AA40" i="4"/>
  <c r="U42" i="4"/>
  <c r="V33" i="4"/>
  <c r="U36" i="4"/>
  <c r="T39" i="4"/>
  <c r="AD41" i="4"/>
  <c r="V44" i="4"/>
  <c r="S41" i="4"/>
  <c r="W34" i="4"/>
  <c r="V37" i="4"/>
  <c r="U40" i="4"/>
  <c r="T43" i="4"/>
  <c r="AB44" i="4"/>
  <c r="AA35" i="4"/>
  <c r="Z38" i="4"/>
  <c r="Y41" i="4"/>
  <c r="W44" i="4"/>
  <c r="AC33" i="4"/>
  <c r="Y44" i="4"/>
  <c r="U44" i="4"/>
  <c r="X40" i="4"/>
  <c r="S35" i="4"/>
  <c r="AC41" i="4"/>
  <c r="X34" i="4"/>
  <c r="AC35" i="4"/>
  <c r="W37" i="4"/>
  <c r="AB38" i="4"/>
  <c r="V40" i="4"/>
  <c r="AA41" i="4"/>
  <c r="U43" i="4"/>
  <c r="AB33" i="4"/>
  <c r="V35" i="4"/>
  <c r="AA36" i="4"/>
  <c r="U38" i="4"/>
  <c r="Z39" i="4"/>
  <c r="T41" i="4"/>
  <c r="Y42" i="4"/>
  <c r="AD33" i="4"/>
  <c r="AC36" i="4"/>
  <c r="AB39" i="4"/>
  <c r="AA42" i="4"/>
  <c r="Z44" i="4"/>
  <c r="S33" i="4"/>
  <c r="T35" i="4"/>
  <c r="AD37" i="4"/>
  <c r="AC40" i="4"/>
  <c r="AA43" i="4"/>
  <c r="Y33" i="4"/>
  <c r="X36" i="4"/>
  <c r="W39" i="4"/>
  <c r="V42" i="4"/>
  <c r="AA44" i="4"/>
  <c r="AB36" i="4"/>
  <c r="S39" i="4"/>
  <c r="V38" i="4"/>
  <c r="S44" i="4"/>
  <c r="W43" i="4"/>
  <c r="S36" i="4"/>
  <c r="W33" i="4"/>
  <c r="AB34" i="4"/>
  <c r="V36" i="4"/>
  <c r="AA37" i="4"/>
  <c r="U39" i="4"/>
  <c r="Z40" i="4"/>
  <c r="T42" i="4"/>
  <c r="Y43" i="4"/>
  <c r="U34" i="4"/>
  <c r="Z35" i="4"/>
  <c r="T37" i="4"/>
  <c r="Y38" i="4"/>
  <c r="AD39" i="4"/>
  <c r="X41" i="4"/>
  <c r="AC42" i="4"/>
  <c r="AA34" i="4"/>
  <c r="Z37" i="4"/>
  <c r="Y40" i="4"/>
  <c r="X43" i="4"/>
  <c r="AD44" i="4"/>
  <c r="AD43" i="4"/>
  <c r="AB35" i="4"/>
  <c r="AA38" i="4"/>
  <c r="Z41" i="4"/>
  <c r="T44" i="4"/>
  <c r="V34" i="4"/>
  <c r="U37" i="4"/>
  <c r="T40" i="4"/>
  <c r="AD42" i="4"/>
  <c r="S34" i="4"/>
  <c r="AA39" i="4"/>
  <c r="AB43" i="4"/>
  <c r="T36" i="4"/>
  <c r="Z34" i="4"/>
  <c r="AC44" i="4"/>
  <c r="W35" i="4"/>
  <c r="AA33" i="4"/>
  <c r="U35" i="4"/>
  <c r="Z36" i="4"/>
  <c r="T38" i="4"/>
  <c r="Y39" i="4"/>
  <c r="AD40" i="4"/>
  <c r="X42" i="4"/>
  <c r="T33" i="4"/>
  <c r="Y34" i="4"/>
  <c r="AD35" i="4"/>
  <c r="X37" i="4"/>
  <c r="AC38" i="4"/>
  <c r="W40" i="4"/>
  <c r="AB41" i="4"/>
  <c r="V43" i="4"/>
  <c r="X35" i="4"/>
  <c r="W38" i="4"/>
  <c r="V41" i="4"/>
  <c r="AC43" i="4"/>
  <c r="S37" i="4"/>
  <c r="S42" i="4"/>
  <c r="Z33" i="4"/>
  <c r="Y36" i="4"/>
  <c r="X39" i="4"/>
  <c r="W42" i="4"/>
  <c r="X44" i="4"/>
  <c r="AD34" i="4"/>
  <c r="AC37" i="4"/>
  <c r="AB40" i="4"/>
  <c r="Z43" i="4"/>
  <c r="S38" i="4"/>
  <c r="Z42" i="4"/>
  <c r="S43" i="4"/>
  <c r="AD38" i="4"/>
  <c r="Y37" i="4"/>
  <c r="S40" i="4"/>
  <c r="U41" i="4"/>
  <c r="U33" i="4"/>
  <c r="AC57" i="4"/>
  <c r="W59" i="4"/>
  <c r="AB60" i="4"/>
  <c r="V62" i="4"/>
  <c r="X58" i="4"/>
  <c r="W60" i="4"/>
  <c r="W62" i="4"/>
  <c r="AC63" i="4"/>
  <c r="W65" i="4"/>
  <c r="AB66" i="4"/>
  <c r="V68" i="4"/>
  <c r="S65" i="4"/>
  <c r="Z57" i="4"/>
  <c r="Y59" i="4"/>
  <c r="X61" i="4"/>
  <c r="V63" i="4"/>
  <c r="AA64" i="4"/>
  <c r="U66" i="4"/>
  <c r="Z67" i="4"/>
  <c r="S58" i="4"/>
  <c r="W57" i="4"/>
  <c r="V61" i="4"/>
  <c r="Y64" i="4"/>
  <c r="X67" i="4"/>
  <c r="AB57" i="4"/>
  <c r="U64" i="4"/>
  <c r="Y68" i="4"/>
  <c r="Z60" i="4"/>
  <c r="T64" i="4"/>
  <c r="AD66" i="4"/>
  <c r="S67" i="4"/>
  <c r="AB58" i="4"/>
  <c r="U59" i="4"/>
  <c r="S63" i="4"/>
  <c r="U58" i="4"/>
  <c r="Z66" i="4"/>
  <c r="T61" i="4"/>
  <c r="V58" i="4"/>
  <c r="AA59" i="4"/>
  <c r="U61" i="4"/>
  <c r="Z62" i="4"/>
  <c r="AC58" i="4"/>
  <c r="AC60" i="4"/>
  <c r="AB62" i="4"/>
  <c r="V64" i="4"/>
  <c r="AA65" i="4"/>
  <c r="U67" i="4"/>
  <c r="Z68" i="4"/>
  <c r="S57" i="4"/>
  <c r="T58" i="4"/>
  <c r="AD59" i="4"/>
  <c r="AD61" i="4"/>
  <c r="Z63" i="4"/>
  <c r="T65" i="4"/>
  <c r="Y66" i="4"/>
  <c r="AD67" i="4"/>
  <c r="S62" i="4"/>
  <c r="W58" i="4"/>
  <c r="U62" i="4"/>
  <c r="V65" i="4"/>
  <c r="U68" i="4"/>
  <c r="AB59" i="4"/>
  <c r="Z65" i="4"/>
  <c r="S60" i="4"/>
  <c r="AA57" i="4"/>
  <c r="Z61" i="4"/>
  <c r="AB64" i="4"/>
  <c r="AA67" i="4"/>
  <c r="AA60" i="4"/>
  <c r="AD62" i="4"/>
  <c r="U65" i="4"/>
  <c r="AB68" i="4"/>
  <c r="T67" i="4"/>
  <c r="T62" i="4"/>
  <c r="U57" i="4"/>
  <c r="Z58" i="4"/>
  <c r="T60" i="4"/>
  <c r="Y61" i="4"/>
  <c r="X57" i="4"/>
  <c r="X59" i="4"/>
  <c r="W61" i="4"/>
  <c r="U63" i="4"/>
  <c r="Z64" i="4"/>
  <c r="T66" i="4"/>
  <c r="Y67" i="4"/>
  <c r="AD68" i="4"/>
  <c r="Y58" i="4"/>
  <c r="Y60" i="4"/>
  <c r="X62" i="4"/>
  <c r="AD63" i="4"/>
  <c r="X65" i="4"/>
  <c r="AC66" i="4"/>
  <c r="W68" i="4"/>
  <c r="S66" i="4"/>
  <c r="V59" i="4"/>
  <c r="T63" i="4"/>
  <c r="AD65" i="4"/>
  <c r="AC68" i="4"/>
  <c r="AA61" i="4"/>
  <c r="W66" i="4"/>
  <c r="S68" i="4"/>
  <c r="AA58" i="4"/>
  <c r="Y62" i="4"/>
  <c r="Y65" i="4"/>
  <c r="X68" i="4"/>
  <c r="X63" i="4"/>
  <c r="AC65" i="4"/>
  <c r="V57" i="4"/>
  <c r="U60" i="4"/>
  <c r="W67" i="4"/>
  <c r="Y57" i="4"/>
  <c r="AD58" i="4"/>
  <c r="X60" i="4"/>
  <c r="AC61" i="4"/>
  <c r="AD57" i="4"/>
  <c r="AC59" i="4"/>
  <c r="AB61" i="4"/>
  <c r="Y63" i="4"/>
  <c r="AD64" i="4"/>
  <c r="X66" i="4"/>
  <c r="AC67" i="4"/>
  <c r="S61" i="4"/>
  <c r="T57" i="4"/>
  <c r="T59" i="4"/>
  <c r="AD60" i="4"/>
  <c r="AC62" i="4"/>
  <c r="W64" i="4"/>
  <c r="AB65" i="4"/>
  <c r="V67" i="4"/>
  <c r="AA68" i="4"/>
  <c r="V60" i="4"/>
  <c r="AB63" i="4"/>
  <c r="AA66" i="4"/>
  <c r="S64" i="4"/>
  <c r="AA62" i="4"/>
  <c r="AB67" i="4"/>
  <c r="Z59" i="4"/>
  <c r="W63" i="4"/>
  <c r="V66" i="4"/>
  <c r="S59" i="4"/>
  <c r="AC64" i="4"/>
  <c r="T68" i="4"/>
  <c r="X64" i="4"/>
  <c r="AA63" i="4"/>
  <c r="O39" i="35"/>
  <c r="R39" i="35" s="1"/>
  <c r="P39" i="35" s="1"/>
  <c r="T39" i="35"/>
  <c r="O29" i="35"/>
  <c r="R29" i="35" s="1"/>
  <c r="P29" i="35" s="1"/>
  <c r="T29" i="35"/>
  <c r="O16" i="35"/>
  <c r="T16" i="35"/>
  <c r="O42" i="35"/>
  <c r="R42" i="35" s="1"/>
  <c r="P42" i="35" s="1"/>
  <c r="T42" i="35"/>
  <c r="T13" i="35"/>
  <c r="O13" i="35"/>
  <c r="O26" i="35"/>
  <c r="R26" i="35" s="1"/>
  <c r="P26" i="35" s="1"/>
  <c r="T26" i="35"/>
  <c r="AG19" i="20"/>
  <c r="AF20" i="20"/>
  <c r="AE23" i="20"/>
  <c r="T8" i="7"/>
  <c r="Q6" i="7"/>
  <c r="T23" i="7" s="1"/>
  <c r="P6" i="7"/>
  <c r="F6" i="7"/>
  <c r="G6" i="7"/>
  <c r="H6" i="7"/>
  <c r="E6" i="7"/>
  <c r="O6" i="7"/>
  <c r="N6" i="7"/>
  <c r="L6" i="7"/>
  <c r="M6" i="7"/>
  <c r="K6" i="7"/>
  <c r="J6" i="7"/>
  <c r="I6" i="7"/>
  <c r="V42" i="35" l="1"/>
  <c r="AH56" i="23"/>
  <c r="BQ56" i="23" s="1"/>
  <c r="AL56" i="23"/>
  <c r="BU56" i="23" s="1"/>
  <c r="AP56" i="23"/>
  <c r="BY56" i="23" s="1"/>
  <c r="AI57" i="23"/>
  <c r="BR57" i="23" s="1"/>
  <c r="AM57" i="23"/>
  <c r="BV57" i="23" s="1"/>
  <c r="AQ57" i="23"/>
  <c r="BZ57" i="23" s="1"/>
  <c r="AJ58" i="23"/>
  <c r="BS58" i="23" s="1"/>
  <c r="AN58" i="23"/>
  <c r="BW58" i="23" s="1"/>
  <c r="AG59" i="23"/>
  <c r="BP59" i="23" s="1"/>
  <c r="AK59" i="23"/>
  <c r="BT59" i="23" s="1"/>
  <c r="AO59" i="23"/>
  <c r="BX59" i="23" s="1"/>
  <c r="AH60" i="23"/>
  <c r="BQ60" i="23" s="1"/>
  <c r="AL60" i="23"/>
  <c r="BU60" i="23" s="1"/>
  <c r="AP60" i="23"/>
  <c r="BY60" i="23" s="1"/>
  <c r="AI61" i="23"/>
  <c r="BR61" i="23" s="1"/>
  <c r="AM61" i="23"/>
  <c r="BV61" i="23" s="1"/>
  <c r="AQ61" i="23"/>
  <c r="BZ61" i="23" s="1"/>
  <c r="AJ62" i="23"/>
  <c r="BS62" i="23" s="1"/>
  <c r="AN62" i="23"/>
  <c r="BW62" i="23" s="1"/>
  <c r="AG63" i="23"/>
  <c r="BP63" i="23" s="1"/>
  <c r="AK63" i="23"/>
  <c r="BT63" i="23" s="1"/>
  <c r="AO63" i="23"/>
  <c r="BX63" i="23" s="1"/>
  <c r="AH64" i="23"/>
  <c r="BQ64" i="23" s="1"/>
  <c r="AL64" i="23"/>
  <c r="BU64" i="23" s="1"/>
  <c r="AP64" i="23"/>
  <c r="BY64" i="23" s="1"/>
  <c r="AI65" i="23"/>
  <c r="BR65" i="23" s="1"/>
  <c r="AM65" i="23"/>
  <c r="BV65" i="23" s="1"/>
  <c r="AQ65" i="23"/>
  <c r="BZ65" i="23" s="1"/>
  <c r="AJ66" i="23"/>
  <c r="BS66" i="23" s="1"/>
  <c r="AN66" i="23"/>
  <c r="BW66" i="23" s="1"/>
  <c r="AG67" i="23"/>
  <c r="BP67" i="23" s="1"/>
  <c r="AK67" i="23"/>
  <c r="BT67" i="23" s="1"/>
  <c r="AO67" i="23"/>
  <c r="BX67" i="23" s="1"/>
  <c r="AF58" i="23"/>
  <c r="BO58" i="23" s="1"/>
  <c r="AF62" i="23"/>
  <c r="BO62" i="23" s="1"/>
  <c r="AF66" i="23"/>
  <c r="BO66" i="23" s="1"/>
  <c r="AI56" i="23"/>
  <c r="BR56" i="23" s="1"/>
  <c r="AM56" i="23"/>
  <c r="BV56" i="23" s="1"/>
  <c r="AQ56" i="23"/>
  <c r="BZ56" i="23" s="1"/>
  <c r="AJ57" i="23"/>
  <c r="BS57" i="23" s="1"/>
  <c r="AN57" i="23"/>
  <c r="BW57" i="23" s="1"/>
  <c r="AG58" i="23"/>
  <c r="BP58" i="23" s="1"/>
  <c r="AK58" i="23"/>
  <c r="BT58" i="23" s="1"/>
  <c r="AO58" i="23"/>
  <c r="BX58" i="23" s="1"/>
  <c r="AH59" i="23"/>
  <c r="BQ59" i="23" s="1"/>
  <c r="AL59" i="23"/>
  <c r="BU59" i="23" s="1"/>
  <c r="AP59" i="23"/>
  <c r="BY59" i="23" s="1"/>
  <c r="AI60" i="23"/>
  <c r="BR60" i="23" s="1"/>
  <c r="AM60" i="23"/>
  <c r="BV60" i="23" s="1"/>
  <c r="AQ60" i="23"/>
  <c r="BZ60" i="23" s="1"/>
  <c r="AJ61" i="23"/>
  <c r="BS61" i="23" s="1"/>
  <c r="AN61" i="23"/>
  <c r="BW61" i="23" s="1"/>
  <c r="AG62" i="23"/>
  <c r="BP62" i="23" s="1"/>
  <c r="AK62" i="23"/>
  <c r="BT62" i="23" s="1"/>
  <c r="AO62" i="23"/>
  <c r="BX62" i="23" s="1"/>
  <c r="AH63" i="23"/>
  <c r="BQ63" i="23" s="1"/>
  <c r="AL63" i="23"/>
  <c r="BU63" i="23" s="1"/>
  <c r="AP63" i="23"/>
  <c r="BY63" i="23" s="1"/>
  <c r="AI64" i="23"/>
  <c r="BR64" i="23" s="1"/>
  <c r="AM64" i="23"/>
  <c r="BV64" i="23" s="1"/>
  <c r="AQ64" i="23"/>
  <c r="BZ64" i="23" s="1"/>
  <c r="AJ65" i="23"/>
  <c r="BS65" i="23" s="1"/>
  <c r="AN65" i="23"/>
  <c r="BW65" i="23" s="1"/>
  <c r="AG66" i="23"/>
  <c r="BP66" i="23" s="1"/>
  <c r="AK66" i="23"/>
  <c r="BT66" i="23" s="1"/>
  <c r="AO66" i="23"/>
  <c r="BX66" i="23" s="1"/>
  <c r="AH67" i="23"/>
  <c r="BQ67" i="23" s="1"/>
  <c r="AL67" i="23"/>
  <c r="BU67" i="23" s="1"/>
  <c r="AP67" i="23"/>
  <c r="BY67" i="23" s="1"/>
  <c r="AF59" i="23"/>
  <c r="BO59" i="23" s="1"/>
  <c r="AF63" i="23"/>
  <c r="BO63" i="23" s="1"/>
  <c r="AF67" i="23"/>
  <c r="BO67" i="23" s="1"/>
  <c r="AJ56" i="23"/>
  <c r="BS56" i="23" s="1"/>
  <c r="AN56" i="23"/>
  <c r="BW56" i="23" s="1"/>
  <c r="AG57" i="23"/>
  <c r="BP57" i="23" s="1"/>
  <c r="AK57" i="23"/>
  <c r="BT57" i="23" s="1"/>
  <c r="AO57" i="23"/>
  <c r="BX57" i="23" s="1"/>
  <c r="AH58" i="23"/>
  <c r="BQ58" i="23" s="1"/>
  <c r="AL58" i="23"/>
  <c r="BU58" i="23" s="1"/>
  <c r="AP58" i="23"/>
  <c r="BY58" i="23" s="1"/>
  <c r="AI59" i="23"/>
  <c r="BR59" i="23" s="1"/>
  <c r="AM59" i="23"/>
  <c r="BV59" i="23" s="1"/>
  <c r="AQ59" i="23"/>
  <c r="BZ59" i="23" s="1"/>
  <c r="AJ60" i="23"/>
  <c r="BS60" i="23" s="1"/>
  <c r="AN60" i="23"/>
  <c r="BW60" i="23" s="1"/>
  <c r="AG61" i="23"/>
  <c r="BP61" i="23" s="1"/>
  <c r="AK61" i="23"/>
  <c r="BT61" i="23" s="1"/>
  <c r="AO61" i="23"/>
  <c r="BX61" i="23" s="1"/>
  <c r="AH62" i="23"/>
  <c r="BQ62" i="23" s="1"/>
  <c r="AL62" i="23"/>
  <c r="BU62" i="23" s="1"/>
  <c r="AP62" i="23"/>
  <c r="BY62" i="23" s="1"/>
  <c r="AI63" i="23"/>
  <c r="BR63" i="23" s="1"/>
  <c r="AM63" i="23"/>
  <c r="BV63" i="23" s="1"/>
  <c r="AQ63" i="23"/>
  <c r="BZ63" i="23" s="1"/>
  <c r="AJ64" i="23"/>
  <c r="BS64" i="23" s="1"/>
  <c r="AN64" i="23"/>
  <c r="BW64" i="23" s="1"/>
  <c r="AG65" i="23"/>
  <c r="BP65" i="23" s="1"/>
  <c r="AK65" i="23"/>
  <c r="BT65" i="23" s="1"/>
  <c r="AO65" i="23"/>
  <c r="BX65" i="23" s="1"/>
  <c r="AH66" i="23"/>
  <c r="BQ66" i="23" s="1"/>
  <c r="AL66" i="23"/>
  <c r="BU66" i="23" s="1"/>
  <c r="AP66" i="23"/>
  <c r="BY66" i="23" s="1"/>
  <c r="AI67" i="23"/>
  <c r="BR67" i="23" s="1"/>
  <c r="AM67" i="23"/>
  <c r="BV67" i="23" s="1"/>
  <c r="AQ67" i="23"/>
  <c r="BZ67" i="23" s="1"/>
  <c r="AF60" i="23"/>
  <c r="BO60" i="23" s="1"/>
  <c r="AF64" i="23"/>
  <c r="BO64" i="23" s="1"/>
  <c r="AF56" i="23"/>
  <c r="BO56" i="23" s="1"/>
  <c r="AO56" i="23"/>
  <c r="BX56" i="23" s="1"/>
  <c r="AI58" i="23"/>
  <c r="BR58" i="23" s="1"/>
  <c r="AN59" i="23"/>
  <c r="BW59" i="23" s="1"/>
  <c r="AH61" i="23"/>
  <c r="BQ61" i="23" s="1"/>
  <c r="AM62" i="23"/>
  <c r="BV62" i="23" s="1"/>
  <c r="AG64" i="23"/>
  <c r="BP64" i="23" s="1"/>
  <c r="AL65" i="23"/>
  <c r="BU65" i="23" s="1"/>
  <c r="AQ66" i="23"/>
  <c r="BZ66" i="23" s="1"/>
  <c r="AF61" i="23"/>
  <c r="BO61" i="23" s="1"/>
  <c r="AG56" i="23"/>
  <c r="BP56" i="23" s="1"/>
  <c r="AL57" i="23"/>
  <c r="BU57" i="23" s="1"/>
  <c r="AP61" i="23"/>
  <c r="BY61" i="23" s="1"/>
  <c r="AO64" i="23"/>
  <c r="BX64" i="23" s="1"/>
  <c r="AK56" i="23"/>
  <c r="BT56" i="23" s="1"/>
  <c r="AI62" i="23"/>
  <c r="BR62" i="23" s="1"/>
  <c r="AH65" i="23"/>
  <c r="BQ65" i="23" s="1"/>
  <c r="AH57" i="23"/>
  <c r="BQ57" i="23" s="1"/>
  <c r="AM58" i="23"/>
  <c r="BV58" i="23" s="1"/>
  <c r="AG60" i="23"/>
  <c r="BP60" i="23" s="1"/>
  <c r="AL61" i="23"/>
  <c r="BU61" i="23" s="1"/>
  <c r="AQ62" i="23"/>
  <c r="BZ62" i="23" s="1"/>
  <c r="AK64" i="23"/>
  <c r="BT64" i="23" s="1"/>
  <c r="AP65" i="23"/>
  <c r="BY65" i="23" s="1"/>
  <c r="AJ67" i="23"/>
  <c r="BS67" i="23" s="1"/>
  <c r="AF65" i="23"/>
  <c r="BO65" i="23" s="1"/>
  <c r="AQ58" i="23"/>
  <c r="BZ58" i="23" s="1"/>
  <c r="AJ63" i="23"/>
  <c r="BS63" i="23" s="1"/>
  <c r="AN67" i="23"/>
  <c r="BW67" i="23" s="1"/>
  <c r="AJ59" i="23"/>
  <c r="BS59" i="23" s="1"/>
  <c r="AN63" i="23"/>
  <c r="BW63" i="23" s="1"/>
  <c r="AF57" i="23"/>
  <c r="BO57" i="23" s="1"/>
  <c r="AK60" i="23"/>
  <c r="BT60" i="23" s="1"/>
  <c r="AI66" i="23"/>
  <c r="BR66" i="23" s="1"/>
  <c r="AP57" i="23"/>
  <c r="BY57" i="23" s="1"/>
  <c r="AO60" i="23"/>
  <c r="BX60" i="23" s="1"/>
  <c r="AM66" i="23"/>
  <c r="BV66" i="23" s="1"/>
  <c r="V39" i="35"/>
  <c r="AH32" i="23"/>
  <c r="BQ32" i="23" s="1"/>
  <c r="AL32" i="23"/>
  <c r="BU32" i="23" s="1"/>
  <c r="AP32" i="23"/>
  <c r="BY32" i="23" s="1"/>
  <c r="AI33" i="23"/>
  <c r="BR33" i="23" s="1"/>
  <c r="AM33" i="23"/>
  <c r="BV33" i="23" s="1"/>
  <c r="AQ33" i="23"/>
  <c r="BZ33" i="23" s="1"/>
  <c r="AJ34" i="23"/>
  <c r="BS34" i="23" s="1"/>
  <c r="AN34" i="23"/>
  <c r="BW34" i="23" s="1"/>
  <c r="AG35" i="23"/>
  <c r="BP35" i="23" s="1"/>
  <c r="AK35" i="23"/>
  <c r="BT35" i="23" s="1"/>
  <c r="AO35" i="23"/>
  <c r="BX35" i="23" s="1"/>
  <c r="AH36" i="23"/>
  <c r="BQ36" i="23" s="1"/>
  <c r="AL36" i="23"/>
  <c r="BU36" i="23" s="1"/>
  <c r="AP36" i="23"/>
  <c r="BY36" i="23" s="1"/>
  <c r="AI37" i="23"/>
  <c r="BR37" i="23" s="1"/>
  <c r="AM37" i="23"/>
  <c r="BV37" i="23" s="1"/>
  <c r="AQ37" i="23"/>
  <c r="BZ37" i="23" s="1"/>
  <c r="AJ38" i="23"/>
  <c r="BS38" i="23" s="1"/>
  <c r="AN38" i="23"/>
  <c r="BW38" i="23" s="1"/>
  <c r="AG39" i="23"/>
  <c r="BP39" i="23" s="1"/>
  <c r="AK39" i="23"/>
  <c r="BT39" i="23" s="1"/>
  <c r="AO39" i="23"/>
  <c r="BX39" i="23" s="1"/>
  <c r="AH40" i="23"/>
  <c r="BQ40" i="23" s="1"/>
  <c r="AL40" i="23"/>
  <c r="BU40" i="23" s="1"/>
  <c r="AP40" i="23"/>
  <c r="BY40" i="23" s="1"/>
  <c r="AI41" i="23"/>
  <c r="BR41" i="23" s="1"/>
  <c r="AM41" i="23"/>
  <c r="BV41" i="23" s="1"/>
  <c r="AQ41" i="23"/>
  <c r="BZ41" i="23" s="1"/>
  <c r="AJ42" i="23"/>
  <c r="BS42" i="23" s="1"/>
  <c r="AN42" i="23"/>
  <c r="BW42" i="23" s="1"/>
  <c r="AG43" i="23"/>
  <c r="BP43" i="23" s="1"/>
  <c r="AK43" i="23"/>
  <c r="BT43" i="23" s="1"/>
  <c r="AO43" i="23"/>
  <c r="BX43" i="23" s="1"/>
  <c r="AF34" i="23"/>
  <c r="BO34" i="23" s="1"/>
  <c r="AF38" i="23"/>
  <c r="BO38" i="23" s="1"/>
  <c r="AF42" i="23"/>
  <c r="BO42" i="23" s="1"/>
  <c r="AI32" i="23"/>
  <c r="BR32" i="23" s="1"/>
  <c r="AM32" i="23"/>
  <c r="BV32" i="23" s="1"/>
  <c r="AQ32" i="23"/>
  <c r="BZ32" i="23" s="1"/>
  <c r="AJ33" i="23"/>
  <c r="BS33" i="23" s="1"/>
  <c r="AN33" i="23"/>
  <c r="BW33" i="23" s="1"/>
  <c r="AG34" i="23"/>
  <c r="BP34" i="23" s="1"/>
  <c r="AK34" i="23"/>
  <c r="BT34" i="23" s="1"/>
  <c r="AO34" i="23"/>
  <c r="BX34" i="23" s="1"/>
  <c r="AH35" i="23"/>
  <c r="BQ35" i="23" s="1"/>
  <c r="AL35" i="23"/>
  <c r="BU35" i="23" s="1"/>
  <c r="AP35" i="23"/>
  <c r="BY35" i="23" s="1"/>
  <c r="AI36" i="23"/>
  <c r="BR36" i="23" s="1"/>
  <c r="AM36" i="23"/>
  <c r="BV36" i="23" s="1"/>
  <c r="AQ36" i="23"/>
  <c r="BZ36" i="23" s="1"/>
  <c r="AJ37" i="23"/>
  <c r="BS37" i="23" s="1"/>
  <c r="AN37" i="23"/>
  <c r="BW37" i="23" s="1"/>
  <c r="AG38" i="23"/>
  <c r="BP38" i="23" s="1"/>
  <c r="AK38" i="23"/>
  <c r="BT38" i="23" s="1"/>
  <c r="AO38" i="23"/>
  <c r="BX38" i="23" s="1"/>
  <c r="AH39" i="23"/>
  <c r="BQ39" i="23" s="1"/>
  <c r="AL39" i="23"/>
  <c r="BU39" i="23" s="1"/>
  <c r="AP39" i="23"/>
  <c r="BY39" i="23" s="1"/>
  <c r="AI40" i="23"/>
  <c r="BR40" i="23" s="1"/>
  <c r="AM40" i="23"/>
  <c r="BV40" i="23" s="1"/>
  <c r="AQ40" i="23"/>
  <c r="BZ40" i="23" s="1"/>
  <c r="AJ41" i="23"/>
  <c r="BS41" i="23" s="1"/>
  <c r="AN41" i="23"/>
  <c r="BW41" i="23" s="1"/>
  <c r="AG42" i="23"/>
  <c r="BP42" i="23" s="1"/>
  <c r="AK42" i="23"/>
  <c r="BT42" i="23" s="1"/>
  <c r="AO42" i="23"/>
  <c r="BX42" i="23" s="1"/>
  <c r="AH43" i="23"/>
  <c r="BQ43" i="23" s="1"/>
  <c r="AL43" i="23"/>
  <c r="BU43" i="23" s="1"/>
  <c r="AP43" i="23"/>
  <c r="BY43" i="23" s="1"/>
  <c r="AF35" i="23"/>
  <c r="BO35" i="23" s="1"/>
  <c r="AF39" i="23"/>
  <c r="BO39" i="23" s="1"/>
  <c r="AF43" i="23"/>
  <c r="BO43" i="23" s="1"/>
  <c r="AJ32" i="23"/>
  <c r="BS32" i="23" s="1"/>
  <c r="AN32" i="23"/>
  <c r="BW32" i="23" s="1"/>
  <c r="AG33" i="23"/>
  <c r="BP33" i="23" s="1"/>
  <c r="AK33" i="23"/>
  <c r="BT33" i="23" s="1"/>
  <c r="AO33" i="23"/>
  <c r="BX33" i="23" s="1"/>
  <c r="AH34" i="23"/>
  <c r="BQ34" i="23" s="1"/>
  <c r="AL34" i="23"/>
  <c r="BU34" i="23" s="1"/>
  <c r="AP34" i="23"/>
  <c r="BY34" i="23" s="1"/>
  <c r="AI35" i="23"/>
  <c r="BR35" i="23" s="1"/>
  <c r="AM35" i="23"/>
  <c r="BV35" i="23" s="1"/>
  <c r="AQ35" i="23"/>
  <c r="BZ35" i="23" s="1"/>
  <c r="AJ36" i="23"/>
  <c r="BS36" i="23" s="1"/>
  <c r="AN36" i="23"/>
  <c r="BW36" i="23" s="1"/>
  <c r="AG37" i="23"/>
  <c r="BP37" i="23" s="1"/>
  <c r="AK37" i="23"/>
  <c r="BT37" i="23" s="1"/>
  <c r="AO37" i="23"/>
  <c r="BX37" i="23" s="1"/>
  <c r="AH38" i="23"/>
  <c r="BQ38" i="23" s="1"/>
  <c r="AL38" i="23"/>
  <c r="BU38" i="23" s="1"/>
  <c r="AP38" i="23"/>
  <c r="BY38" i="23" s="1"/>
  <c r="AI39" i="23"/>
  <c r="BR39" i="23" s="1"/>
  <c r="AM39" i="23"/>
  <c r="BV39" i="23" s="1"/>
  <c r="AQ39" i="23"/>
  <c r="BZ39" i="23" s="1"/>
  <c r="AJ40" i="23"/>
  <c r="BS40" i="23" s="1"/>
  <c r="AN40" i="23"/>
  <c r="BW40" i="23" s="1"/>
  <c r="AG41" i="23"/>
  <c r="BP41" i="23" s="1"/>
  <c r="AK41" i="23"/>
  <c r="BT41" i="23" s="1"/>
  <c r="AO41" i="23"/>
  <c r="BX41" i="23" s="1"/>
  <c r="AH42" i="23"/>
  <c r="BQ42" i="23" s="1"/>
  <c r="AL42" i="23"/>
  <c r="BU42" i="23" s="1"/>
  <c r="AP42" i="23"/>
  <c r="BY42" i="23" s="1"/>
  <c r="AI43" i="23"/>
  <c r="BR43" i="23" s="1"/>
  <c r="AM43" i="23"/>
  <c r="BV43" i="23" s="1"/>
  <c r="AQ43" i="23"/>
  <c r="BZ43" i="23" s="1"/>
  <c r="AF36" i="23"/>
  <c r="BO36" i="23" s="1"/>
  <c r="AF40" i="23"/>
  <c r="BO40" i="23" s="1"/>
  <c r="AF32" i="23"/>
  <c r="BO32" i="23" s="1"/>
  <c r="AO32" i="23"/>
  <c r="BX32" i="23" s="1"/>
  <c r="AI34" i="23"/>
  <c r="BR34" i="23" s="1"/>
  <c r="AN35" i="23"/>
  <c r="BW35" i="23" s="1"/>
  <c r="AH37" i="23"/>
  <c r="BQ37" i="23" s="1"/>
  <c r="AM38" i="23"/>
  <c r="BV38" i="23" s="1"/>
  <c r="AG40" i="23"/>
  <c r="BP40" i="23" s="1"/>
  <c r="AL41" i="23"/>
  <c r="BU41" i="23" s="1"/>
  <c r="AQ42" i="23"/>
  <c r="BZ42" i="23" s="1"/>
  <c r="AF37" i="23"/>
  <c r="BO37" i="23" s="1"/>
  <c r="AG32" i="23"/>
  <c r="BP32" i="23" s="1"/>
  <c r="AK36" i="23"/>
  <c r="BT36" i="23" s="1"/>
  <c r="AO40" i="23"/>
  <c r="BX40" i="23" s="1"/>
  <c r="AP33" i="23"/>
  <c r="BY33" i="23" s="1"/>
  <c r="AI38" i="23"/>
  <c r="BR38" i="23" s="1"/>
  <c r="AM42" i="23"/>
  <c r="BV42" i="23" s="1"/>
  <c r="AH33" i="23"/>
  <c r="BQ33" i="23" s="1"/>
  <c r="AM34" i="23"/>
  <c r="BV34" i="23" s="1"/>
  <c r="AG36" i="23"/>
  <c r="BP36" i="23" s="1"/>
  <c r="AL37" i="23"/>
  <c r="BU37" i="23" s="1"/>
  <c r="AQ38" i="23"/>
  <c r="BZ38" i="23" s="1"/>
  <c r="AK40" i="23"/>
  <c r="BT40" i="23" s="1"/>
  <c r="AP41" i="23"/>
  <c r="BY41" i="23" s="1"/>
  <c r="AJ43" i="23"/>
  <c r="BS43" i="23" s="1"/>
  <c r="AF41" i="23"/>
  <c r="BO41" i="23" s="1"/>
  <c r="AQ34" i="23"/>
  <c r="BZ34" i="23" s="1"/>
  <c r="AJ39" i="23"/>
  <c r="BS39" i="23" s="1"/>
  <c r="AN43" i="23"/>
  <c r="BW43" i="23" s="1"/>
  <c r="AJ35" i="23"/>
  <c r="BS35" i="23" s="1"/>
  <c r="AN39" i="23"/>
  <c r="BW39" i="23" s="1"/>
  <c r="AF33" i="23"/>
  <c r="BO33" i="23" s="1"/>
  <c r="AL33" i="23"/>
  <c r="BU33" i="23" s="1"/>
  <c r="AP37" i="23"/>
  <c r="BY37" i="23" s="1"/>
  <c r="AI42" i="23"/>
  <c r="BR42" i="23" s="1"/>
  <c r="AK32" i="23"/>
  <c r="BT32" i="23" s="1"/>
  <c r="AO36" i="23"/>
  <c r="BX36" i="23" s="1"/>
  <c r="AH41" i="23"/>
  <c r="BQ41" i="23" s="1"/>
  <c r="V29" i="35"/>
  <c r="AI54" i="21"/>
  <c r="BR54" i="21" s="1"/>
  <c r="AM54" i="21"/>
  <c r="BV54" i="21" s="1"/>
  <c r="AQ54" i="21"/>
  <c r="BZ54" i="21" s="1"/>
  <c r="AJ55" i="21"/>
  <c r="BS55" i="21" s="1"/>
  <c r="AN55" i="21"/>
  <c r="BW55" i="21" s="1"/>
  <c r="AG56" i="21"/>
  <c r="BP56" i="21" s="1"/>
  <c r="AK56" i="21"/>
  <c r="BT56" i="21" s="1"/>
  <c r="AO56" i="21"/>
  <c r="BX56" i="21" s="1"/>
  <c r="AH57" i="21"/>
  <c r="BQ57" i="21" s="1"/>
  <c r="AL57" i="21"/>
  <c r="BU57" i="21" s="1"/>
  <c r="AP57" i="21"/>
  <c r="BY57" i="21" s="1"/>
  <c r="AI58" i="21"/>
  <c r="BR58" i="21" s="1"/>
  <c r="AM58" i="21"/>
  <c r="BV58" i="21" s="1"/>
  <c r="AQ58" i="21"/>
  <c r="BZ58" i="21" s="1"/>
  <c r="AJ59" i="21"/>
  <c r="BS59" i="21" s="1"/>
  <c r="AN59" i="21"/>
  <c r="BW59" i="21" s="1"/>
  <c r="AG60" i="21"/>
  <c r="BP60" i="21" s="1"/>
  <c r="AK60" i="21"/>
  <c r="BT60" i="21" s="1"/>
  <c r="AO60" i="21"/>
  <c r="BX60" i="21" s="1"/>
  <c r="AH61" i="21"/>
  <c r="BQ61" i="21" s="1"/>
  <c r="AL61" i="21"/>
  <c r="BU61" i="21" s="1"/>
  <c r="AP61" i="21"/>
  <c r="BY61" i="21" s="1"/>
  <c r="AI62" i="21"/>
  <c r="BR62" i="21" s="1"/>
  <c r="AM62" i="21"/>
  <c r="BV62" i="21" s="1"/>
  <c r="AQ62" i="21"/>
  <c r="BZ62" i="21" s="1"/>
  <c r="AJ63" i="21"/>
  <c r="BS63" i="21" s="1"/>
  <c r="AN63" i="21"/>
  <c r="BW63" i="21" s="1"/>
  <c r="AG64" i="21"/>
  <c r="BP64" i="21" s="1"/>
  <c r="AK64" i="21"/>
  <c r="BT64" i="21" s="1"/>
  <c r="AO64" i="21"/>
  <c r="BX64" i="21" s="1"/>
  <c r="AH65" i="21"/>
  <c r="BQ65" i="21" s="1"/>
  <c r="AL65" i="21"/>
  <c r="BU65" i="21" s="1"/>
  <c r="AP65" i="21"/>
  <c r="BY65" i="21" s="1"/>
  <c r="AF57" i="21"/>
  <c r="BO57" i="21" s="1"/>
  <c r="AF61" i="21"/>
  <c r="BO61" i="21" s="1"/>
  <c r="AF65" i="21"/>
  <c r="BO65" i="21" s="1"/>
  <c r="AJ54" i="21"/>
  <c r="BS54" i="21" s="1"/>
  <c r="AN54" i="21"/>
  <c r="BW54" i="21" s="1"/>
  <c r="AG55" i="21"/>
  <c r="BP55" i="21" s="1"/>
  <c r="AK55" i="21"/>
  <c r="BT55" i="21" s="1"/>
  <c r="AO55" i="21"/>
  <c r="BX55" i="21" s="1"/>
  <c r="AH56" i="21"/>
  <c r="BQ56" i="21" s="1"/>
  <c r="AL56" i="21"/>
  <c r="BU56" i="21" s="1"/>
  <c r="AP56" i="21"/>
  <c r="BY56" i="21" s="1"/>
  <c r="AI57" i="21"/>
  <c r="BR57" i="21" s="1"/>
  <c r="AM57" i="21"/>
  <c r="BV57" i="21" s="1"/>
  <c r="AQ57" i="21"/>
  <c r="BZ57" i="21" s="1"/>
  <c r="AJ58" i="21"/>
  <c r="BS58" i="21" s="1"/>
  <c r="AN58" i="21"/>
  <c r="BW58" i="21" s="1"/>
  <c r="AG59" i="21"/>
  <c r="BP59" i="21" s="1"/>
  <c r="AK59" i="21"/>
  <c r="BT59" i="21" s="1"/>
  <c r="AO59" i="21"/>
  <c r="BX59" i="21" s="1"/>
  <c r="AH60" i="21"/>
  <c r="BQ60" i="21" s="1"/>
  <c r="AL60" i="21"/>
  <c r="BU60" i="21" s="1"/>
  <c r="AP60" i="21"/>
  <c r="BY60" i="21" s="1"/>
  <c r="AI61" i="21"/>
  <c r="BR61" i="21" s="1"/>
  <c r="AM61" i="21"/>
  <c r="BV61" i="21" s="1"/>
  <c r="AQ61" i="21"/>
  <c r="BZ61" i="21" s="1"/>
  <c r="AJ62" i="21"/>
  <c r="BS62" i="21" s="1"/>
  <c r="AN62" i="21"/>
  <c r="BW62" i="21" s="1"/>
  <c r="AG63" i="21"/>
  <c r="BP63" i="21" s="1"/>
  <c r="AK63" i="21"/>
  <c r="BT63" i="21" s="1"/>
  <c r="AO63" i="21"/>
  <c r="BX63" i="21" s="1"/>
  <c r="AH64" i="21"/>
  <c r="BQ64" i="21" s="1"/>
  <c r="AL64" i="21"/>
  <c r="BU64" i="21" s="1"/>
  <c r="AP64" i="21"/>
  <c r="BY64" i="21" s="1"/>
  <c r="AI65" i="21"/>
  <c r="BR65" i="21" s="1"/>
  <c r="AM65" i="21"/>
  <c r="BV65" i="21" s="1"/>
  <c r="AQ65" i="21"/>
  <c r="BZ65" i="21" s="1"/>
  <c r="AF58" i="21"/>
  <c r="BO58" i="21" s="1"/>
  <c r="AF62" i="21"/>
  <c r="BO62" i="21" s="1"/>
  <c r="AF54" i="21"/>
  <c r="BO54" i="21" s="1"/>
  <c r="AG54" i="21"/>
  <c r="BP54" i="21" s="1"/>
  <c r="AK54" i="21"/>
  <c r="BT54" i="21" s="1"/>
  <c r="AO54" i="21"/>
  <c r="BX54" i="21" s="1"/>
  <c r="AH55" i="21"/>
  <c r="BQ55" i="21" s="1"/>
  <c r="AL55" i="21"/>
  <c r="BU55" i="21" s="1"/>
  <c r="AP55" i="21"/>
  <c r="BY55" i="21" s="1"/>
  <c r="AI56" i="21"/>
  <c r="BR56" i="21" s="1"/>
  <c r="AM56" i="21"/>
  <c r="BV56" i="21" s="1"/>
  <c r="AQ56" i="21"/>
  <c r="BZ56" i="21" s="1"/>
  <c r="AJ57" i="21"/>
  <c r="BS57" i="21" s="1"/>
  <c r="AN57" i="21"/>
  <c r="BW57" i="21" s="1"/>
  <c r="AG58" i="21"/>
  <c r="BP58" i="21" s="1"/>
  <c r="AK58" i="21"/>
  <c r="BT58" i="21" s="1"/>
  <c r="AO58" i="21"/>
  <c r="BX58" i="21" s="1"/>
  <c r="AH59" i="21"/>
  <c r="BQ59" i="21" s="1"/>
  <c r="AL59" i="21"/>
  <c r="BU59" i="21" s="1"/>
  <c r="AP59" i="21"/>
  <c r="BY59" i="21" s="1"/>
  <c r="AI60" i="21"/>
  <c r="BR60" i="21" s="1"/>
  <c r="AM60" i="21"/>
  <c r="BV60" i="21" s="1"/>
  <c r="AQ60" i="21"/>
  <c r="BZ60" i="21" s="1"/>
  <c r="AJ61" i="21"/>
  <c r="BS61" i="21" s="1"/>
  <c r="AN61" i="21"/>
  <c r="BW61" i="21" s="1"/>
  <c r="AG62" i="21"/>
  <c r="BP62" i="21" s="1"/>
  <c r="AK62" i="21"/>
  <c r="BT62" i="21" s="1"/>
  <c r="AO62" i="21"/>
  <c r="BX62" i="21" s="1"/>
  <c r="AH63" i="21"/>
  <c r="BQ63" i="21" s="1"/>
  <c r="AL63" i="21"/>
  <c r="BU63" i="21" s="1"/>
  <c r="AP63" i="21"/>
  <c r="BY63" i="21" s="1"/>
  <c r="AI64" i="21"/>
  <c r="BR64" i="21" s="1"/>
  <c r="AM64" i="21"/>
  <c r="BV64" i="21" s="1"/>
  <c r="AQ64" i="21"/>
  <c r="BZ64" i="21" s="1"/>
  <c r="AJ65" i="21"/>
  <c r="BS65" i="21" s="1"/>
  <c r="AN65" i="21"/>
  <c r="BW65" i="21" s="1"/>
  <c r="AF55" i="21"/>
  <c r="BO55" i="21" s="1"/>
  <c r="AF59" i="21"/>
  <c r="BO59" i="21" s="1"/>
  <c r="AF63" i="21"/>
  <c r="BO63" i="21" s="1"/>
  <c r="AP54" i="21"/>
  <c r="BY54" i="21" s="1"/>
  <c r="AJ56" i="21"/>
  <c r="BS56" i="21" s="1"/>
  <c r="AO57" i="21"/>
  <c r="BX57" i="21" s="1"/>
  <c r="AI59" i="21"/>
  <c r="BR59" i="21" s="1"/>
  <c r="AN60" i="21"/>
  <c r="BW60" i="21" s="1"/>
  <c r="AH62" i="21"/>
  <c r="BQ62" i="21" s="1"/>
  <c r="AM63" i="21"/>
  <c r="BV63" i="21" s="1"/>
  <c r="AG65" i="21"/>
  <c r="BP65" i="21" s="1"/>
  <c r="AF60" i="21"/>
  <c r="BO60" i="21" s="1"/>
  <c r="AI55" i="21"/>
  <c r="BR55" i="21" s="1"/>
  <c r="AN56" i="21"/>
  <c r="BW56" i="21" s="1"/>
  <c r="AH58" i="21"/>
  <c r="BQ58" i="21" s="1"/>
  <c r="AM59" i="21"/>
  <c r="BV59" i="21" s="1"/>
  <c r="AG61" i="21"/>
  <c r="BP61" i="21" s="1"/>
  <c r="AL62" i="21"/>
  <c r="BU62" i="21" s="1"/>
  <c r="AQ63" i="21"/>
  <c r="BZ63" i="21" s="1"/>
  <c r="AK65" i="21"/>
  <c r="BT65" i="21" s="1"/>
  <c r="AF64" i="21"/>
  <c r="BO64" i="21" s="1"/>
  <c r="AH54" i="21"/>
  <c r="BQ54" i="21" s="1"/>
  <c r="AM55" i="21"/>
  <c r="BV55" i="21" s="1"/>
  <c r="AG57" i="21"/>
  <c r="BP57" i="21" s="1"/>
  <c r="AL58" i="21"/>
  <c r="BU58" i="21" s="1"/>
  <c r="AQ59" i="21"/>
  <c r="BZ59" i="21" s="1"/>
  <c r="AK61" i="21"/>
  <c r="BT61" i="21" s="1"/>
  <c r="AP62" i="21"/>
  <c r="BY62" i="21" s="1"/>
  <c r="AJ64" i="21"/>
  <c r="BS64" i="21" s="1"/>
  <c r="AO65" i="21"/>
  <c r="BX65" i="21" s="1"/>
  <c r="AL54" i="21"/>
  <c r="BU54" i="21" s="1"/>
  <c r="AQ55" i="21"/>
  <c r="BZ55" i="21" s="1"/>
  <c r="AK57" i="21"/>
  <c r="BT57" i="21" s="1"/>
  <c r="AP58" i="21"/>
  <c r="BY58" i="21" s="1"/>
  <c r="AJ60" i="21"/>
  <c r="BS60" i="21" s="1"/>
  <c r="AO61" i="21"/>
  <c r="BX61" i="21" s="1"/>
  <c r="AI63" i="21"/>
  <c r="BR63" i="21" s="1"/>
  <c r="AN64" i="21"/>
  <c r="BW64" i="21" s="1"/>
  <c r="AF56" i="21"/>
  <c r="BO56" i="21" s="1"/>
  <c r="V26" i="35"/>
  <c r="AI31" i="21"/>
  <c r="BR31" i="21" s="1"/>
  <c r="AM31" i="21"/>
  <c r="BV31" i="21" s="1"/>
  <c r="AQ31" i="21"/>
  <c r="BZ31" i="21" s="1"/>
  <c r="AJ32" i="21"/>
  <c r="BS32" i="21" s="1"/>
  <c r="AN32" i="21"/>
  <c r="BW32" i="21" s="1"/>
  <c r="AG33" i="21"/>
  <c r="BP33" i="21" s="1"/>
  <c r="AK33" i="21"/>
  <c r="BT33" i="21" s="1"/>
  <c r="AO33" i="21"/>
  <c r="BX33" i="21" s="1"/>
  <c r="AH34" i="21"/>
  <c r="BQ34" i="21" s="1"/>
  <c r="AL34" i="21"/>
  <c r="BU34" i="21" s="1"/>
  <c r="AP34" i="21"/>
  <c r="BY34" i="21" s="1"/>
  <c r="AI35" i="21"/>
  <c r="BR35" i="21" s="1"/>
  <c r="AM35" i="21"/>
  <c r="BV35" i="21" s="1"/>
  <c r="AQ35" i="21"/>
  <c r="BZ35" i="21" s="1"/>
  <c r="AJ36" i="21"/>
  <c r="BS36" i="21" s="1"/>
  <c r="AN36" i="21"/>
  <c r="BW36" i="21" s="1"/>
  <c r="AG37" i="21"/>
  <c r="BP37" i="21" s="1"/>
  <c r="AK37" i="21"/>
  <c r="BT37" i="21" s="1"/>
  <c r="AO37" i="21"/>
  <c r="BX37" i="21" s="1"/>
  <c r="AH38" i="21"/>
  <c r="BQ38" i="21" s="1"/>
  <c r="AL38" i="21"/>
  <c r="BU38" i="21" s="1"/>
  <c r="AP38" i="21"/>
  <c r="BY38" i="21" s="1"/>
  <c r="AI39" i="21"/>
  <c r="BR39" i="21" s="1"/>
  <c r="AM39" i="21"/>
  <c r="BV39" i="21" s="1"/>
  <c r="AQ39" i="21"/>
  <c r="BZ39" i="21" s="1"/>
  <c r="AJ40" i="21"/>
  <c r="BS40" i="21" s="1"/>
  <c r="AN40" i="21"/>
  <c r="BW40" i="21" s="1"/>
  <c r="AG41" i="21"/>
  <c r="BP41" i="21" s="1"/>
  <c r="AK41" i="21"/>
  <c r="BT41" i="21" s="1"/>
  <c r="AO41" i="21"/>
  <c r="BX41" i="21" s="1"/>
  <c r="AH42" i="21"/>
  <c r="BQ42" i="21" s="1"/>
  <c r="AL42" i="21"/>
  <c r="BU42" i="21" s="1"/>
  <c r="AP42" i="21"/>
  <c r="BY42" i="21" s="1"/>
  <c r="AF34" i="21"/>
  <c r="BO34" i="21" s="1"/>
  <c r="AF38" i="21"/>
  <c r="BO38" i="21" s="1"/>
  <c r="AF42" i="21"/>
  <c r="BO42" i="21" s="1"/>
  <c r="AJ31" i="21"/>
  <c r="BS31" i="21" s="1"/>
  <c r="AN31" i="21"/>
  <c r="BW31" i="21" s="1"/>
  <c r="AG32" i="21"/>
  <c r="BP32" i="21" s="1"/>
  <c r="AK32" i="21"/>
  <c r="BT32" i="21" s="1"/>
  <c r="AO32" i="21"/>
  <c r="BX32" i="21" s="1"/>
  <c r="AH33" i="21"/>
  <c r="BQ33" i="21" s="1"/>
  <c r="AL33" i="21"/>
  <c r="BU33" i="21" s="1"/>
  <c r="AP33" i="21"/>
  <c r="BY33" i="21" s="1"/>
  <c r="AI34" i="21"/>
  <c r="BR34" i="21" s="1"/>
  <c r="AM34" i="21"/>
  <c r="BV34" i="21" s="1"/>
  <c r="AQ34" i="21"/>
  <c r="BZ34" i="21" s="1"/>
  <c r="AJ35" i="21"/>
  <c r="BS35" i="21" s="1"/>
  <c r="AN35" i="21"/>
  <c r="BW35" i="21" s="1"/>
  <c r="AG36" i="21"/>
  <c r="BP36" i="21" s="1"/>
  <c r="AK36" i="21"/>
  <c r="BT36" i="21" s="1"/>
  <c r="AO36" i="21"/>
  <c r="BX36" i="21" s="1"/>
  <c r="AH37" i="21"/>
  <c r="BQ37" i="21" s="1"/>
  <c r="AL37" i="21"/>
  <c r="BU37" i="21" s="1"/>
  <c r="AP37" i="21"/>
  <c r="BY37" i="21" s="1"/>
  <c r="AI38" i="21"/>
  <c r="BR38" i="21" s="1"/>
  <c r="AM38" i="21"/>
  <c r="BV38" i="21" s="1"/>
  <c r="AQ38" i="21"/>
  <c r="BZ38" i="21" s="1"/>
  <c r="AJ39" i="21"/>
  <c r="BS39" i="21" s="1"/>
  <c r="AN39" i="21"/>
  <c r="BW39" i="21" s="1"/>
  <c r="AG40" i="21"/>
  <c r="BP40" i="21" s="1"/>
  <c r="AK40" i="21"/>
  <c r="BT40" i="21" s="1"/>
  <c r="AO40" i="21"/>
  <c r="BX40" i="21" s="1"/>
  <c r="AH41" i="21"/>
  <c r="BQ41" i="21" s="1"/>
  <c r="AL41" i="21"/>
  <c r="BU41" i="21" s="1"/>
  <c r="AP41" i="21"/>
  <c r="BY41" i="21" s="1"/>
  <c r="AI42" i="21"/>
  <c r="BR42" i="21" s="1"/>
  <c r="AM42" i="21"/>
  <c r="BV42" i="21" s="1"/>
  <c r="AQ42" i="21"/>
  <c r="BZ42" i="21" s="1"/>
  <c r="AF35" i="21"/>
  <c r="BO35" i="21" s="1"/>
  <c r="AF39" i="21"/>
  <c r="BO39" i="21" s="1"/>
  <c r="AF31" i="21"/>
  <c r="BO31" i="21" s="1"/>
  <c r="AG31" i="21"/>
  <c r="BP31" i="21" s="1"/>
  <c r="AK31" i="21"/>
  <c r="BT31" i="21" s="1"/>
  <c r="AO31" i="21"/>
  <c r="BX31" i="21" s="1"/>
  <c r="AH32" i="21"/>
  <c r="BQ32" i="21" s="1"/>
  <c r="AL32" i="21"/>
  <c r="BU32" i="21" s="1"/>
  <c r="AP32" i="21"/>
  <c r="BY32" i="21" s="1"/>
  <c r="AI33" i="21"/>
  <c r="BR33" i="21" s="1"/>
  <c r="AM33" i="21"/>
  <c r="BV33" i="21" s="1"/>
  <c r="AQ33" i="21"/>
  <c r="BZ33" i="21" s="1"/>
  <c r="AJ34" i="21"/>
  <c r="BS34" i="21" s="1"/>
  <c r="AN34" i="21"/>
  <c r="BW34" i="21" s="1"/>
  <c r="AG35" i="21"/>
  <c r="BP35" i="21" s="1"/>
  <c r="AK35" i="21"/>
  <c r="BT35" i="21" s="1"/>
  <c r="AO35" i="21"/>
  <c r="BX35" i="21" s="1"/>
  <c r="AH36" i="21"/>
  <c r="BQ36" i="21" s="1"/>
  <c r="AL36" i="21"/>
  <c r="BU36" i="21" s="1"/>
  <c r="AP36" i="21"/>
  <c r="BY36" i="21" s="1"/>
  <c r="AI37" i="21"/>
  <c r="BR37" i="21" s="1"/>
  <c r="AM37" i="21"/>
  <c r="BV37" i="21" s="1"/>
  <c r="AQ37" i="21"/>
  <c r="BZ37" i="21" s="1"/>
  <c r="AJ38" i="21"/>
  <c r="BS38" i="21" s="1"/>
  <c r="AN38" i="21"/>
  <c r="BW38" i="21" s="1"/>
  <c r="AG39" i="21"/>
  <c r="BP39" i="21" s="1"/>
  <c r="AK39" i="21"/>
  <c r="BT39" i="21" s="1"/>
  <c r="AO39" i="21"/>
  <c r="BX39" i="21" s="1"/>
  <c r="AH40" i="21"/>
  <c r="BQ40" i="21" s="1"/>
  <c r="AL40" i="21"/>
  <c r="BU40" i="21" s="1"/>
  <c r="AP40" i="21"/>
  <c r="BY40" i="21" s="1"/>
  <c r="AI41" i="21"/>
  <c r="BR41" i="21" s="1"/>
  <c r="AM41" i="21"/>
  <c r="BV41" i="21" s="1"/>
  <c r="AQ41" i="21"/>
  <c r="BZ41" i="21" s="1"/>
  <c r="AJ42" i="21"/>
  <c r="BS42" i="21" s="1"/>
  <c r="AN42" i="21"/>
  <c r="BW42" i="21" s="1"/>
  <c r="AF32" i="21"/>
  <c r="BO32" i="21" s="1"/>
  <c r="AF36" i="21"/>
  <c r="BO36" i="21" s="1"/>
  <c r="AF40" i="21"/>
  <c r="BO40" i="21" s="1"/>
  <c r="AP31" i="21"/>
  <c r="BY31" i="21" s="1"/>
  <c r="AJ33" i="21"/>
  <c r="BS33" i="21" s="1"/>
  <c r="AO34" i="21"/>
  <c r="BX34" i="21" s="1"/>
  <c r="AI36" i="21"/>
  <c r="BR36" i="21" s="1"/>
  <c r="AN37" i="21"/>
  <c r="BW37" i="21" s="1"/>
  <c r="AH39" i="21"/>
  <c r="BQ39" i="21" s="1"/>
  <c r="AM40" i="21"/>
  <c r="BV40" i="21" s="1"/>
  <c r="AG42" i="21"/>
  <c r="BP42" i="21" s="1"/>
  <c r="AF37" i="21"/>
  <c r="BO37" i="21" s="1"/>
  <c r="AI32" i="21"/>
  <c r="BR32" i="21" s="1"/>
  <c r="AN33" i="21"/>
  <c r="BW33" i="21" s="1"/>
  <c r="AH35" i="21"/>
  <c r="BQ35" i="21" s="1"/>
  <c r="AM36" i="21"/>
  <c r="BV36" i="21" s="1"/>
  <c r="AG38" i="21"/>
  <c r="BP38" i="21" s="1"/>
  <c r="AL39" i="21"/>
  <c r="BU39" i="21" s="1"/>
  <c r="AQ40" i="21"/>
  <c r="BZ40" i="21" s="1"/>
  <c r="AK42" i="21"/>
  <c r="BT42" i="21" s="1"/>
  <c r="AF41" i="21"/>
  <c r="BO41" i="21" s="1"/>
  <c r="AQ32" i="21"/>
  <c r="BZ32" i="21" s="1"/>
  <c r="AH31" i="21"/>
  <c r="BQ31" i="21" s="1"/>
  <c r="AM32" i="21"/>
  <c r="BV32" i="21" s="1"/>
  <c r="AG34" i="21"/>
  <c r="BP34" i="21" s="1"/>
  <c r="AL35" i="21"/>
  <c r="BU35" i="21" s="1"/>
  <c r="AQ36" i="21"/>
  <c r="BZ36" i="21" s="1"/>
  <c r="AK38" i="21"/>
  <c r="BT38" i="21" s="1"/>
  <c r="AP39" i="21"/>
  <c r="BY39" i="21" s="1"/>
  <c r="AJ41" i="21"/>
  <c r="BS41" i="21" s="1"/>
  <c r="AO42" i="21"/>
  <c r="BX42" i="21" s="1"/>
  <c r="AL31" i="21"/>
  <c r="BU31" i="21" s="1"/>
  <c r="AK34" i="21"/>
  <c r="BT34" i="21" s="1"/>
  <c r="AP35" i="21"/>
  <c r="BY35" i="21" s="1"/>
  <c r="AJ37" i="21"/>
  <c r="BS37" i="21" s="1"/>
  <c r="AO38" i="21"/>
  <c r="BX38" i="21" s="1"/>
  <c r="AI40" i="21"/>
  <c r="BR40" i="21" s="1"/>
  <c r="AN41" i="21"/>
  <c r="BW41" i="21" s="1"/>
  <c r="AF33" i="21"/>
  <c r="BO33" i="21" s="1"/>
  <c r="AV39" i="4"/>
  <c r="AW57" i="4"/>
  <c r="BA57" i="4"/>
  <c r="AT58" i="4"/>
  <c r="AX58" i="4"/>
  <c r="BB58" i="4"/>
  <c r="AU59" i="4"/>
  <c r="AY59" i="4"/>
  <c r="BC59" i="4"/>
  <c r="AV60" i="4"/>
  <c r="AZ60" i="4"/>
  <c r="BD60" i="4"/>
  <c r="AW61" i="4"/>
  <c r="BA61" i="4"/>
  <c r="AT62" i="4"/>
  <c r="AX62" i="4"/>
  <c r="BB62" i="4"/>
  <c r="AU63" i="4"/>
  <c r="AY63" i="4"/>
  <c r="BC63" i="4"/>
  <c r="AV64" i="4"/>
  <c r="AZ64" i="4"/>
  <c r="BD64" i="4"/>
  <c r="AW65" i="4"/>
  <c r="BA65" i="4"/>
  <c r="AT66" i="4"/>
  <c r="AX66" i="4"/>
  <c r="BB66" i="4"/>
  <c r="AU67" i="4"/>
  <c r="AY67" i="4"/>
  <c r="BC67" i="4"/>
  <c r="AV68" i="4"/>
  <c r="AZ68" i="4"/>
  <c r="BD68" i="4"/>
  <c r="AS61" i="4"/>
  <c r="AS65" i="4"/>
  <c r="AS57" i="4"/>
  <c r="AT57" i="4"/>
  <c r="AX57" i="4"/>
  <c r="BB57" i="4"/>
  <c r="AU58" i="4"/>
  <c r="AY58" i="4"/>
  <c r="BC58" i="4"/>
  <c r="AV59" i="4"/>
  <c r="AZ59" i="4"/>
  <c r="BD59" i="4"/>
  <c r="AW60" i="4"/>
  <c r="BA60" i="4"/>
  <c r="AT61" i="4"/>
  <c r="AX61" i="4"/>
  <c r="BB61" i="4"/>
  <c r="AU62" i="4"/>
  <c r="AY62" i="4"/>
  <c r="BC62" i="4"/>
  <c r="AV63" i="4"/>
  <c r="AZ63" i="4"/>
  <c r="BD63" i="4"/>
  <c r="AW64" i="4"/>
  <c r="BA64" i="4"/>
  <c r="AT65" i="4"/>
  <c r="AX65" i="4"/>
  <c r="BB65" i="4"/>
  <c r="AU66" i="4"/>
  <c r="AY66" i="4"/>
  <c r="BC66" i="4"/>
  <c r="AV67" i="4"/>
  <c r="AZ67" i="4"/>
  <c r="BD67" i="4"/>
  <c r="AW68" i="4"/>
  <c r="BA68" i="4"/>
  <c r="AS58" i="4"/>
  <c r="AS62" i="4"/>
  <c r="AS66" i="4"/>
  <c r="AU57" i="4"/>
  <c r="AY57" i="4"/>
  <c r="BC57" i="4"/>
  <c r="AV58" i="4"/>
  <c r="AZ58" i="4"/>
  <c r="BD58" i="4"/>
  <c r="AW59" i="4"/>
  <c r="BA59" i="4"/>
  <c r="AT60" i="4"/>
  <c r="AX60" i="4"/>
  <c r="BB60" i="4"/>
  <c r="AU61" i="4"/>
  <c r="AY61" i="4"/>
  <c r="BC61" i="4"/>
  <c r="AV62" i="4"/>
  <c r="AZ62" i="4"/>
  <c r="BD62" i="4"/>
  <c r="AW63" i="4"/>
  <c r="BA63" i="4"/>
  <c r="AT64" i="4"/>
  <c r="AX64" i="4"/>
  <c r="BB64" i="4"/>
  <c r="AU65" i="4"/>
  <c r="AY65" i="4"/>
  <c r="BC65" i="4"/>
  <c r="AV66" i="4"/>
  <c r="AZ66" i="4"/>
  <c r="BD66" i="4"/>
  <c r="AW67" i="4"/>
  <c r="BA67" i="4"/>
  <c r="AT68" i="4"/>
  <c r="AX68" i="4"/>
  <c r="BB68" i="4"/>
  <c r="AS59" i="4"/>
  <c r="AS63" i="4"/>
  <c r="AS67" i="4"/>
  <c r="AV57" i="4"/>
  <c r="AZ57" i="4"/>
  <c r="BD57" i="4"/>
  <c r="AW58" i="4"/>
  <c r="BA58" i="4"/>
  <c r="AT59" i="4"/>
  <c r="AX59" i="4"/>
  <c r="BB59" i="4"/>
  <c r="AU60" i="4"/>
  <c r="AY60" i="4"/>
  <c r="BC60" i="4"/>
  <c r="AV61" i="4"/>
  <c r="AZ61" i="4"/>
  <c r="BD61" i="4"/>
  <c r="AW62" i="4"/>
  <c r="BA62" i="4"/>
  <c r="AT63" i="4"/>
  <c r="AX63" i="4"/>
  <c r="BB63" i="4"/>
  <c r="AU64" i="4"/>
  <c r="AY64" i="4"/>
  <c r="BC64" i="4"/>
  <c r="AV65" i="4"/>
  <c r="AZ65" i="4"/>
  <c r="BD65" i="4"/>
  <c r="AW66" i="4"/>
  <c r="BA66" i="4"/>
  <c r="AT67" i="4"/>
  <c r="AX67" i="4"/>
  <c r="BB67" i="4"/>
  <c r="AU68" i="4"/>
  <c r="AY68" i="4"/>
  <c r="BC68" i="4"/>
  <c r="AS60" i="4"/>
  <c r="AS64" i="4"/>
  <c r="AS68" i="4"/>
  <c r="AZ37" i="4"/>
  <c r="BD34" i="4"/>
  <c r="AZ34" i="4"/>
  <c r="BD33" i="4"/>
  <c r="BB36" i="4"/>
  <c r="AY33" i="4"/>
  <c r="AU33" i="4"/>
  <c r="AZ38" i="4"/>
  <c r="BB34" i="4"/>
  <c r="AU35" i="4"/>
  <c r="AW34" i="4"/>
  <c r="AX38" i="4"/>
  <c r="AS38" i="4"/>
  <c r="AT34" i="4"/>
  <c r="AS37" i="4"/>
  <c r="AX33" i="4"/>
  <c r="AY38" i="4"/>
  <c r="AV35" i="4"/>
  <c r="BD44" i="4"/>
  <c r="AW41" i="4"/>
  <c r="AS44" i="4"/>
  <c r="AU44" i="4"/>
  <c r="BA42" i="4"/>
  <c r="AV41" i="4"/>
  <c r="BB39" i="4"/>
  <c r="AY43" i="4"/>
  <c r="BC39" i="4"/>
  <c r="BB44" i="4"/>
  <c r="AW43" i="4"/>
  <c r="BC41" i="4"/>
  <c r="AX40" i="4"/>
  <c r="AS41" i="4"/>
  <c r="BA44" i="4"/>
  <c r="AV43" i="4"/>
  <c r="BB41" i="4"/>
  <c r="AW40" i="4"/>
  <c r="BC36" i="4"/>
  <c r="BC34" i="4"/>
  <c r="BA36" i="4"/>
  <c r="AV34" i="4"/>
  <c r="AZ35" i="4"/>
  <c r="BD37" i="4"/>
  <c r="AY34" i="4"/>
  <c r="AZ36" i="4"/>
  <c r="AY36" i="4"/>
  <c r="BC37" i="4"/>
  <c r="AY37" i="4"/>
  <c r="AT38" i="4"/>
  <c r="BA37" i="4"/>
  <c r="BD36" i="4"/>
  <c r="AV36" i="4"/>
  <c r="BA33" i="4"/>
  <c r="AX37" i="4"/>
  <c r="AU38" i="4"/>
  <c r="AV44" i="4"/>
  <c r="BD40" i="4"/>
  <c r="AS40" i="4"/>
  <c r="BB43" i="4"/>
  <c r="AW42" i="4"/>
  <c r="BC40" i="4"/>
  <c r="AX39" i="4"/>
  <c r="AX42" i="4"/>
  <c r="AU39" i="4"/>
  <c r="AX44" i="4"/>
  <c r="BD42" i="4"/>
  <c r="AY41" i="4"/>
  <c r="AT40" i="4"/>
  <c r="AZ44" i="4"/>
  <c r="AW44" i="4"/>
  <c r="BC42" i="4"/>
  <c r="AX41" i="4"/>
  <c r="BD39" i="4"/>
  <c r="BC35" i="4"/>
  <c r="AX34" i="4"/>
  <c r="AT33" i="4"/>
  <c r="BD35" i="4"/>
  <c r="AY35" i="4"/>
  <c r="BB38" i="4"/>
  <c r="AV37" i="4"/>
  <c r="BB33" i="4"/>
  <c r="AW35" i="4"/>
  <c r="AU36" i="4"/>
  <c r="AX35" i="4"/>
  <c r="AU37" i="4"/>
  <c r="AV33" i="4"/>
  <c r="AX36" i="4"/>
  <c r="AT36" i="4"/>
  <c r="AS36" i="4"/>
  <c r="AW36" i="4"/>
  <c r="AS33" i="4"/>
  <c r="AU43" i="4"/>
  <c r="AV40" i="4"/>
  <c r="BC44" i="4"/>
  <c r="AX43" i="4"/>
  <c r="BD41" i="4"/>
  <c r="AY40" i="4"/>
  <c r="AT39" i="4"/>
  <c r="BA41" i="4"/>
  <c r="AS43" i="4"/>
  <c r="AT44" i="4"/>
  <c r="AZ42" i="4"/>
  <c r="AU41" i="4"/>
  <c r="BA39" i="4"/>
  <c r="BB42" i="4"/>
  <c r="BD43" i="4"/>
  <c r="AY42" i="4"/>
  <c r="AT41" i="4"/>
  <c r="AZ39" i="4"/>
  <c r="BB35" i="4"/>
  <c r="AT35" i="4"/>
  <c r="AW38" i="4"/>
  <c r="AW37" i="4"/>
  <c r="AS35" i="4"/>
  <c r="BD38" i="4"/>
  <c r="AW33" i="4"/>
  <c r="AV38" i="4"/>
  <c r="BA38" i="4"/>
  <c r="BA34" i="4"/>
  <c r="BB37" i="4"/>
  <c r="AZ33" i="4"/>
  <c r="BC33" i="4"/>
  <c r="AS34" i="4"/>
  <c r="BC38" i="4"/>
  <c r="BA35" i="4"/>
  <c r="AU34" i="4"/>
  <c r="AT37" i="4"/>
  <c r="AT42" i="4"/>
  <c r="AY39" i="4"/>
  <c r="AY44" i="4"/>
  <c r="AT43" i="4"/>
  <c r="AZ41" i="4"/>
  <c r="AU40" i="4"/>
  <c r="BC43" i="4"/>
  <c r="AZ40" i="4"/>
  <c r="AS39" i="4"/>
  <c r="BA43" i="4"/>
  <c r="AV42" i="4"/>
  <c r="BB40" i="4"/>
  <c r="AW39" i="4"/>
  <c r="AS42" i="4"/>
  <c r="AZ43" i="4"/>
  <c r="AU42" i="4"/>
  <c r="BA40" i="4"/>
  <c r="R13" i="35"/>
  <c r="P13" i="35" s="1"/>
  <c r="R16" i="35"/>
  <c r="P16" i="35" s="1"/>
  <c r="T13" i="7"/>
  <c r="T12" i="7"/>
  <c r="AF21" i="20"/>
  <c r="AG20" i="20"/>
  <c r="AE24" i="20"/>
  <c r="T17" i="7"/>
  <c r="T22" i="7"/>
  <c r="T19" i="7"/>
  <c r="T14" i="7"/>
  <c r="T15" i="7"/>
  <c r="T18" i="7"/>
  <c r="T16" i="7"/>
  <c r="T20" i="7"/>
  <c r="T21" i="7"/>
  <c r="T6" i="7"/>
  <c r="F5" i="7"/>
  <c r="G5" i="7" s="1"/>
  <c r="H5" i="7" s="1"/>
  <c r="I5" i="7" s="1"/>
  <c r="J5" i="7" s="1"/>
  <c r="K5" i="7" s="1"/>
  <c r="L5" i="7" s="1"/>
  <c r="M5" i="7" s="1"/>
  <c r="N5" i="7" s="1"/>
  <c r="O5" i="7" s="1"/>
  <c r="P5" i="7" s="1"/>
  <c r="Q5" i="7" s="1"/>
  <c r="R5" i="7" s="1"/>
  <c r="BY45" i="23" l="1"/>
  <c r="BW45" i="23"/>
  <c r="BX45" i="23"/>
  <c r="BX69" i="23"/>
  <c r="BW69" i="23"/>
  <c r="BY69" i="23"/>
  <c r="BX44" i="21"/>
  <c r="BW44" i="21"/>
  <c r="BY44" i="21"/>
  <c r="BY67" i="21"/>
  <c r="BX67" i="21"/>
  <c r="BW67" i="21"/>
  <c r="AJ33" i="4"/>
  <c r="BU33" i="4" s="1"/>
  <c r="AN33" i="4"/>
  <c r="AG34" i="4"/>
  <c r="BR34" i="4" s="1"/>
  <c r="AK34" i="4"/>
  <c r="BV34" i="4" s="1"/>
  <c r="AO34" i="4"/>
  <c r="BZ34" i="4" s="1"/>
  <c r="AH35" i="4"/>
  <c r="AL35" i="4"/>
  <c r="AP35" i="4"/>
  <c r="CA35" i="4" s="1"/>
  <c r="AI36" i="4"/>
  <c r="BT36" i="4" s="1"/>
  <c r="AM36" i="4"/>
  <c r="BX36" i="4" s="1"/>
  <c r="AQ36" i="4"/>
  <c r="CB36" i="4" s="1"/>
  <c r="AJ37" i="4"/>
  <c r="BU37" i="4" s="1"/>
  <c r="AN37" i="4"/>
  <c r="BY37" i="4" s="1"/>
  <c r="AG38" i="4"/>
  <c r="BR38" i="4" s="1"/>
  <c r="AK38" i="4"/>
  <c r="BV38" i="4" s="1"/>
  <c r="AO38" i="4"/>
  <c r="BZ38" i="4" s="1"/>
  <c r="AH39" i="4"/>
  <c r="BS39" i="4" s="1"/>
  <c r="AL39" i="4"/>
  <c r="BW39" i="4" s="1"/>
  <c r="AP39" i="4"/>
  <c r="CA39" i="4" s="1"/>
  <c r="AI40" i="4"/>
  <c r="BT40" i="4" s="1"/>
  <c r="AM40" i="4"/>
  <c r="BX40" i="4" s="1"/>
  <c r="AQ40" i="4"/>
  <c r="CB40" i="4" s="1"/>
  <c r="AJ41" i="4"/>
  <c r="BU41" i="4" s="1"/>
  <c r="AN41" i="4"/>
  <c r="BY41" i="4" s="1"/>
  <c r="AG42" i="4"/>
  <c r="BR42" i="4" s="1"/>
  <c r="AK42" i="4"/>
  <c r="BV42" i="4" s="1"/>
  <c r="AO42" i="4"/>
  <c r="BZ42" i="4" s="1"/>
  <c r="AH43" i="4"/>
  <c r="BS43" i="4" s="1"/>
  <c r="AL43" i="4"/>
  <c r="BW43" i="4" s="1"/>
  <c r="AP43" i="4"/>
  <c r="CA43" i="4" s="1"/>
  <c r="AI44" i="4"/>
  <c r="BT44" i="4" s="1"/>
  <c r="AM44" i="4"/>
  <c r="BX44" i="4" s="1"/>
  <c r="AQ44" i="4"/>
  <c r="CB44" i="4" s="1"/>
  <c r="AF37" i="4"/>
  <c r="BQ37" i="4" s="1"/>
  <c r="AF41" i="4"/>
  <c r="BQ41" i="4" s="1"/>
  <c r="AF33" i="4"/>
  <c r="BQ33" i="4" s="1"/>
  <c r="AG33" i="4"/>
  <c r="BR33" i="4" s="1"/>
  <c r="AK33" i="4"/>
  <c r="BV33" i="4" s="1"/>
  <c r="AO33" i="4"/>
  <c r="BZ33" i="4" s="1"/>
  <c r="AH34" i="4"/>
  <c r="BS34" i="4" s="1"/>
  <c r="AL34" i="4"/>
  <c r="BW34" i="4" s="1"/>
  <c r="AP34" i="4"/>
  <c r="AI35" i="4"/>
  <c r="BT35" i="4" s="1"/>
  <c r="AM35" i="4"/>
  <c r="BX35" i="4" s="1"/>
  <c r="AQ35" i="4"/>
  <c r="CB35" i="4" s="1"/>
  <c r="AJ36" i="4"/>
  <c r="BU36" i="4" s="1"/>
  <c r="AN36" i="4"/>
  <c r="BY36" i="4" s="1"/>
  <c r="AG37" i="4"/>
  <c r="BR37" i="4" s="1"/>
  <c r="AK37" i="4"/>
  <c r="BV37" i="4" s="1"/>
  <c r="AO37" i="4"/>
  <c r="BZ37" i="4" s="1"/>
  <c r="AH38" i="4"/>
  <c r="BS38" i="4" s="1"/>
  <c r="AL38" i="4"/>
  <c r="BW38" i="4" s="1"/>
  <c r="AP38" i="4"/>
  <c r="CA38" i="4" s="1"/>
  <c r="AI39" i="4"/>
  <c r="BT39" i="4" s="1"/>
  <c r="AM39" i="4"/>
  <c r="BX39" i="4" s="1"/>
  <c r="AQ39" i="4"/>
  <c r="CB39" i="4" s="1"/>
  <c r="AJ40" i="4"/>
  <c r="BU40" i="4" s="1"/>
  <c r="AN40" i="4"/>
  <c r="BY40" i="4" s="1"/>
  <c r="AG41" i="4"/>
  <c r="BR41" i="4" s="1"/>
  <c r="AK41" i="4"/>
  <c r="BV41" i="4" s="1"/>
  <c r="AO41" i="4"/>
  <c r="BZ41" i="4" s="1"/>
  <c r="AH42" i="4"/>
  <c r="BS42" i="4" s="1"/>
  <c r="AL42" i="4"/>
  <c r="BW42" i="4" s="1"/>
  <c r="AP42" i="4"/>
  <c r="CA42" i="4" s="1"/>
  <c r="AI43" i="4"/>
  <c r="BT43" i="4" s="1"/>
  <c r="AM43" i="4"/>
  <c r="AQ43" i="4"/>
  <c r="CB43" i="4" s="1"/>
  <c r="AJ44" i="4"/>
  <c r="BU44" i="4" s="1"/>
  <c r="AN44" i="4"/>
  <c r="BY44" i="4" s="1"/>
  <c r="AF34" i="4"/>
  <c r="BQ34" i="4" s="1"/>
  <c r="AF38" i="4"/>
  <c r="BQ38" i="4" s="1"/>
  <c r="AF42" i="4"/>
  <c r="BQ42" i="4" s="1"/>
  <c r="AI33" i="4"/>
  <c r="BT33" i="4" s="1"/>
  <c r="AQ33" i="4"/>
  <c r="CB33" i="4" s="1"/>
  <c r="AN34" i="4"/>
  <c r="AK35" i="4"/>
  <c r="BV35" i="4" s="1"/>
  <c r="AH36" i="4"/>
  <c r="BS36" i="4" s="1"/>
  <c r="AP36" i="4"/>
  <c r="CA36" i="4" s="1"/>
  <c r="AM37" i="4"/>
  <c r="BX37" i="4" s="1"/>
  <c r="AJ38" i="4"/>
  <c r="BU38" i="4" s="1"/>
  <c r="AG39" i="4"/>
  <c r="BR39" i="4" s="1"/>
  <c r="AO39" i="4"/>
  <c r="AL40" i="4"/>
  <c r="BW40" i="4" s="1"/>
  <c r="AI41" i="4"/>
  <c r="BT41" i="4" s="1"/>
  <c r="AQ41" i="4"/>
  <c r="CB41" i="4" s="1"/>
  <c r="AN42" i="4"/>
  <c r="BY42" i="4" s="1"/>
  <c r="AK43" i="4"/>
  <c r="BV43" i="4" s="1"/>
  <c r="AH44" i="4"/>
  <c r="BS44" i="4" s="1"/>
  <c r="AP44" i="4"/>
  <c r="CA44" i="4" s="1"/>
  <c r="AF40" i="4"/>
  <c r="BQ40" i="4" s="1"/>
  <c r="AM33" i="4"/>
  <c r="BX33" i="4" s="1"/>
  <c r="AJ34" i="4"/>
  <c r="BU34" i="4" s="1"/>
  <c r="AG35" i="4"/>
  <c r="BR35" i="4" s="1"/>
  <c r="AO35" i="4"/>
  <c r="BZ35" i="4" s="1"/>
  <c r="AL36" i="4"/>
  <c r="BW36" i="4" s="1"/>
  <c r="AI37" i="4"/>
  <c r="BT37" i="4" s="1"/>
  <c r="AQ37" i="4"/>
  <c r="CB37" i="4" s="1"/>
  <c r="AN38" i="4"/>
  <c r="BY38" i="4" s="1"/>
  <c r="AK39" i="4"/>
  <c r="BV39" i="4" s="1"/>
  <c r="AH40" i="4"/>
  <c r="BS40" i="4" s="1"/>
  <c r="AP40" i="4"/>
  <c r="CA40" i="4" s="1"/>
  <c r="AM41" i="4"/>
  <c r="BX41" i="4" s="1"/>
  <c r="AJ42" i="4"/>
  <c r="BU42" i="4" s="1"/>
  <c r="AG43" i="4"/>
  <c r="BR43" i="4" s="1"/>
  <c r="AO43" i="4"/>
  <c r="BZ43" i="4" s="1"/>
  <c r="AL44" i="4"/>
  <c r="BW44" i="4" s="1"/>
  <c r="AF36" i="4"/>
  <c r="BQ36" i="4" s="1"/>
  <c r="AF44" i="4"/>
  <c r="BQ44" i="4" s="1"/>
  <c r="AL33" i="4"/>
  <c r="BW33" i="4" s="1"/>
  <c r="AI34" i="4"/>
  <c r="BT34" i="4" s="1"/>
  <c r="AQ34" i="4"/>
  <c r="CB34" i="4" s="1"/>
  <c r="AN35" i="4"/>
  <c r="BY35" i="4" s="1"/>
  <c r="AK36" i="4"/>
  <c r="BV36" i="4" s="1"/>
  <c r="AH37" i="4"/>
  <c r="BS37" i="4" s="1"/>
  <c r="AP37" i="4"/>
  <c r="CA37" i="4" s="1"/>
  <c r="AM38" i="4"/>
  <c r="BX38" i="4" s="1"/>
  <c r="AJ39" i="4"/>
  <c r="BU39" i="4" s="1"/>
  <c r="AG40" i="4"/>
  <c r="AO40" i="4"/>
  <c r="BZ40" i="4" s="1"/>
  <c r="AL41" i="4"/>
  <c r="BW41" i="4" s="1"/>
  <c r="AI42" i="4"/>
  <c r="BT42" i="4" s="1"/>
  <c r="AQ42" i="4"/>
  <c r="CB42" i="4" s="1"/>
  <c r="AN43" i="4"/>
  <c r="BY43" i="4" s="1"/>
  <c r="AK44" i="4"/>
  <c r="BV44" i="4" s="1"/>
  <c r="AF35" i="4"/>
  <c r="BQ35" i="4" s="1"/>
  <c r="AF43" i="4"/>
  <c r="BQ43" i="4" s="1"/>
  <c r="AJ35" i="4"/>
  <c r="BU35" i="4" s="1"/>
  <c r="AI38" i="4"/>
  <c r="BT38" i="4" s="1"/>
  <c r="AH41" i="4"/>
  <c r="BS41" i="4" s="1"/>
  <c r="AG44" i="4"/>
  <c r="BR44" i="4" s="1"/>
  <c r="AP33" i="4"/>
  <c r="CA33" i="4" s="1"/>
  <c r="AN39" i="4"/>
  <c r="BY39" i="4" s="1"/>
  <c r="AF39" i="4"/>
  <c r="BQ39" i="4" s="1"/>
  <c r="AM34" i="4"/>
  <c r="BX34" i="4" s="1"/>
  <c r="AK40" i="4"/>
  <c r="BV40" i="4" s="1"/>
  <c r="AJ43" i="4"/>
  <c r="BU43" i="4" s="1"/>
  <c r="AH33" i="4"/>
  <c r="BS33" i="4" s="1"/>
  <c r="AG36" i="4"/>
  <c r="BR36" i="4" s="1"/>
  <c r="AQ38" i="4"/>
  <c r="CB38" i="4" s="1"/>
  <c r="AP41" i="4"/>
  <c r="CA41" i="4" s="1"/>
  <c r="AO44" i="4"/>
  <c r="BZ44" i="4" s="1"/>
  <c r="AO36" i="4"/>
  <c r="AM42" i="4"/>
  <c r="BX42" i="4" s="1"/>
  <c r="AL37" i="4"/>
  <c r="BW37" i="4" s="1"/>
  <c r="AJ57" i="4"/>
  <c r="BU57" i="4" s="1"/>
  <c r="AN57" i="4"/>
  <c r="BY57" i="4" s="1"/>
  <c r="AG58" i="4"/>
  <c r="BR58" i="4" s="1"/>
  <c r="AK58" i="4"/>
  <c r="BV58" i="4" s="1"/>
  <c r="AO58" i="4"/>
  <c r="BZ58" i="4" s="1"/>
  <c r="AH59" i="4"/>
  <c r="BS59" i="4" s="1"/>
  <c r="AL59" i="4"/>
  <c r="BW59" i="4" s="1"/>
  <c r="AP59" i="4"/>
  <c r="CA59" i="4" s="1"/>
  <c r="AI60" i="4"/>
  <c r="BT60" i="4" s="1"/>
  <c r="AM60" i="4"/>
  <c r="BX60" i="4" s="1"/>
  <c r="AQ60" i="4"/>
  <c r="AJ61" i="4"/>
  <c r="BU61" i="4" s="1"/>
  <c r="AN61" i="4"/>
  <c r="AG62" i="4"/>
  <c r="BR62" i="4" s="1"/>
  <c r="AK62" i="4"/>
  <c r="BV62" i="4" s="1"/>
  <c r="AO62" i="4"/>
  <c r="BZ62" i="4" s="1"/>
  <c r="AH63" i="4"/>
  <c r="BS63" i="4" s="1"/>
  <c r="AL63" i="4"/>
  <c r="BW63" i="4" s="1"/>
  <c r="AP63" i="4"/>
  <c r="CA63" i="4" s="1"/>
  <c r="AI64" i="4"/>
  <c r="BT64" i="4" s="1"/>
  <c r="AM64" i="4"/>
  <c r="BX64" i="4" s="1"/>
  <c r="AQ64" i="4"/>
  <c r="CB64" i="4" s="1"/>
  <c r="AJ65" i="4"/>
  <c r="BU65" i="4" s="1"/>
  <c r="AN65" i="4"/>
  <c r="BY65" i="4" s="1"/>
  <c r="AG66" i="4"/>
  <c r="BR66" i="4" s="1"/>
  <c r="AK66" i="4"/>
  <c r="BV66" i="4" s="1"/>
  <c r="AO66" i="4"/>
  <c r="BZ66" i="4" s="1"/>
  <c r="AH67" i="4"/>
  <c r="BS67" i="4" s="1"/>
  <c r="AL67" i="4"/>
  <c r="BW67" i="4" s="1"/>
  <c r="AP67" i="4"/>
  <c r="CA67" i="4" s="1"/>
  <c r="AI68" i="4"/>
  <c r="BT68" i="4" s="1"/>
  <c r="AM68" i="4"/>
  <c r="BX68" i="4" s="1"/>
  <c r="AQ68" i="4"/>
  <c r="CB68" i="4" s="1"/>
  <c r="AF61" i="4"/>
  <c r="BQ61" i="4" s="1"/>
  <c r="AF65" i="4"/>
  <c r="BQ65" i="4" s="1"/>
  <c r="AF57" i="4"/>
  <c r="BQ57" i="4" s="1"/>
  <c r="AG57" i="4"/>
  <c r="BR57" i="4" s="1"/>
  <c r="AK57" i="4"/>
  <c r="AO57" i="4"/>
  <c r="BZ57" i="4" s="1"/>
  <c r="AH58" i="4"/>
  <c r="BS58" i="4" s="1"/>
  <c r="AL58" i="4"/>
  <c r="BW58" i="4" s="1"/>
  <c r="AP58" i="4"/>
  <c r="CA58" i="4" s="1"/>
  <c r="AI59" i="4"/>
  <c r="BT59" i="4" s="1"/>
  <c r="AM59" i="4"/>
  <c r="BX59" i="4" s="1"/>
  <c r="AQ59" i="4"/>
  <c r="CB59" i="4" s="1"/>
  <c r="AJ60" i="4"/>
  <c r="BU60" i="4" s="1"/>
  <c r="AN60" i="4"/>
  <c r="BY60" i="4" s="1"/>
  <c r="AG61" i="4"/>
  <c r="BR61" i="4" s="1"/>
  <c r="AK61" i="4"/>
  <c r="BV61" i="4" s="1"/>
  <c r="AO61" i="4"/>
  <c r="BZ61" i="4" s="1"/>
  <c r="AH62" i="4"/>
  <c r="BS62" i="4" s="1"/>
  <c r="AL62" i="4"/>
  <c r="BW62" i="4" s="1"/>
  <c r="AP62" i="4"/>
  <c r="CA62" i="4" s="1"/>
  <c r="AI63" i="4"/>
  <c r="AM63" i="4"/>
  <c r="BX63" i="4" s="1"/>
  <c r="AQ63" i="4"/>
  <c r="CB63" i="4" s="1"/>
  <c r="AJ64" i="4"/>
  <c r="BU64" i="4" s="1"/>
  <c r="AN64" i="4"/>
  <c r="BY64" i="4" s="1"/>
  <c r="AG65" i="4"/>
  <c r="BR65" i="4" s="1"/>
  <c r="AK65" i="4"/>
  <c r="BV65" i="4" s="1"/>
  <c r="AO65" i="4"/>
  <c r="BZ65" i="4" s="1"/>
  <c r="AH66" i="4"/>
  <c r="BS66" i="4" s="1"/>
  <c r="AL66" i="4"/>
  <c r="BW66" i="4" s="1"/>
  <c r="AP66" i="4"/>
  <c r="CA66" i="4" s="1"/>
  <c r="AI67" i="4"/>
  <c r="BT67" i="4" s="1"/>
  <c r="AM67" i="4"/>
  <c r="BX67" i="4" s="1"/>
  <c r="AQ67" i="4"/>
  <c r="CB67" i="4" s="1"/>
  <c r="AJ68" i="4"/>
  <c r="BU68" i="4" s="1"/>
  <c r="AN68" i="4"/>
  <c r="BY68" i="4" s="1"/>
  <c r="AF58" i="4"/>
  <c r="BQ58" i="4" s="1"/>
  <c r="AF62" i="4"/>
  <c r="BQ62" i="4" s="1"/>
  <c r="AF66" i="4"/>
  <c r="BQ66" i="4" s="1"/>
  <c r="AI57" i="4"/>
  <c r="BT57" i="4" s="1"/>
  <c r="AQ57" i="4"/>
  <c r="CB57" i="4" s="1"/>
  <c r="AN58" i="4"/>
  <c r="BY58" i="4" s="1"/>
  <c r="AK59" i="4"/>
  <c r="BV59" i="4" s="1"/>
  <c r="AH60" i="4"/>
  <c r="BS60" i="4" s="1"/>
  <c r="AP60" i="4"/>
  <c r="CA60" i="4" s="1"/>
  <c r="AM61" i="4"/>
  <c r="BX61" i="4" s="1"/>
  <c r="AJ62" i="4"/>
  <c r="BU62" i="4" s="1"/>
  <c r="AG63" i="4"/>
  <c r="BR63" i="4" s="1"/>
  <c r="AO63" i="4"/>
  <c r="AL64" i="4"/>
  <c r="BW64" i="4" s="1"/>
  <c r="AI65" i="4"/>
  <c r="BT65" i="4" s="1"/>
  <c r="AQ65" i="4"/>
  <c r="CB65" i="4" s="1"/>
  <c r="AN66" i="4"/>
  <c r="BY66" i="4" s="1"/>
  <c r="AK67" i="4"/>
  <c r="BV67" i="4" s="1"/>
  <c r="AH68" i="4"/>
  <c r="BS68" i="4" s="1"/>
  <c r="AP68" i="4"/>
  <c r="CA68" i="4" s="1"/>
  <c r="AF64" i="4"/>
  <c r="BQ64" i="4" s="1"/>
  <c r="AM57" i="4"/>
  <c r="BX57" i="4" s="1"/>
  <c r="AJ58" i="4"/>
  <c r="BU58" i="4" s="1"/>
  <c r="AG59" i="4"/>
  <c r="BR59" i="4" s="1"/>
  <c r="AO59" i="4"/>
  <c r="BZ59" i="4" s="1"/>
  <c r="AL60" i="4"/>
  <c r="BW60" i="4" s="1"/>
  <c r="AI61" i="4"/>
  <c r="BT61" i="4" s="1"/>
  <c r="AQ61" i="4"/>
  <c r="CB61" i="4" s="1"/>
  <c r="AN62" i="4"/>
  <c r="BY62" i="4" s="1"/>
  <c r="AK63" i="4"/>
  <c r="BV63" i="4" s="1"/>
  <c r="AH64" i="4"/>
  <c r="BS64" i="4" s="1"/>
  <c r="AP64" i="4"/>
  <c r="CA64" i="4" s="1"/>
  <c r="AM65" i="4"/>
  <c r="BX65" i="4" s="1"/>
  <c r="AJ66" i="4"/>
  <c r="BU66" i="4" s="1"/>
  <c r="AG67" i="4"/>
  <c r="BR67" i="4" s="1"/>
  <c r="AO67" i="4"/>
  <c r="BZ67" i="4" s="1"/>
  <c r="AL68" i="4"/>
  <c r="BW68" i="4" s="1"/>
  <c r="AF60" i="4"/>
  <c r="BQ60" i="4" s="1"/>
  <c r="AF68" i="4"/>
  <c r="BQ68" i="4" s="1"/>
  <c r="AL57" i="4"/>
  <c r="BW57" i="4" s="1"/>
  <c r="AI58" i="4"/>
  <c r="BT58" i="4" s="1"/>
  <c r="AQ58" i="4"/>
  <c r="CB58" i="4" s="1"/>
  <c r="AN59" i="4"/>
  <c r="BY59" i="4" s="1"/>
  <c r="AK60" i="4"/>
  <c r="BV60" i="4" s="1"/>
  <c r="AH61" i="4"/>
  <c r="BS61" i="4" s="1"/>
  <c r="AP61" i="4"/>
  <c r="CA61" i="4" s="1"/>
  <c r="AM62" i="4"/>
  <c r="BX62" i="4" s="1"/>
  <c r="AJ63" i="4"/>
  <c r="BU63" i="4" s="1"/>
  <c r="AG64" i="4"/>
  <c r="BR64" i="4" s="1"/>
  <c r="AO64" i="4"/>
  <c r="BZ64" i="4" s="1"/>
  <c r="AL65" i="4"/>
  <c r="BW65" i="4" s="1"/>
  <c r="AI66" i="4"/>
  <c r="BT66" i="4" s="1"/>
  <c r="AQ66" i="4"/>
  <c r="CB66" i="4" s="1"/>
  <c r="AN67" i="4"/>
  <c r="BY67" i="4" s="1"/>
  <c r="AK68" i="4"/>
  <c r="BV68" i="4" s="1"/>
  <c r="AF59" i="4"/>
  <c r="BQ59" i="4" s="1"/>
  <c r="AF67" i="4"/>
  <c r="BQ67" i="4" s="1"/>
  <c r="AP57" i="4"/>
  <c r="CA57" i="4" s="1"/>
  <c r="AO60" i="4"/>
  <c r="BZ60" i="4" s="1"/>
  <c r="AN63" i="4"/>
  <c r="BY63" i="4" s="1"/>
  <c r="AM66" i="4"/>
  <c r="BX66" i="4" s="1"/>
  <c r="AF63" i="4"/>
  <c r="BQ63" i="4" s="1"/>
  <c r="AJ59" i="4"/>
  <c r="BU59" i="4" s="1"/>
  <c r="AI62" i="4"/>
  <c r="BT62" i="4" s="1"/>
  <c r="AG68" i="4"/>
  <c r="BR68" i="4" s="1"/>
  <c r="AH57" i="4"/>
  <c r="BS57" i="4" s="1"/>
  <c r="AG60" i="4"/>
  <c r="BR60" i="4" s="1"/>
  <c r="AQ62" i="4"/>
  <c r="CB62" i="4" s="1"/>
  <c r="AO68" i="4"/>
  <c r="BZ68" i="4" s="1"/>
  <c r="AM58" i="4"/>
  <c r="BX58" i="4" s="1"/>
  <c r="AL61" i="4"/>
  <c r="BW61" i="4" s="1"/>
  <c r="AK64" i="4"/>
  <c r="BV64" i="4" s="1"/>
  <c r="AJ67" i="4"/>
  <c r="BU67" i="4" s="1"/>
  <c r="AH65" i="4"/>
  <c r="BS65" i="4" s="1"/>
  <c r="AP65" i="4"/>
  <c r="CA65" i="4" s="1"/>
  <c r="BZ39" i="4"/>
  <c r="BS35" i="4"/>
  <c r="BW35" i="4"/>
  <c r="BR40" i="4"/>
  <c r="CB60" i="4"/>
  <c r="BY61" i="4"/>
  <c r="BV57" i="4"/>
  <c r="BT63" i="4"/>
  <c r="BZ63" i="4"/>
  <c r="CA34" i="4"/>
  <c r="BX43" i="4"/>
  <c r="BZ36" i="4"/>
  <c r="BY34" i="4"/>
  <c r="BY33" i="4"/>
  <c r="V16" i="35"/>
  <c r="V13" i="35"/>
  <c r="T26" i="7"/>
  <c r="V20" i="19" s="1"/>
  <c r="AF22" i="20"/>
  <c r="AG21" i="20"/>
  <c r="AF23" i="20" l="1"/>
  <c r="AG22" i="20"/>
  <c r="L25" i="6"/>
  <c r="L43" i="6"/>
  <c r="L225" i="6" s="1"/>
  <c r="L409" i="6" s="1"/>
  <c r="F141" i="6"/>
  <c r="AF24" i="20" l="1"/>
  <c r="AG24" i="20" s="1"/>
  <c r="AG23" i="20"/>
  <c r="I166" i="6"/>
  <c r="I123" i="6"/>
  <c r="I122" i="6"/>
  <c r="L207" i="6"/>
  <c r="L391" i="6" s="1"/>
  <c r="AO25" i="6"/>
  <c r="F323" i="6"/>
  <c r="F507" i="6" s="1"/>
  <c r="I167" i="6"/>
  <c r="F55" i="6"/>
  <c r="I81" i="6" l="1"/>
  <c r="I32" i="6"/>
  <c r="AO207" i="6"/>
  <c r="AO391" i="6" s="1"/>
  <c r="AO43" i="6"/>
  <c r="AO225" i="6" s="1"/>
  <c r="AO409" i="6" s="1"/>
  <c r="I31" i="6"/>
  <c r="I82" i="6"/>
  <c r="F421" i="6"/>
  <c r="F143" i="6"/>
  <c r="F327" i="6" s="1"/>
  <c r="F509" i="6" s="1"/>
  <c r="AG26" i="20" l="1"/>
  <c r="L313" i="6" l="1"/>
  <c r="L312" i="6"/>
  <c r="AO312" i="6"/>
  <c r="AO313" i="6"/>
  <c r="AL123" i="6"/>
  <c r="AL32" i="6"/>
  <c r="AO44" i="6" s="1"/>
  <c r="AO226" i="6" s="1"/>
  <c r="AO410" i="6" s="1"/>
  <c r="AL81" i="6"/>
  <c r="AO74" i="6" s="1"/>
  <c r="AO256" i="6" s="1"/>
  <c r="AO440" i="6" s="1"/>
  <c r="CF69" i="23"/>
  <c r="CF21" i="23"/>
  <c r="CF33" i="21"/>
  <c r="CF20" i="21"/>
  <c r="CF44" i="23"/>
  <c r="CF20" i="23"/>
  <c r="CF10" i="23"/>
  <c r="CF21" i="21"/>
  <c r="CF68" i="23"/>
  <c r="CF44" i="21"/>
  <c r="CF45" i="23"/>
  <c r="CF43" i="21"/>
  <c r="BJ68" i="34"/>
  <c r="BJ45" i="34"/>
  <c r="BJ69" i="33"/>
  <c r="BJ45" i="33"/>
  <c r="BJ69" i="32"/>
  <c r="BJ46" i="32"/>
  <c r="BJ69" i="34"/>
  <c r="BJ24" i="34"/>
  <c r="BJ68" i="33"/>
  <c r="BJ46" i="33"/>
  <c r="BJ68" i="32"/>
  <c r="BJ45" i="32"/>
  <c r="BJ46" i="34"/>
  <c r="BJ25" i="34"/>
  <c r="BJ25" i="33"/>
  <c r="BJ24" i="33"/>
  <c r="CH10" i="4"/>
  <c r="CH35" i="4"/>
  <c r="AB13" i="20"/>
  <c r="CF34" i="21" l="1"/>
  <c r="AL263" i="6"/>
  <c r="AL447" i="6" s="1"/>
  <c r="AO24" i="6"/>
  <c r="AL95" i="6"/>
  <c r="AL277" i="6" s="1"/>
  <c r="AL461" i="6" s="1"/>
  <c r="AL214" i="6"/>
  <c r="AL398" i="6" s="1"/>
  <c r="BH59" i="21"/>
  <c r="BK59" i="21"/>
  <c r="CF60" i="4"/>
  <c r="CH59" i="4"/>
  <c r="CF56" i="21"/>
  <c r="CD56" i="21"/>
  <c r="CD67" i="21"/>
  <c r="CC67" i="21"/>
  <c r="CF67" i="21"/>
  <c r="CD66" i="21"/>
  <c r="CF66" i="21"/>
  <c r="CC66" i="21"/>
  <c r="AO117" i="6"/>
  <c r="AL305" i="6"/>
  <c r="AL489" i="6" s="1"/>
  <c r="AO129" i="6"/>
  <c r="AO311" i="6" s="1"/>
  <c r="AO495" i="6" s="1"/>
  <c r="AO270" i="6"/>
  <c r="AO254" i="6"/>
  <c r="BK57" i="21"/>
  <c r="BH57" i="21"/>
  <c r="BH56" i="21"/>
  <c r="BK56" i="21"/>
  <c r="BK67" i="21"/>
  <c r="BJ67" i="21"/>
  <c r="BG67" i="21"/>
  <c r="BH67" i="21"/>
  <c r="CF10" i="21"/>
  <c r="AO87" i="6"/>
  <c r="AL166" i="6"/>
  <c r="BL166" i="6"/>
  <c r="AO342" i="6"/>
  <c r="AO357" i="6"/>
  <c r="L357" i="6"/>
  <c r="L342" i="6"/>
  <c r="L341" i="6"/>
  <c r="L356" i="6"/>
  <c r="BH58" i="21"/>
  <c r="BK58" i="21"/>
  <c r="BH44" i="21"/>
  <c r="BJ44" i="21"/>
  <c r="BG44" i="21"/>
  <c r="BK44" i="21"/>
  <c r="CD34" i="23"/>
  <c r="CF34" i="23"/>
  <c r="L271" i="6"/>
  <c r="L255" i="6"/>
  <c r="AF554" i="6"/>
  <c r="D560" i="6"/>
  <c r="D564" i="6"/>
  <c r="D561" i="6"/>
  <c r="D565" i="6"/>
  <c r="D562" i="6"/>
  <c r="D567" i="6"/>
  <c r="D559" i="6"/>
  <c r="AG567" i="6"/>
  <c r="D563" i="6"/>
  <c r="BH34" i="21"/>
  <c r="BK34" i="21"/>
  <c r="BK43" i="21"/>
  <c r="BG43" i="21"/>
  <c r="BH43" i="21"/>
  <c r="BJ43" i="21"/>
  <c r="BH66" i="21"/>
  <c r="BJ66" i="21"/>
  <c r="BG66" i="21"/>
  <c r="BK66" i="21"/>
  <c r="CD59" i="23"/>
  <c r="CF59" i="23"/>
  <c r="CD58" i="23"/>
  <c r="CF58" i="23"/>
  <c r="AO271" i="6"/>
  <c r="AO255" i="6"/>
  <c r="AO341" i="6"/>
  <c r="AO356" i="6"/>
  <c r="L270" i="6"/>
  <c r="L254" i="6"/>
  <c r="BK60" i="23"/>
  <c r="BH60" i="23"/>
  <c r="BK34" i="23"/>
  <c r="BH34" i="23"/>
  <c r="CD68" i="23"/>
  <c r="CC68" i="23"/>
  <c r="BG44" i="23"/>
  <c r="BH44" i="23"/>
  <c r="BJ44" i="23"/>
  <c r="BK44" i="23"/>
  <c r="CD44" i="23"/>
  <c r="CC44" i="23"/>
  <c r="CD21" i="23"/>
  <c r="CC21" i="23"/>
  <c r="C48" i="3"/>
  <c r="G7" i="8"/>
  <c r="G51" i="8"/>
  <c r="BK59" i="23"/>
  <c r="BH59" i="23"/>
  <c r="BK20" i="23"/>
  <c r="BJ20" i="23"/>
  <c r="BG20" i="23"/>
  <c r="BH20" i="23"/>
  <c r="BG69" i="23"/>
  <c r="BH69" i="23"/>
  <c r="BJ69" i="23"/>
  <c r="BK69" i="23"/>
  <c r="AH51" i="8"/>
  <c r="AH7" i="8"/>
  <c r="BH35" i="23"/>
  <c r="BK35" i="23"/>
  <c r="BG45" i="23"/>
  <c r="BK45" i="23"/>
  <c r="BJ45" i="23"/>
  <c r="BH45" i="23"/>
  <c r="CC45" i="23"/>
  <c r="CD45" i="23"/>
  <c r="CF11" i="23"/>
  <c r="CD10" i="23"/>
  <c r="BG68" i="23"/>
  <c r="BH68" i="23"/>
  <c r="BK68" i="23"/>
  <c r="BJ68" i="23"/>
  <c r="CC69" i="23"/>
  <c r="CD69" i="23"/>
  <c r="BK58" i="23"/>
  <c r="BH58" i="23"/>
  <c r="CF35" i="23"/>
  <c r="BK21" i="23"/>
  <c r="BG21" i="23"/>
  <c r="BH21" i="23"/>
  <c r="BJ21" i="23"/>
  <c r="CD20" i="23"/>
  <c r="CC20" i="23"/>
  <c r="BH10" i="23"/>
  <c r="BK10" i="23"/>
  <c r="BH61" i="4"/>
  <c r="BL61" i="4"/>
  <c r="CE20" i="4"/>
  <c r="BF24" i="32"/>
  <c r="BG58" i="32"/>
  <c r="BF58" i="32"/>
  <c r="BG14" i="34"/>
  <c r="BF14" i="34"/>
  <c r="BG46" i="33"/>
  <c r="BF46" i="33"/>
  <c r="BJ19" i="21"/>
  <c r="BG19" i="21"/>
  <c r="CD44" i="21"/>
  <c r="CC44" i="21"/>
  <c r="BF69" i="34"/>
  <c r="BG69" i="34"/>
  <c r="BG45" i="33"/>
  <c r="BF45" i="33"/>
  <c r="BG69" i="33"/>
  <c r="BF69" i="33"/>
  <c r="BF68" i="34"/>
  <c r="BG68" i="34"/>
  <c r="CD21" i="21"/>
  <c r="CC21" i="21"/>
  <c r="BH35" i="4"/>
  <c r="BL35" i="4"/>
  <c r="BG46" i="4"/>
  <c r="BK46" i="4"/>
  <c r="BG45" i="4"/>
  <c r="BK45" i="4"/>
  <c r="CF59" i="4"/>
  <c r="BG70" i="4"/>
  <c r="BK70" i="4"/>
  <c r="CE45" i="4"/>
  <c r="AH58" i="32"/>
  <c r="AI58" i="32"/>
  <c r="AK58" i="32"/>
  <c r="AL58" i="32"/>
  <c r="AL25" i="33"/>
  <c r="AH25" i="33"/>
  <c r="AK25" i="33"/>
  <c r="AI25" i="33"/>
  <c r="BG25" i="33"/>
  <c r="BF25" i="33"/>
  <c r="AL45" i="33"/>
  <c r="AH45" i="33"/>
  <c r="AK45" i="33"/>
  <c r="AI45" i="33"/>
  <c r="AH35" i="32"/>
  <c r="AI35" i="32"/>
  <c r="AK35" i="32"/>
  <c r="AL35" i="32"/>
  <c r="BG35" i="32"/>
  <c r="BF35" i="32"/>
  <c r="BF35" i="33"/>
  <c r="BG35" i="33"/>
  <c r="BF58" i="33"/>
  <c r="BG58" i="33"/>
  <c r="BG24" i="34"/>
  <c r="BF24" i="34"/>
  <c r="BG58" i="34"/>
  <c r="BF58" i="34"/>
  <c r="AL14" i="34"/>
  <c r="AK14" i="34"/>
  <c r="AI14" i="34"/>
  <c r="AH14" i="34"/>
  <c r="BG46" i="32"/>
  <c r="BF46" i="32"/>
  <c r="AL58" i="33"/>
  <c r="AH58" i="33"/>
  <c r="AI58" i="33"/>
  <c r="AK58" i="33"/>
  <c r="BF45" i="34"/>
  <c r="BG45" i="34"/>
  <c r="CE70" i="4"/>
  <c r="AH24" i="32"/>
  <c r="AK24" i="32"/>
  <c r="BG24" i="33"/>
  <c r="BF24" i="33"/>
  <c r="BG46" i="34"/>
  <c r="BF46" i="34"/>
  <c r="AH46" i="34"/>
  <c r="AI46" i="34"/>
  <c r="AK46" i="34"/>
  <c r="AL46" i="34"/>
  <c r="CH11" i="4"/>
  <c r="CF10" i="4"/>
  <c r="AL35" i="33"/>
  <c r="AH35" i="33"/>
  <c r="AK35" i="33"/>
  <c r="AI35" i="33"/>
  <c r="AH25" i="32"/>
  <c r="AK25" i="32"/>
  <c r="BF25" i="32"/>
  <c r="BF14" i="33"/>
  <c r="BG14" i="33"/>
  <c r="AI69" i="34"/>
  <c r="AK69" i="34"/>
  <c r="AH69" i="34"/>
  <c r="AL69" i="34"/>
  <c r="CD33" i="21"/>
  <c r="BG45" i="32"/>
  <c r="BF45" i="32"/>
  <c r="CD20" i="21"/>
  <c r="CC20" i="21"/>
  <c r="AL46" i="33"/>
  <c r="AH46" i="33"/>
  <c r="AK46" i="33"/>
  <c r="AI46" i="33"/>
  <c r="BG35" i="34"/>
  <c r="BF35" i="34"/>
  <c r="AH25" i="34"/>
  <c r="AK25" i="34"/>
  <c r="AL25" i="34"/>
  <c r="AI25" i="34"/>
  <c r="AI58" i="34"/>
  <c r="AK58" i="34"/>
  <c r="AH58" i="34"/>
  <c r="AL58" i="34"/>
  <c r="BK20" i="21"/>
  <c r="BJ20" i="21"/>
  <c r="BH20" i="21"/>
  <c r="BG20" i="21"/>
  <c r="CE69" i="4"/>
  <c r="AL35" i="34"/>
  <c r="AI35" i="34"/>
  <c r="AH35" i="34"/>
  <c r="AK35" i="34"/>
  <c r="CD10" i="21"/>
  <c r="AL69" i="33"/>
  <c r="AI69" i="33"/>
  <c r="AH69" i="33"/>
  <c r="AK69" i="33"/>
  <c r="AL14" i="33"/>
  <c r="AK14" i="33"/>
  <c r="AH14" i="33"/>
  <c r="AI14" i="33"/>
  <c r="BL60" i="4"/>
  <c r="BH60" i="4"/>
  <c r="CE46" i="4"/>
  <c r="BL59" i="4"/>
  <c r="BH59" i="4"/>
  <c r="BG69" i="4"/>
  <c r="BK69" i="4"/>
  <c r="CE21" i="4"/>
  <c r="CH36" i="4"/>
  <c r="CF35" i="4"/>
  <c r="AH45" i="32"/>
  <c r="AK45" i="32"/>
  <c r="AL45" i="32"/>
  <c r="AI45" i="32"/>
  <c r="AI68" i="34"/>
  <c r="AK68" i="34"/>
  <c r="AH68" i="34"/>
  <c r="AL68" i="34"/>
  <c r="AK69" i="32"/>
  <c r="AL69" i="32"/>
  <c r="AH69" i="32"/>
  <c r="AI69" i="32"/>
  <c r="AL24" i="34"/>
  <c r="AK24" i="34"/>
  <c r="AI24" i="34"/>
  <c r="AH24" i="34"/>
  <c r="AH45" i="34"/>
  <c r="AI45" i="34"/>
  <c r="AK45" i="34"/>
  <c r="AL45" i="34"/>
  <c r="BJ18" i="21"/>
  <c r="BG18" i="21"/>
  <c r="CD43" i="21"/>
  <c r="CC43" i="21"/>
  <c r="BG25" i="34"/>
  <c r="BF25" i="34"/>
  <c r="BK21" i="21"/>
  <c r="BG21" i="21"/>
  <c r="BH21" i="21"/>
  <c r="BJ21" i="21"/>
  <c r="AK68" i="32"/>
  <c r="AH68" i="32"/>
  <c r="AI68" i="32"/>
  <c r="AL68" i="32"/>
  <c r="BG68" i="32"/>
  <c r="BF68" i="32"/>
  <c r="BG68" i="33"/>
  <c r="BF68" i="33"/>
  <c r="BH10" i="21"/>
  <c r="BK10" i="21"/>
  <c r="AI46" i="32"/>
  <c r="AH46" i="32"/>
  <c r="AL46" i="32"/>
  <c r="AK46" i="32"/>
  <c r="BG69" i="32"/>
  <c r="BF69" i="32"/>
  <c r="AL24" i="33"/>
  <c r="AI24" i="33"/>
  <c r="AH24" i="33"/>
  <c r="AK24" i="33"/>
  <c r="AL68" i="33"/>
  <c r="AI68" i="33"/>
  <c r="AH68" i="33"/>
  <c r="AK68" i="33"/>
  <c r="BK33" i="21"/>
  <c r="BH33" i="21"/>
  <c r="BK20" i="4"/>
  <c r="BL10" i="4"/>
  <c r="BK21" i="4"/>
  <c r="AB15" i="20"/>
  <c r="AB14" i="20"/>
  <c r="AB23" i="20"/>
  <c r="AB18" i="20"/>
  <c r="AB24" i="20"/>
  <c r="AB19" i="20"/>
  <c r="AB16" i="20"/>
  <c r="AB20" i="20"/>
  <c r="AB17" i="20"/>
  <c r="AB21" i="20"/>
  <c r="AB22" i="20"/>
  <c r="F25" i="20"/>
  <c r="I305" i="6"/>
  <c r="I489" i="6" s="1"/>
  <c r="I350" i="6"/>
  <c r="I532" i="6" s="1"/>
  <c r="AO57" i="6" l="1"/>
  <c r="AO239" i="6" s="1"/>
  <c r="AO423" i="6" s="1"/>
  <c r="AO206" i="6"/>
  <c r="AQ35" i="6"/>
  <c r="AQ16" i="6"/>
  <c r="AG562" i="6"/>
  <c r="AF569" i="6"/>
  <c r="AG569" i="6" s="1"/>
  <c r="AF570" i="6"/>
  <c r="AG570" i="6" s="1"/>
  <c r="AF572" i="6"/>
  <c r="AG572" i="6" s="1"/>
  <c r="AF568" i="6"/>
  <c r="AG568" i="6" s="1"/>
  <c r="AG560" i="6"/>
  <c r="AG563" i="6"/>
  <c r="AF573" i="6"/>
  <c r="AG573" i="6" s="1"/>
  <c r="AG559" i="6"/>
  <c r="AF574" i="6"/>
  <c r="AG574" i="6" s="1"/>
  <c r="AG564" i="6"/>
  <c r="AF571" i="6"/>
  <c r="AG571" i="6" s="1"/>
  <c r="AG565" i="6"/>
  <c r="AG561" i="6"/>
  <c r="AF559" i="6"/>
  <c r="CF11" i="21"/>
  <c r="CF57" i="21"/>
  <c r="CD57" i="21"/>
  <c r="CH60" i="4"/>
  <c r="BH35" i="21"/>
  <c r="BK35" i="21"/>
  <c r="BO171" i="6"/>
  <c r="BO159" i="6"/>
  <c r="AO159" i="6"/>
  <c r="AO171" i="6"/>
  <c r="AL350" i="6"/>
  <c r="AL532" i="6" s="1"/>
  <c r="BJ61" i="21"/>
  <c r="BG61" i="21"/>
  <c r="AO269" i="6"/>
  <c r="AO453" i="6" s="1"/>
  <c r="AO95" i="6"/>
  <c r="AO277" i="6" s="1"/>
  <c r="AO461" i="6" s="1"/>
  <c r="AO299" i="6"/>
  <c r="AO483" i="6" s="1"/>
  <c r="AO137" i="6"/>
  <c r="AO319" i="6" s="1"/>
  <c r="AO503" i="6" s="1"/>
  <c r="BH60" i="21"/>
  <c r="BH11" i="23"/>
  <c r="BK11" i="23"/>
  <c r="AD48" i="3"/>
  <c r="I5" i="32" s="1"/>
  <c r="C138" i="3"/>
  <c r="C228" i="3" s="1"/>
  <c r="F31" i="3"/>
  <c r="I37" i="3" s="1"/>
  <c r="I127" i="3" s="1"/>
  <c r="C274" i="3"/>
  <c r="F74" i="3"/>
  <c r="I79" i="3" s="1"/>
  <c r="AK56" i="8"/>
  <c r="AK44" i="8"/>
  <c r="BK61" i="23"/>
  <c r="BH61" i="23"/>
  <c r="CD11" i="23"/>
  <c r="CD60" i="23"/>
  <c r="CD35" i="23"/>
  <c r="BH36" i="23"/>
  <c r="BK36" i="23"/>
  <c r="BL62" i="4"/>
  <c r="BH62" i="4"/>
  <c r="CD34" i="21"/>
  <c r="CD11" i="21"/>
  <c r="BL36" i="4"/>
  <c r="BH36" i="4"/>
  <c r="BK11" i="21"/>
  <c r="BH11" i="21"/>
  <c r="CF36" i="4"/>
  <c r="CF11" i="4"/>
  <c r="BL11" i="4"/>
  <c r="F162" i="3"/>
  <c r="F252" i="3" s="1"/>
  <c r="J44" i="8"/>
  <c r="L159" i="6"/>
  <c r="L171" i="6"/>
  <c r="L117" i="6"/>
  <c r="L129" i="6"/>
  <c r="I263" i="6"/>
  <c r="I447" i="6" s="1"/>
  <c r="BH16" i="4" l="1"/>
  <c r="BG11" i="4"/>
  <c r="BH18" i="4"/>
  <c r="BH15" i="4"/>
  <c r="BH21" i="4"/>
  <c r="BG12" i="4"/>
  <c r="BG14" i="4"/>
  <c r="BH17" i="4"/>
  <c r="BH19" i="4"/>
  <c r="BH20" i="4"/>
  <c r="BG13" i="4"/>
  <c r="BG10" i="4"/>
  <c r="CH46" i="4"/>
  <c r="CF46" i="4"/>
  <c r="BH46" i="4"/>
  <c r="BL46" i="4"/>
  <c r="CH70" i="4"/>
  <c r="CF70" i="4"/>
  <c r="BZ46" i="4"/>
  <c r="BL70" i="4"/>
  <c r="BH70" i="4"/>
  <c r="CH45" i="4"/>
  <c r="CF45" i="4"/>
  <c r="BH45" i="4"/>
  <c r="BL45" i="4"/>
  <c r="BL69" i="4"/>
  <c r="BH69" i="4"/>
  <c r="BZ70" i="4"/>
  <c r="CA70" i="4"/>
  <c r="BY70" i="4"/>
  <c r="CH69" i="4"/>
  <c r="CF69" i="4"/>
  <c r="CA46" i="4"/>
  <c r="BY46" i="4"/>
  <c r="CA21" i="4"/>
  <c r="BZ21" i="4"/>
  <c r="BY21" i="4"/>
  <c r="CH21" i="4"/>
  <c r="CF21" i="4"/>
  <c r="CH20" i="4"/>
  <c r="CF20" i="4"/>
  <c r="BL21" i="4"/>
  <c r="BL20" i="4"/>
  <c r="AX20" i="4"/>
  <c r="BV20" i="4"/>
  <c r="F121" i="3"/>
  <c r="AJ128" i="3" s="1"/>
  <c r="I24" i="3"/>
  <c r="O12" i="3" s="1"/>
  <c r="C278" i="3"/>
  <c r="C292" i="3" s="1"/>
  <c r="AQ4" i="6"/>
  <c r="AQ186" i="6" s="1"/>
  <c r="AQ370" i="6" s="1"/>
  <c r="AQ217" i="6"/>
  <c r="AQ401" i="6" s="1"/>
  <c r="AO390" i="6"/>
  <c r="AQ198" i="6"/>
  <c r="AQ382" i="6" s="1"/>
  <c r="CF61" i="4"/>
  <c r="BK36" i="21"/>
  <c r="BH36" i="21"/>
  <c r="AO180" i="6"/>
  <c r="AO364" i="6" s="1"/>
  <c r="AO546" i="6" s="1"/>
  <c r="AO355" i="6"/>
  <c r="AO537" i="6" s="1"/>
  <c r="BJ62" i="21"/>
  <c r="BG62" i="21"/>
  <c r="AL180" i="6"/>
  <c r="AL364" i="6" s="1"/>
  <c r="AL546" i="6" s="1"/>
  <c r="AO343" i="6"/>
  <c r="AO525" i="6" s="1"/>
  <c r="AL100" i="6"/>
  <c r="AL282" i="6" s="1"/>
  <c r="AL466" i="6" s="1"/>
  <c r="CD58" i="21"/>
  <c r="F164" i="3"/>
  <c r="F254" i="3" s="1"/>
  <c r="D278" i="3"/>
  <c r="D288" i="3" s="1"/>
  <c r="L299" i="6"/>
  <c r="L483" i="6" s="1"/>
  <c r="L311" i="6"/>
  <c r="L495" i="6" s="1"/>
  <c r="L355" i="6"/>
  <c r="L537" i="6" s="1"/>
  <c r="I67" i="3"/>
  <c r="BH37" i="23"/>
  <c r="BK37" i="23"/>
  <c r="CD61" i="23"/>
  <c r="AG74" i="3"/>
  <c r="AG31" i="3"/>
  <c r="AD274" i="3"/>
  <c r="AD138" i="3"/>
  <c r="AD228" i="3" s="1"/>
  <c r="CD12" i="23"/>
  <c r="CD36" i="23"/>
  <c r="AK65" i="8"/>
  <c r="AK17" i="8"/>
  <c r="BH62" i="23"/>
  <c r="BK12" i="23"/>
  <c r="BH12" i="23"/>
  <c r="CF37" i="4"/>
  <c r="BH12" i="21"/>
  <c r="BK12" i="21"/>
  <c r="BH63" i="4"/>
  <c r="CF12" i="4"/>
  <c r="CD12" i="21"/>
  <c r="BH37" i="4"/>
  <c r="BL37" i="4"/>
  <c r="CD35" i="21"/>
  <c r="BL12" i="4"/>
  <c r="L343" i="6"/>
  <c r="L525" i="6" s="1"/>
  <c r="I215" i="6"/>
  <c r="C558" i="6"/>
  <c r="C559" i="6" s="1"/>
  <c r="I169" i="3"/>
  <c r="I259" i="3" s="1"/>
  <c r="I217" i="3"/>
  <c r="J56" i="8"/>
  <c r="L180" i="6"/>
  <c r="L364" i="6" s="1"/>
  <c r="L546" i="6" s="1"/>
  <c r="L137" i="6"/>
  <c r="L319" i="6" s="1"/>
  <c r="L503" i="6" s="1"/>
  <c r="L74" i="6"/>
  <c r="L87" i="6"/>
  <c r="I180" i="6"/>
  <c r="I364" i="6" s="1"/>
  <c r="I546" i="6" s="1"/>
  <c r="I100" i="6"/>
  <c r="I282" i="6" s="1"/>
  <c r="I466" i="6" s="1"/>
  <c r="I51" i="3" l="1"/>
  <c r="I141" i="3" s="1"/>
  <c r="I231" i="3" s="1"/>
  <c r="I212" i="6"/>
  <c r="I213" i="6"/>
  <c r="L205" i="6" s="1"/>
  <c r="I129" i="3"/>
  <c r="C293" i="3"/>
  <c r="C294" i="3"/>
  <c r="I113" i="3"/>
  <c r="I114" i="3"/>
  <c r="AJ114" i="3"/>
  <c r="I112" i="3"/>
  <c r="F211" i="3"/>
  <c r="I204" i="3" s="1"/>
  <c r="AJ112" i="3"/>
  <c r="I128" i="3"/>
  <c r="AJ129" i="3"/>
  <c r="AJ113" i="3"/>
  <c r="C279" i="3"/>
  <c r="D294" i="3"/>
  <c r="D282" i="3"/>
  <c r="I157" i="3"/>
  <c r="I247" i="3" s="1"/>
  <c r="D285" i="3"/>
  <c r="I45" i="3"/>
  <c r="I135" i="3" s="1"/>
  <c r="I225" i="3" s="1"/>
  <c r="C280" i="3"/>
  <c r="CC41" i="21"/>
  <c r="BG64" i="21"/>
  <c r="BJ64" i="21"/>
  <c r="C281" i="3"/>
  <c r="C283" i="3"/>
  <c r="C288" i="3"/>
  <c r="C285" i="3"/>
  <c r="C289" i="3"/>
  <c r="C284" i="3"/>
  <c r="C290" i="3"/>
  <c r="C291" i="3"/>
  <c r="C282" i="3"/>
  <c r="D280" i="3"/>
  <c r="D291" i="3"/>
  <c r="D289" i="3"/>
  <c r="D292" i="3"/>
  <c r="D290" i="3"/>
  <c r="D293" i="3"/>
  <c r="D281" i="3"/>
  <c r="D283" i="3"/>
  <c r="D279" i="3"/>
  <c r="D284" i="3"/>
  <c r="AQ380" i="6"/>
  <c r="AQ402" i="6"/>
  <c r="AQ403" i="6"/>
  <c r="AQ381" i="6"/>
  <c r="BH37" i="21"/>
  <c r="CD59" i="21"/>
  <c r="BJ63" i="21"/>
  <c r="BG63" i="21"/>
  <c r="CF62" i="4"/>
  <c r="CE64" i="4"/>
  <c r="AL215" i="6"/>
  <c r="AR69" i="6"/>
  <c r="AR68" i="6"/>
  <c r="AR67" i="6"/>
  <c r="AF567" i="6"/>
  <c r="AF561" i="6"/>
  <c r="AF560" i="6"/>
  <c r="AF562" i="6"/>
  <c r="AF563" i="6"/>
  <c r="AF564" i="6"/>
  <c r="AF565" i="6"/>
  <c r="AR92" i="6"/>
  <c r="AR91" i="6"/>
  <c r="AR90" i="6"/>
  <c r="AR272" i="6" s="1"/>
  <c r="AR456" i="6" s="1"/>
  <c r="L269" i="6"/>
  <c r="L453" i="6" s="1"/>
  <c r="CD37" i="23"/>
  <c r="BK13" i="23"/>
  <c r="BH13" i="23"/>
  <c r="CD13" i="23"/>
  <c r="AD278" i="3"/>
  <c r="AG121" i="3"/>
  <c r="AG211" i="3" s="1"/>
  <c r="AJ204" i="3" s="1"/>
  <c r="AJ24" i="3"/>
  <c r="AJ37" i="3"/>
  <c r="BG63" i="23"/>
  <c r="BJ63" i="23"/>
  <c r="AJ79" i="3"/>
  <c r="AJ67" i="3"/>
  <c r="AG164" i="3"/>
  <c r="AG254" i="3" s="1"/>
  <c r="AE278" i="3"/>
  <c r="BH38" i="23"/>
  <c r="AP57" i="3"/>
  <c r="AM152" i="3"/>
  <c r="AM242" i="3" s="1"/>
  <c r="J65" i="8"/>
  <c r="BH13" i="21"/>
  <c r="BK13" i="21"/>
  <c r="CF38" i="4"/>
  <c r="CF13" i="4"/>
  <c r="BG64" i="4"/>
  <c r="BK64" i="4"/>
  <c r="CD36" i="21"/>
  <c r="BH38" i="4"/>
  <c r="BL38" i="4"/>
  <c r="CD13" i="21"/>
  <c r="BL13" i="4"/>
  <c r="L256" i="6"/>
  <c r="L440" i="6" s="1"/>
  <c r="C567" i="6"/>
  <c r="C568" i="6"/>
  <c r="D568" i="6" s="1"/>
  <c r="C560" i="6"/>
  <c r="C561" i="6"/>
  <c r="C569" i="6"/>
  <c r="D569" i="6" s="1"/>
  <c r="C570" i="6"/>
  <c r="D570" i="6" s="1"/>
  <c r="C562" i="6"/>
  <c r="C563" i="6"/>
  <c r="C571" i="6"/>
  <c r="D571" i="6" s="1"/>
  <c r="C564" i="6"/>
  <c r="C572" i="6"/>
  <c r="D572" i="6" s="1"/>
  <c r="C565" i="6"/>
  <c r="C573" i="6"/>
  <c r="D573" i="6" s="1"/>
  <c r="C574" i="6"/>
  <c r="D574" i="6" s="1"/>
  <c r="J17" i="8"/>
  <c r="L95" i="6"/>
  <c r="L277" i="6" s="1"/>
  <c r="L461" i="6" s="1"/>
  <c r="L228" i="6" l="1"/>
  <c r="AL213" i="6"/>
  <c r="AO228" i="6" s="1"/>
  <c r="AL212" i="6"/>
  <c r="AO227" i="6" s="1"/>
  <c r="BG67" i="4"/>
  <c r="BK67" i="4"/>
  <c r="BJ66" i="23"/>
  <c r="BG66" i="23"/>
  <c r="CC18" i="21"/>
  <c r="CC42" i="21"/>
  <c r="BG65" i="21"/>
  <c r="BJ65" i="21"/>
  <c r="BG65" i="23"/>
  <c r="BJ65" i="23"/>
  <c r="BG38" i="21"/>
  <c r="BJ38" i="21"/>
  <c r="N197" i="6"/>
  <c r="N219" i="6"/>
  <c r="AE292" i="3"/>
  <c r="AE281" i="3"/>
  <c r="AE285" i="3"/>
  <c r="AE289" i="3"/>
  <c r="AE293" i="3"/>
  <c r="AE282" i="3"/>
  <c r="AE279" i="3"/>
  <c r="AE290" i="3"/>
  <c r="AE294" i="3"/>
  <c r="AE283" i="3"/>
  <c r="AE280" i="3"/>
  <c r="AE291" i="3"/>
  <c r="AE284" i="3"/>
  <c r="AE288" i="3"/>
  <c r="AL399" i="6"/>
  <c r="AD289" i="3"/>
  <c r="AD293" i="3"/>
  <c r="AD282" i="3"/>
  <c r="AD279" i="3"/>
  <c r="AD290" i="3"/>
  <c r="AD294" i="3"/>
  <c r="AD283" i="3"/>
  <c r="AD291" i="3"/>
  <c r="AD288" i="3"/>
  <c r="AD280" i="3"/>
  <c r="AD284" i="3"/>
  <c r="AD281" i="3"/>
  <c r="AD292" i="3"/>
  <c r="AD285" i="3"/>
  <c r="AR251" i="6"/>
  <c r="AR435" i="6" s="1"/>
  <c r="AU76" i="6"/>
  <c r="AU258" i="6" s="1"/>
  <c r="AU442" i="6" s="1"/>
  <c r="AU64" i="6"/>
  <c r="AJ169" i="3"/>
  <c r="AJ259" i="3" s="1"/>
  <c r="AJ127" i="3"/>
  <c r="AJ217" i="3" s="1"/>
  <c r="BG64" i="23"/>
  <c r="BJ64" i="23"/>
  <c r="AP12" i="3"/>
  <c r="AJ45" i="3"/>
  <c r="AJ135" i="3" s="1"/>
  <c r="AJ225" i="3" s="1"/>
  <c r="CC63" i="23"/>
  <c r="AJ51" i="3"/>
  <c r="AJ141" i="3" s="1"/>
  <c r="AJ231" i="3" s="1"/>
  <c r="AJ157" i="3"/>
  <c r="AJ247" i="3" s="1"/>
  <c r="AJ89" i="3"/>
  <c r="AJ179" i="3" s="1"/>
  <c r="AJ269" i="3" s="1"/>
  <c r="BG39" i="23"/>
  <c r="BJ39" i="23"/>
  <c r="BH14" i="23"/>
  <c r="AP147" i="3"/>
  <c r="AP51" i="3"/>
  <c r="AP141" i="3" s="1"/>
  <c r="AP231" i="3" s="1"/>
  <c r="BK66" i="4"/>
  <c r="BG66" i="4"/>
  <c r="BK65" i="4"/>
  <c r="BG65" i="4"/>
  <c r="BK15" i="4"/>
  <c r="CE65" i="4"/>
  <c r="BH14" i="21"/>
  <c r="BH39" i="4"/>
  <c r="BG42" i="23" l="1"/>
  <c r="BJ42" i="23"/>
  <c r="CC19" i="21"/>
  <c r="BJ67" i="23"/>
  <c r="BG67" i="23"/>
  <c r="BK68" i="4"/>
  <c r="BG68" i="4"/>
  <c r="BG41" i="23"/>
  <c r="BJ41" i="23"/>
  <c r="CE66" i="4"/>
  <c r="BG39" i="21"/>
  <c r="BJ39" i="21"/>
  <c r="BG42" i="33"/>
  <c r="BG21" i="33"/>
  <c r="BG65" i="33"/>
  <c r="CC61" i="21"/>
  <c r="AO204" i="6"/>
  <c r="AQ218" i="6" s="1"/>
  <c r="AO205" i="6"/>
  <c r="AQ219" i="6" s="1"/>
  <c r="AU57" i="6"/>
  <c r="AU239" i="6" s="1"/>
  <c r="AU423" i="6" s="1"/>
  <c r="AU246" i="6"/>
  <c r="AU430" i="6" s="1"/>
  <c r="BG40" i="23"/>
  <c r="BJ40" i="23"/>
  <c r="BG15" i="23"/>
  <c r="BJ15" i="23"/>
  <c r="AP6" i="3"/>
  <c r="AP96" i="3" s="1"/>
  <c r="AP186" i="3" s="1"/>
  <c r="CC39" i="23"/>
  <c r="CC15" i="23"/>
  <c r="CC64" i="23"/>
  <c r="BK17" i="4"/>
  <c r="CC15" i="21"/>
  <c r="CC38" i="21"/>
  <c r="CE40" i="4"/>
  <c r="BG40" i="4"/>
  <c r="BK40" i="4"/>
  <c r="BJ15" i="21"/>
  <c r="BG15" i="21"/>
  <c r="CE15" i="4"/>
  <c r="BK16" i="4"/>
  <c r="AQ196" i="6" l="1"/>
  <c r="BG43" i="33"/>
  <c r="BG22" i="33"/>
  <c r="BG66" i="33"/>
  <c r="CC66" i="23"/>
  <c r="CE67" i="4"/>
  <c r="CC18" i="23"/>
  <c r="BG41" i="21"/>
  <c r="BJ41" i="21"/>
  <c r="BG43" i="4"/>
  <c r="BK43" i="4"/>
  <c r="BK18" i="4"/>
  <c r="BG43" i="23"/>
  <c r="BJ43" i="23"/>
  <c r="BG65" i="32"/>
  <c r="BG42" i="32"/>
  <c r="CC17" i="23"/>
  <c r="CC65" i="23"/>
  <c r="CE42" i="4"/>
  <c r="CC16" i="23"/>
  <c r="CC62" i="21"/>
  <c r="BJ40" i="21"/>
  <c r="BG40" i="21"/>
  <c r="AQ197" i="6"/>
  <c r="BG16" i="23"/>
  <c r="BJ16" i="23"/>
  <c r="CC40" i="23"/>
  <c r="CC17" i="21"/>
  <c r="BJ17" i="21"/>
  <c r="BG17" i="21"/>
  <c r="BK42" i="4"/>
  <c r="BG42" i="4"/>
  <c r="CC40" i="21"/>
  <c r="BJ16" i="21"/>
  <c r="BG16" i="21"/>
  <c r="BG41" i="4"/>
  <c r="BK41" i="4"/>
  <c r="CC16" i="21"/>
  <c r="CE41" i="4"/>
  <c r="CE16" i="4"/>
  <c r="CC39" i="21"/>
  <c r="BF14" i="32" l="1"/>
  <c r="BG23" i="33"/>
  <c r="AL65" i="34"/>
  <c r="AI65" i="34"/>
  <c r="BG44" i="33"/>
  <c r="AL42" i="34"/>
  <c r="AI42" i="34"/>
  <c r="BG67" i="33"/>
  <c r="AI21" i="34"/>
  <c r="AL21" i="34"/>
  <c r="BH18" i="21"/>
  <c r="BK18" i="21"/>
  <c r="BK19" i="21"/>
  <c r="BH19" i="21"/>
  <c r="BL18" i="4"/>
  <c r="BJ18" i="23"/>
  <c r="BG18" i="23"/>
  <c r="BH18" i="23"/>
  <c r="BK18" i="23"/>
  <c r="BK19" i="4"/>
  <c r="BL19" i="4"/>
  <c r="CC42" i="23"/>
  <c r="CC64" i="21"/>
  <c r="BG44" i="4"/>
  <c r="BK44" i="4"/>
  <c r="CC19" i="23"/>
  <c r="CE68" i="4"/>
  <c r="CC67" i="23"/>
  <c r="BG42" i="21"/>
  <c r="BJ42" i="21"/>
  <c r="AI65" i="33"/>
  <c r="AL65" i="33"/>
  <c r="AI42" i="33"/>
  <c r="AL42" i="33"/>
  <c r="AL21" i="33"/>
  <c r="AI21" i="33"/>
  <c r="CE17" i="4"/>
  <c r="AH21" i="33"/>
  <c r="AK21" i="33"/>
  <c r="BG21" i="34"/>
  <c r="CC41" i="23"/>
  <c r="CC63" i="21"/>
  <c r="AK21" i="32"/>
  <c r="AH21" i="32"/>
  <c r="BG42" i="34"/>
  <c r="AI65" i="32"/>
  <c r="AL65" i="32"/>
  <c r="BG65" i="34"/>
  <c r="AI42" i="32"/>
  <c r="AL42" i="32"/>
  <c r="BJ14" i="23"/>
  <c r="BK14" i="4"/>
  <c r="BJ14" i="21"/>
  <c r="BJ17" i="23"/>
  <c r="BG17" i="23"/>
  <c r="BJ11" i="23"/>
  <c r="BG11" i="23"/>
  <c r="BK17" i="23"/>
  <c r="BH17" i="23"/>
  <c r="BJ12" i="23"/>
  <c r="BG12" i="23"/>
  <c r="BK16" i="23"/>
  <c r="BH16" i="23"/>
  <c r="BG10" i="23"/>
  <c r="BJ10" i="23"/>
  <c r="BG13" i="23"/>
  <c r="BJ13" i="23"/>
  <c r="BK15" i="23"/>
  <c r="BH15" i="23"/>
  <c r="BG14" i="23"/>
  <c r="BK14" i="23"/>
  <c r="BL16" i="4"/>
  <c r="BH16" i="21"/>
  <c r="BK17" i="21"/>
  <c r="BL17" i="4"/>
  <c r="BH17" i="21"/>
  <c r="BK16" i="21"/>
  <c r="BG11" i="21"/>
  <c r="BJ11" i="21"/>
  <c r="BG12" i="21"/>
  <c r="BJ12" i="21"/>
  <c r="BK15" i="21"/>
  <c r="BH15" i="21"/>
  <c r="BJ13" i="21"/>
  <c r="BG13" i="21"/>
  <c r="BJ10" i="21"/>
  <c r="BG10" i="21"/>
  <c r="BK14" i="21"/>
  <c r="BG14" i="21"/>
  <c r="BL15" i="4"/>
  <c r="BK13" i="4"/>
  <c r="BK12" i="4"/>
  <c r="BK10" i="4"/>
  <c r="BL14" i="4"/>
  <c r="BK11" i="4"/>
  <c r="AX20" i="21"/>
  <c r="AX20" i="23"/>
  <c r="AK14" i="32" l="1"/>
  <c r="AH14" i="32"/>
  <c r="AI43" i="34"/>
  <c r="AL43" i="34"/>
  <c r="AI43" i="33"/>
  <c r="AL43" i="33"/>
  <c r="AL43" i="32"/>
  <c r="AI43" i="32"/>
  <c r="AI66" i="34"/>
  <c r="AL66" i="34"/>
  <c r="AL66" i="32"/>
  <c r="AI66" i="32"/>
  <c r="BG43" i="34"/>
  <c r="AK22" i="33"/>
  <c r="AI22" i="33"/>
  <c r="AL22" i="33"/>
  <c r="AH22" i="33"/>
  <c r="BG43" i="32"/>
  <c r="BG22" i="34"/>
  <c r="AI22" i="34"/>
  <c r="AK22" i="34"/>
  <c r="AH22" i="34"/>
  <c r="AL22" i="34"/>
  <c r="AL66" i="33"/>
  <c r="AI66" i="33"/>
  <c r="AH22" i="32"/>
  <c r="AK22" i="32"/>
  <c r="BG66" i="32"/>
  <c r="BG66" i="34"/>
  <c r="CE18" i="4"/>
  <c r="CC43" i="23"/>
  <c r="CC65" i="21"/>
  <c r="CE43" i="4"/>
  <c r="BG19" i="23"/>
  <c r="BG22" i="23" s="1"/>
  <c r="BK19" i="23"/>
  <c r="BK22" i="23" s="1"/>
  <c r="BH19" i="23"/>
  <c r="BH22" i="23" s="1"/>
  <c r="BJ19" i="23"/>
  <c r="BJ22" i="23" s="1"/>
  <c r="AK21" i="34"/>
  <c r="AH21" i="34"/>
  <c r="BH22" i="21"/>
  <c r="BJ22" i="21"/>
  <c r="BG22" i="21"/>
  <c r="BK22" i="21"/>
  <c r="BL22" i="4"/>
  <c r="BL24" i="4" s="1"/>
  <c r="BK22" i="4"/>
  <c r="BK24" i="4" s="1"/>
  <c r="CF12" i="23"/>
  <c r="H9" i="33" l="1"/>
  <c r="W13" i="33" s="1"/>
  <c r="AC14" i="33"/>
  <c r="W15" i="33"/>
  <c r="AA15" i="33"/>
  <c r="U16" i="33"/>
  <c r="Y16" i="33"/>
  <c r="AC16" i="33"/>
  <c r="W17" i="33"/>
  <c r="AA17" i="33"/>
  <c r="U18" i="33"/>
  <c r="Y18" i="33"/>
  <c r="AC18" i="33"/>
  <c r="W19" i="33"/>
  <c r="AA19" i="33"/>
  <c r="U20" i="33"/>
  <c r="Y20" i="33"/>
  <c r="AC20" i="33"/>
  <c r="W21" i="33"/>
  <c r="AA21" i="33"/>
  <c r="U22" i="33"/>
  <c r="Y22" i="33"/>
  <c r="AC22" i="33"/>
  <c r="W23" i="33"/>
  <c r="AA23" i="33"/>
  <c r="T14" i="33"/>
  <c r="T18" i="33"/>
  <c r="T22" i="33"/>
  <c r="AD13" i="33"/>
  <c r="AB14" i="33"/>
  <c r="AD15" i="33"/>
  <c r="V17" i="33"/>
  <c r="X18" i="33"/>
  <c r="Z19" i="33"/>
  <c r="AB20" i="33"/>
  <c r="AD21" i="33"/>
  <c r="Z23" i="33"/>
  <c r="T21" i="33"/>
  <c r="X13" i="33"/>
  <c r="AB13" i="33"/>
  <c r="V14" i="33"/>
  <c r="Z14" i="33"/>
  <c r="AD14" i="33"/>
  <c r="X15" i="33"/>
  <c r="AB15" i="33"/>
  <c r="V16" i="33"/>
  <c r="Z16" i="33"/>
  <c r="AD16" i="33"/>
  <c r="X17" i="33"/>
  <c r="AB17" i="33"/>
  <c r="V18" i="33"/>
  <c r="Z18" i="33"/>
  <c r="AD18" i="33"/>
  <c r="X19" i="33"/>
  <c r="AB19" i="33"/>
  <c r="V20" i="33"/>
  <c r="Z20" i="33"/>
  <c r="AD20" i="33"/>
  <c r="X21" i="33"/>
  <c r="AB21" i="33"/>
  <c r="V22" i="33"/>
  <c r="Z22" i="33"/>
  <c r="AD22" i="33"/>
  <c r="X23" i="33"/>
  <c r="AB23" i="33"/>
  <c r="T15" i="33"/>
  <c r="T19" i="33"/>
  <c r="T23" i="33"/>
  <c r="V13" i="33"/>
  <c r="X14" i="33"/>
  <c r="Z15" i="33"/>
  <c r="AB16" i="33"/>
  <c r="AD17" i="33"/>
  <c r="V19" i="33"/>
  <c r="X20" i="33"/>
  <c r="Z21" i="33"/>
  <c r="AB22" i="33"/>
  <c r="AD23" i="33"/>
  <c r="U13" i="33"/>
  <c r="Y13" i="33"/>
  <c r="AC13" i="33"/>
  <c r="W14" i="33"/>
  <c r="AA14" i="33"/>
  <c r="U15" i="33"/>
  <c r="Y15" i="33"/>
  <c r="AC15" i="33"/>
  <c r="W16" i="33"/>
  <c r="AA16" i="33"/>
  <c r="U17" i="33"/>
  <c r="Y17" i="33"/>
  <c r="AC17" i="33"/>
  <c r="W18" i="33"/>
  <c r="AA18" i="33"/>
  <c r="U19" i="33"/>
  <c r="Y19" i="33"/>
  <c r="AC19" i="33"/>
  <c r="W20" i="33"/>
  <c r="AA20" i="33"/>
  <c r="U21" i="33"/>
  <c r="Y21" i="33"/>
  <c r="AC21" i="33"/>
  <c r="W22" i="33"/>
  <c r="AA22" i="33"/>
  <c r="U23" i="33"/>
  <c r="Y23" i="33"/>
  <c r="AC23" i="33"/>
  <c r="T16" i="33"/>
  <c r="T20" i="33"/>
  <c r="T13" i="33"/>
  <c r="Z13" i="33"/>
  <c r="V15" i="33"/>
  <c r="X16" i="33"/>
  <c r="Z17" i="33"/>
  <c r="AB18" i="33"/>
  <c r="AD19" i="33"/>
  <c r="V21" i="33"/>
  <c r="X22" i="33"/>
  <c r="V23" i="33"/>
  <c r="T17" i="33"/>
  <c r="BH24" i="23"/>
  <c r="AW22" i="23" s="1"/>
  <c r="BK24" i="23"/>
  <c r="AW25" i="23" s="1"/>
  <c r="V71" i="3" s="1"/>
  <c r="BG24" i="23"/>
  <c r="AW21" i="23" s="1"/>
  <c r="BJ24" i="23"/>
  <c r="AW24" i="23" s="1"/>
  <c r="V61" i="3" s="1"/>
  <c r="H9" i="34"/>
  <c r="BJ24" i="21"/>
  <c r="AW24" i="21" s="1"/>
  <c r="U61" i="3" s="1"/>
  <c r="BK24" i="21"/>
  <c r="AW25" i="21" s="1"/>
  <c r="U71" i="3" s="1"/>
  <c r="BG24" i="21"/>
  <c r="AW21" i="21" s="1"/>
  <c r="BH24" i="21"/>
  <c r="AW22" i="21" s="1"/>
  <c r="AX25" i="4"/>
  <c r="AI67" i="34"/>
  <c r="AL67" i="34"/>
  <c r="AL44" i="33"/>
  <c r="AI44" i="33"/>
  <c r="AL67" i="32"/>
  <c r="AI67" i="32"/>
  <c r="AK23" i="34"/>
  <c r="AL23" i="34"/>
  <c r="AI23" i="34"/>
  <c r="AH23" i="34"/>
  <c r="BG67" i="34"/>
  <c r="AI23" i="33"/>
  <c r="AL23" i="33"/>
  <c r="AH23" i="33"/>
  <c r="AK23" i="33"/>
  <c r="BG67" i="32"/>
  <c r="AL44" i="32"/>
  <c r="AI44" i="32"/>
  <c r="AL44" i="34"/>
  <c r="AI44" i="34"/>
  <c r="BG23" i="34"/>
  <c r="AL67" i="33"/>
  <c r="AI67" i="33"/>
  <c r="BG44" i="32"/>
  <c r="AK23" i="32"/>
  <c r="AH23" i="32"/>
  <c r="BG44" i="34"/>
  <c r="CF17" i="23"/>
  <c r="CF16" i="23"/>
  <c r="BJ22" i="34"/>
  <c r="CD18" i="23"/>
  <c r="CF18" i="23"/>
  <c r="BF23" i="34"/>
  <c r="CF19" i="23"/>
  <c r="CD19" i="23"/>
  <c r="CE44" i="4"/>
  <c r="CE19" i="4"/>
  <c r="CF15" i="23"/>
  <c r="CF13" i="23"/>
  <c r="BT21" i="23"/>
  <c r="CF14" i="23"/>
  <c r="CC14" i="23"/>
  <c r="BK25" i="4"/>
  <c r="AX24" i="4"/>
  <c r="CC12" i="23"/>
  <c r="CC13" i="23"/>
  <c r="CC10" i="23"/>
  <c r="CD14" i="23"/>
  <c r="CD16" i="23"/>
  <c r="CD17" i="23"/>
  <c r="CC11" i="23"/>
  <c r="CD15" i="23"/>
  <c r="BT20" i="23"/>
  <c r="I89" i="3"/>
  <c r="Y14" i="33" l="1"/>
  <c r="BG25" i="23"/>
  <c r="AT20" i="23" s="1"/>
  <c r="U93" i="6" s="1"/>
  <c r="U177" i="6" s="1"/>
  <c r="Y568" i="6" s="1"/>
  <c r="U14" i="33"/>
  <c r="AA13" i="33"/>
  <c r="BJ25" i="23"/>
  <c r="AI19" i="33"/>
  <c r="AL19" i="33"/>
  <c r="AH17" i="33"/>
  <c r="AK17" i="33"/>
  <c r="AH16" i="33"/>
  <c r="AK16" i="33"/>
  <c r="AL16" i="33"/>
  <c r="AI16" i="33"/>
  <c r="AH15" i="33"/>
  <c r="AK15" i="33"/>
  <c r="AL17" i="33"/>
  <c r="AI17" i="33"/>
  <c r="X13" i="34"/>
  <c r="AB13" i="34"/>
  <c r="V14" i="34"/>
  <c r="Z14" i="34"/>
  <c r="AD14" i="34"/>
  <c r="X15" i="34"/>
  <c r="AB15" i="34"/>
  <c r="V16" i="34"/>
  <c r="Z16" i="34"/>
  <c r="AD16" i="34"/>
  <c r="X17" i="34"/>
  <c r="AB17" i="34"/>
  <c r="V18" i="34"/>
  <c r="Z18" i="34"/>
  <c r="AD18" i="34"/>
  <c r="X19" i="34"/>
  <c r="AB19" i="34"/>
  <c r="V20" i="34"/>
  <c r="Z20" i="34"/>
  <c r="AD20" i="34"/>
  <c r="X21" i="34"/>
  <c r="AB21" i="34"/>
  <c r="V22" i="34"/>
  <c r="Z22" i="34"/>
  <c r="AD22" i="34"/>
  <c r="X23" i="34"/>
  <c r="AB23" i="34"/>
  <c r="T15" i="34"/>
  <c r="T19" i="34"/>
  <c r="T23" i="34"/>
  <c r="U14" i="34"/>
  <c r="Y14" i="34"/>
  <c r="W15" i="34"/>
  <c r="U16" i="34"/>
  <c r="AC16" i="34"/>
  <c r="Y18" i="34"/>
  <c r="AA19" i="34"/>
  <c r="AC20" i="34"/>
  <c r="U22" i="34"/>
  <c r="AA23" i="34"/>
  <c r="T22" i="34"/>
  <c r="U13" i="34"/>
  <c r="Y13" i="34"/>
  <c r="AC13" i="34"/>
  <c r="W14" i="34"/>
  <c r="AA14" i="34"/>
  <c r="U15" i="34"/>
  <c r="Y15" i="34"/>
  <c r="AC15" i="34"/>
  <c r="W16" i="34"/>
  <c r="AA16" i="34"/>
  <c r="U17" i="34"/>
  <c r="Y17" i="34"/>
  <c r="AC17" i="34"/>
  <c r="W18" i="34"/>
  <c r="AA18" i="34"/>
  <c r="U19" i="34"/>
  <c r="Y19" i="34"/>
  <c r="AC19" i="34"/>
  <c r="W20" i="34"/>
  <c r="AA20" i="34"/>
  <c r="U21" i="34"/>
  <c r="Y21" i="34"/>
  <c r="AC21" i="34"/>
  <c r="W22" i="34"/>
  <c r="AA22" i="34"/>
  <c r="U23" i="34"/>
  <c r="Y23" i="34"/>
  <c r="AC23" i="34"/>
  <c r="T16" i="34"/>
  <c r="T20" i="34"/>
  <c r="T13" i="34"/>
  <c r="AA13" i="34"/>
  <c r="AA17" i="34"/>
  <c r="AC18" i="34"/>
  <c r="Y20" i="34"/>
  <c r="AA21" i="34"/>
  <c r="AC22" i="34"/>
  <c r="T14" i="34"/>
  <c r="V13" i="34"/>
  <c r="Z13" i="34"/>
  <c r="AD13" i="34"/>
  <c r="X14" i="34"/>
  <c r="AB14" i="34"/>
  <c r="V15" i="34"/>
  <c r="Z15" i="34"/>
  <c r="AD15" i="34"/>
  <c r="X16" i="34"/>
  <c r="AB16" i="34"/>
  <c r="V17" i="34"/>
  <c r="Z17" i="34"/>
  <c r="AD17" i="34"/>
  <c r="X18" i="34"/>
  <c r="AB18" i="34"/>
  <c r="V19" i="34"/>
  <c r="Z19" i="34"/>
  <c r="AD19" i="34"/>
  <c r="X20" i="34"/>
  <c r="AB20" i="34"/>
  <c r="V21" i="34"/>
  <c r="Z21" i="34"/>
  <c r="AD21" i="34"/>
  <c r="X22" i="34"/>
  <c r="AB22" i="34"/>
  <c r="V23" i="34"/>
  <c r="Z23" i="34"/>
  <c r="AD23" i="34"/>
  <c r="T17" i="34"/>
  <c r="T21" i="34"/>
  <c r="W13" i="34"/>
  <c r="AC14" i="34"/>
  <c r="AA15" i="34"/>
  <c r="Y16" i="34"/>
  <c r="W17" i="34"/>
  <c r="U18" i="34"/>
  <c r="W19" i="34"/>
  <c r="U20" i="34"/>
  <c r="W21" i="34"/>
  <c r="Y22" i="34"/>
  <c r="W23" i="34"/>
  <c r="T18" i="34"/>
  <c r="AI15" i="33"/>
  <c r="AL15" i="33"/>
  <c r="AI20" i="33"/>
  <c r="AL20" i="33"/>
  <c r="AK19" i="33"/>
  <c r="AH19" i="33"/>
  <c r="AK18" i="33"/>
  <c r="AH18" i="33"/>
  <c r="AH20" i="33"/>
  <c r="AK20" i="33"/>
  <c r="AI18" i="33"/>
  <c r="AL18" i="33"/>
  <c r="Y302" i="3"/>
  <c r="Y303" i="3"/>
  <c r="V60" i="3"/>
  <c r="Y306" i="3"/>
  <c r="Y300" i="3"/>
  <c r="V151" i="3"/>
  <c r="Y304" i="3"/>
  <c r="Y305" i="3"/>
  <c r="Y301" i="3"/>
  <c r="Y68" i="6"/>
  <c r="Z26" i="8"/>
  <c r="Z25" i="8" s="1"/>
  <c r="Y80" i="6"/>
  <c r="Y164" i="6" s="1"/>
  <c r="Z37" i="8"/>
  <c r="Z36" i="8" s="1"/>
  <c r="BG25" i="21"/>
  <c r="AT20" i="21" s="1"/>
  <c r="T93" i="6" s="1"/>
  <c r="T177" i="6" s="1"/>
  <c r="X589" i="6" s="1"/>
  <c r="BJ25" i="21"/>
  <c r="X80" i="6"/>
  <c r="X164" i="6" s="1"/>
  <c r="Y37" i="8"/>
  <c r="Y36" i="8" s="1"/>
  <c r="X68" i="6"/>
  <c r="Y26" i="8"/>
  <c r="Y25" i="8" s="1"/>
  <c r="X284" i="3"/>
  <c r="X281" i="3"/>
  <c r="X279" i="3"/>
  <c r="X285" i="3"/>
  <c r="X283" i="3"/>
  <c r="X280" i="3"/>
  <c r="X282" i="3"/>
  <c r="BJ23" i="34"/>
  <c r="BF22" i="34"/>
  <c r="BF21" i="34"/>
  <c r="BJ21" i="34"/>
  <c r="W48" i="8"/>
  <c r="W47" i="8" s="1"/>
  <c r="Y574" i="6"/>
  <c r="Y570" i="6"/>
  <c r="Y572" i="6"/>
  <c r="U92" i="6"/>
  <c r="Y573" i="6"/>
  <c r="U176" i="6"/>
  <c r="T92" i="6"/>
  <c r="CF22" i="23"/>
  <c r="Z14" i="6"/>
  <c r="Y571" i="6"/>
  <c r="Y569" i="6"/>
  <c r="V70" i="3"/>
  <c r="V160" i="3" s="1"/>
  <c r="V250" i="3" s="1"/>
  <c r="AV251" i="3"/>
  <c r="R62" i="8"/>
  <c r="R61" i="8" s="1"/>
  <c r="AW251" i="3"/>
  <c r="S62" i="8"/>
  <c r="S61" i="8" s="1"/>
  <c r="R85" i="3"/>
  <c r="V161" i="3"/>
  <c r="V251" i="3" s="1"/>
  <c r="CD22" i="23"/>
  <c r="CC22" i="23"/>
  <c r="U70" i="3"/>
  <c r="U160" i="3" s="1"/>
  <c r="U250" i="3" s="1"/>
  <c r="T176" i="6"/>
  <c r="X593" i="6"/>
  <c r="X590" i="6"/>
  <c r="X595" i="6"/>
  <c r="X591" i="6"/>
  <c r="X594" i="6"/>
  <c r="U161" i="3"/>
  <c r="U251" i="3" s="1"/>
  <c r="U151" i="3"/>
  <c r="U60" i="3"/>
  <c r="U150" i="3" s="1"/>
  <c r="I179" i="3"/>
  <c r="I269" i="3" s="1"/>
  <c r="V150" i="3"/>
  <c r="X592" i="6" l="1"/>
  <c r="Q85" i="3"/>
  <c r="AK26" i="33"/>
  <c r="AK28" i="33" s="1"/>
  <c r="AV61" i="3" s="1"/>
  <c r="AL26" i="33"/>
  <c r="AL28" i="33" s="1"/>
  <c r="AV71" i="3" s="1"/>
  <c r="AI26" i="33"/>
  <c r="AI28" i="33" s="1"/>
  <c r="BA80" i="6" s="1"/>
  <c r="AH26" i="33"/>
  <c r="AH28" i="33" s="1"/>
  <c r="BA68" i="6" s="1"/>
  <c r="AK18" i="34"/>
  <c r="AH18" i="34"/>
  <c r="AH20" i="34"/>
  <c r="AK20" i="34"/>
  <c r="AI18" i="34"/>
  <c r="AL18" i="34"/>
  <c r="AI19" i="34"/>
  <c r="AL19" i="34"/>
  <c r="AH19" i="34"/>
  <c r="AK19" i="34"/>
  <c r="AH15" i="34"/>
  <c r="AK15" i="34"/>
  <c r="AI17" i="34"/>
  <c r="AL17" i="34"/>
  <c r="AI20" i="34"/>
  <c r="AL20" i="34"/>
  <c r="AI16" i="34"/>
  <c r="AL16" i="34"/>
  <c r="AH17" i="34"/>
  <c r="AK17" i="34"/>
  <c r="AK16" i="34"/>
  <c r="AH16" i="34"/>
  <c r="AL15" i="34"/>
  <c r="AI15" i="34"/>
  <c r="AL29" i="33"/>
  <c r="AR85" i="3" s="1"/>
  <c r="AZ37" i="8"/>
  <c r="AZ36" i="8" s="1"/>
  <c r="M9" i="34"/>
  <c r="BA164" i="6"/>
  <c r="CA164" i="6"/>
  <c r="Y591" i="6"/>
  <c r="Y592" i="6"/>
  <c r="Y586" i="6"/>
  <c r="Y594" i="6"/>
  <c r="Y584" i="6"/>
  <c r="Y580" i="6"/>
  <c r="Y595" i="6"/>
  <c r="Y590" i="6"/>
  <c r="Y581" i="6"/>
  <c r="Y582" i="6"/>
  <c r="Y153" i="6"/>
  <c r="Y152" i="6" s="1"/>
  <c r="Y593" i="6"/>
  <c r="Y589" i="6"/>
  <c r="Y585" i="6"/>
  <c r="Y583" i="6"/>
  <c r="Y79" i="6"/>
  <c r="CC24" i="23"/>
  <c r="BT24" i="23" s="1"/>
  <c r="W16" i="3" s="1"/>
  <c r="CD24" i="23"/>
  <c r="CF24" i="23"/>
  <c r="BT22" i="23" s="1"/>
  <c r="V48" i="8"/>
  <c r="V47" i="8" s="1"/>
  <c r="X573" i="6"/>
  <c r="X574" i="6"/>
  <c r="X562" i="6"/>
  <c r="X565" i="6"/>
  <c r="X569" i="6"/>
  <c r="X570" i="6"/>
  <c r="X560" i="6"/>
  <c r="X79" i="6"/>
  <c r="X572" i="6"/>
  <c r="X559" i="6"/>
  <c r="X561" i="6"/>
  <c r="X153" i="6"/>
  <c r="X152" i="6" s="1"/>
  <c r="X568" i="6"/>
  <c r="X571" i="6"/>
  <c r="X563" i="6"/>
  <c r="X564" i="6"/>
  <c r="X67" i="6"/>
  <c r="Y41" i="6"/>
  <c r="V581" i="6"/>
  <c r="V585" i="6"/>
  <c r="V582" i="6"/>
  <c r="V586" i="6"/>
  <c r="V583" i="6"/>
  <c r="V580" i="6"/>
  <c r="V584" i="6"/>
  <c r="AV60" i="3"/>
  <c r="AV150" i="3" s="1"/>
  <c r="AY285" i="3"/>
  <c r="AY282" i="3"/>
  <c r="AY283" i="3"/>
  <c r="AY280" i="3"/>
  <c r="AY279" i="3"/>
  <c r="AY281" i="3"/>
  <c r="AY284" i="3"/>
  <c r="CF16" i="21"/>
  <c r="CF19" i="21"/>
  <c r="CD19" i="21"/>
  <c r="BF22" i="33"/>
  <c r="CF18" i="21"/>
  <c r="CD18" i="21"/>
  <c r="CF17" i="21"/>
  <c r="CF19" i="4"/>
  <c r="CH19" i="4"/>
  <c r="BF21" i="32"/>
  <c r="CH17" i="4"/>
  <c r="CH16" i="4"/>
  <c r="CH18" i="4"/>
  <c r="CF18" i="4"/>
  <c r="BJ21" i="33"/>
  <c r="BF21" i="33"/>
  <c r="AR84" i="3"/>
  <c r="AR174" i="3" s="1"/>
  <c r="AR264" i="3" s="1"/>
  <c r="CF15" i="21"/>
  <c r="CF12" i="21"/>
  <c r="CF14" i="21"/>
  <c r="BT21" i="21"/>
  <c r="CF13" i="21"/>
  <c r="AV151" i="3"/>
  <c r="AV70" i="3"/>
  <c r="AV160" i="3" s="1"/>
  <c r="AV250" i="3" s="1"/>
  <c r="CC14" i="21"/>
  <c r="Q84" i="3"/>
  <c r="Q174" i="3" s="1"/>
  <c r="Q264" i="3" s="1"/>
  <c r="Q175" i="3"/>
  <c r="Q265" i="3" s="1"/>
  <c r="AR175" i="3"/>
  <c r="AR265" i="3" s="1"/>
  <c r="R84" i="3"/>
  <c r="R174" i="3" s="1"/>
  <c r="R264" i="3" s="1"/>
  <c r="R175" i="3"/>
  <c r="R265" i="3" s="1"/>
  <c r="CD16" i="21"/>
  <c r="CF16" i="4"/>
  <c r="CF17" i="4"/>
  <c r="CD17" i="21"/>
  <c r="CC11" i="21"/>
  <c r="CD14" i="21"/>
  <c r="CC10" i="21"/>
  <c r="CD15" i="21"/>
  <c r="CC12" i="21"/>
  <c r="CC13" i="21"/>
  <c r="Y67" i="6"/>
  <c r="CF36" i="23"/>
  <c r="BT20" i="21"/>
  <c r="AI26" i="34" l="1"/>
  <c r="AI28" i="34" s="1"/>
  <c r="BB80" i="6" s="1"/>
  <c r="CB164" i="6" s="1"/>
  <c r="AL26" i="34"/>
  <c r="AL28" i="34" s="1"/>
  <c r="AW71" i="3" s="1"/>
  <c r="AI29" i="33"/>
  <c r="BA560" i="6"/>
  <c r="BA563" i="6"/>
  <c r="CA153" i="6"/>
  <c r="CA152" i="6" s="1"/>
  <c r="BA153" i="6"/>
  <c r="BA562" i="6"/>
  <c r="BA79" i="6"/>
  <c r="BA582" i="6" s="1"/>
  <c r="BA561" i="6"/>
  <c r="BA564" i="6"/>
  <c r="BA565" i="6"/>
  <c r="BA559" i="6"/>
  <c r="BA67" i="6"/>
  <c r="AZ26" i="8"/>
  <c r="BB164" i="6"/>
  <c r="BA37" i="8"/>
  <c r="BA36" i="8" s="1"/>
  <c r="AK26" i="34"/>
  <c r="AK28" i="34" s="1"/>
  <c r="AH26" i="34"/>
  <c r="AH28" i="34" s="1"/>
  <c r="AU13" i="34"/>
  <c r="AY13" i="34"/>
  <c r="AS14" i="34"/>
  <c r="AW14" i="34"/>
  <c r="BA14" i="34"/>
  <c r="AU15" i="34"/>
  <c r="AY15" i="34"/>
  <c r="AS16" i="34"/>
  <c r="AW16" i="34"/>
  <c r="BA16" i="34"/>
  <c r="AU17" i="34"/>
  <c r="AY17" i="34"/>
  <c r="AS18" i="34"/>
  <c r="AW18" i="34"/>
  <c r="BA18" i="34"/>
  <c r="AU19" i="34"/>
  <c r="AY19" i="34"/>
  <c r="AS20" i="34"/>
  <c r="AW20" i="34"/>
  <c r="BA20" i="34"/>
  <c r="AU21" i="34"/>
  <c r="AY21" i="34"/>
  <c r="AS22" i="34"/>
  <c r="AW22" i="34"/>
  <c r="BA22" i="34"/>
  <c r="AU23" i="34"/>
  <c r="AY23" i="34"/>
  <c r="AR14" i="34"/>
  <c r="AW13" i="34"/>
  <c r="BB13" i="34"/>
  <c r="AX14" i="34"/>
  <c r="AS15" i="34"/>
  <c r="AX15" i="34"/>
  <c r="AT16" i="34"/>
  <c r="AY16" i="34"/>
  <c r="AT17" i="34"/>
  <c r="AZ17" i="34"/>
  <c r="AU18" i="34"/>
  <c r="AZ18" i="34"/>
  <c r="AV19" i="34"/>
  <c r="BA19" i="34"/>
  <c r="AV20" i="34"/>
  <c r="BB20" i="34"/>
  <c r="AW21" i="34"/>
  <c r="BB21" i="34"/>
  <c r="AX22" i="34"/>
  <c r="AS23" i="34"/>
  <c r="AX23" i="34"/>
  <c r="AR15" i="34"/>
  <c r="AR19" i="34"/>
  <c r="AR23" i="34"/>
  <c r="AS13" i="34"/>
  <c r="AX13" i="34"/>
  <c r="AT14" i="34"/>
  <c r="AY14" i="34"/>
  <c r="AT15" i="34"/>
  <c r="AZ15" i="34"/>
  <c r="AU16" i="34"/>
  <c r="AZ16" i="34"/>
  <c r="AV17" i="34"/>
  <c r="BA17" i="34"/>
  <c r="AV18" i="34"/>
  <c r="BB18" i="34"/>
  <c r="AW19" i="34"/>
  <c r="BB19" i="34"/>
  <c r="AX20" i="34"/>
  <c r="AS21" i="34"/>
  <c r="AX21" i="34"/>
  <c r="AT22" i="34"/>
  <c r="AY22" i="34"/>
  <c r="AT23" i="34"/>
  <c r="AZ23" i="34"/>
  <c r="AR16" i="34"/>
  <c r="BI18" i="34" s="1"/>
  <c r="AR20" i="34"/>
  <c r="AR13" i="34"/>
  <c r="AT13" i="34"/>
  <c r="AZ13" i="34"/>
  <c r="AU14" i="34"/>
  <c r="AZ14" i="34"/>
  <c r="AV15" i="34"/>
  <c r="BA15" i="34"/>
  <c r="AV16" i="34"/>
  <c r="BB16" i="34"/>
  <c r="AW17" i="34"/>
  <c r="BB17" i="34"/>
  <c r="AX18" i="34"/>
  <c r="AS19" i="34"/>
  <c r="AX19" i="34"/>
  <c r="AT20" i="34"/>
  <c r="AY20" i="34"/>
  <c r="AT21" i="34"/>
  <c r="AZ21" i="34"/>
  <c r="AU22" i="34"/>
  <c r="AZ22" i="34"/>
  <c r="AV23" i="34"/>
  <c r="BA23" i="34"/>
  <c r="AR17" i="34"/>
  <c r="AR21" i="34"/>
  <c r="BB14" i="34"/>
  <c r="AS17" i="34"/>
  <c r="AT19" i="34"/>
  <c r="AV21" i="34"/>
  <c r="AW23" i="34"/>
  <c r="AV13" i="34"/>
  <c r="AW15" i="34"/>
  <c r="AX17" i="34"/>
  <c r="AZ19" i="34"/>
  <c r="BA21" i="34"/>
  <c r="BB23" i="34"/>
  <c r="BA13" i="34"/>
  <c r="BB15" i="34"/>
  <c r="AT18" i="34"/>
  <c r="AU20" i="34"/>
  <c r="AV22" i="34"/>
  <c r="AR18" i="34"/>
  <c r="AV14" i="34"/>
  <c r="AX16" i="34"/>
  <c r="AY18" i="34"/>
  <c r="AZ20" i="34"/>
  <c r="BB22" i="34"/>
  <c r="AR22" i="34"/>
  <c r="CD25" i="23"/>
  <c r="U135" i="6" s="1"/>
  <c r="V568" i="6" s="1"/>
  <c r="Y559" i="6"/>
  <c r="Y561" i="6"/>
  <c r="Y564" i="6"/>
  <c r="Y563" i="6"/>
  <c r="Y78" i="6"/>
  <c r="Y163" i="6"/>
  <c r="Y162" i="6" s="1"/>
  <c r="Y562" i="6"/>
  <c r="Y560" i="6"/>
  <c r="Y565" i="6"/>
  <c r="Y25" i="6"/>
  <c r="BP20" i="23"/>
  <c r="BT25" i="23"/>
  <c r="W28" i="3" s="1"/>
  <c r="X580" i="6"/>
  <c r="X163" i="6"/>
  <c r="X162" i="6" s="1"/>
  <c r="X584" i="6"/>
  <c r="X583" i="6"/>
  <c r="X585" i="6"/>
  <c r="X586" i="6"/>
  <c r="X581" i="6"/>
  <c r="X582" i="6"/>
  <c r="X78" i="6"/>
  <c r="BA152" i="6"/>
  <c r="BA572" i="6"/>
  <c r="BA570" i="6"/>
  <c r="BA569" i="6"/>
  <c r="BA573" i="6"/>
  <c r="BA574" i="6"/>
  <c r="BA568" i="6"/>
  <c r="BA571" i="6"/>
  <c r="V301" i="3"/>
  <c r="V305" i="3"/>
  <c r="V303" i="3"/>
  <c r="V304" i="3"/>
  <c r="V302" i="3"/>
  <c r="V306" i="3"/>
  <c r="V300" i="3"/>
  <c r="BF22" i="32"/>
  <c r="BJ22" i="33"/>
  <c r="BF23" i="32"/>
  <c r="BF23" i="33"/>
  <c r="BJ23" i="33"/>
  <c r="BA583" i="6"/>
  <c r="BA580" i="6"/>
  <c r="BA581" i="6"/>
  <c r="CF40" i="23"/>
  <c r="CF43" i="23"/>
  <c r="CD43" i="23"/>
  <c r="CF64" i="23"/>
  <c r="BK67" i="23"/>
  <c r="BH67" i="23"/>
  <c r="CF66" i="23"/>
  <c r="CD66" i="23"/>
  <c r="AK66" i="34"/>
  <c r="BK66" i="23"/>
  <c r="BH66" i="23"/>
  <c r="BJ43" i="34"/>
  <c r="CD42" i="23"/>
  <c r="CF42" i="23"/>
  <c r="CF65" i="23"/>
  <c r="BK43" i="23"/>
  <c r="BH43" i="23"/>
  <c r="CF41" i="23"/>
  <c r="CF67" i="23"/>
  <c r="CD67" i="23"/>
  <c r="AK43" i="34"/>
  <c r="BK42" i="23"/>
  <c r="BH42" i="23"/>
  <c r="U50" i="6"/>
  <c r="V559" i="6" s="1"/>
  <c r="CF37" i="23"/>
  <c r="CF61" i="23"/>
  <c r="CF39" i="23"/>
  <c r="CF38" i="23"/>
  <c r="CF63" i="23"/>
  <c r="BT69" i="23"/>
  <c r="CF60" i="23"/>
  <c r="CF22" i="21"/>
  <c r="BT45" i="23"/>
  <c r="CF62" i="23"/>
  <c r="Y111" i="6"/>
  <c r="Y293" i="6" s="1"/>
  <c r="Y477" i="6" s="1"/>
  <c r="V574" i="6"/>
  <c r="R43" i="3"/>
  <c r="CC62" i="23"/>
  <c r="BJ38" i="23"/>
  <c r="BJ62" i="23"/>
  <c r="CC38" i="23"/>
  <c r="CC36" i="23"/>
  <c r="W15" i="3"/>
  <c r="CD40" i="23"/>
  <c r="CD39" i="23"/>
  <c r="CD38" i="23"/>
  <c r="CD64" i="23"/>
  <c r="CC35" i="23"/>
  <c r="CC34" i="23"/>
  <c r="CC59" i="23"/>
  <c r="CD65" i="23"/>
  <c r="CD63" i="23"/>
  <c r="CC58" i="23"/>
  <c r="CC60" i="23"/>
  <c r="CC37" i="23"/>
  <c r="CD62" i="23"/>
  <c r="CD41" i="23"/>
  <c r="CC61" i="23"/>
  <c r="BJ66" i="34"/>
  <c r="BG60" i="23"/>
  <c r="BJ60" i="23"/>
  <c r="BG62" i="23"/>
  <c r="BK62" i="23"/>
  <c r="BG58" i="23"/>
  <c r="BJ58" i="23"/>
  <c r="BH39" i="23"/>
  <c r="BK39" i="23"/>
  <c r="BK38" i="23"/>
  <c r="BG38" i="23"/>
  <c r="BG61" i="23"/>
  <c r="BJ61" i="23"/>
  <c r="BJ37" i="23"/>
  <c r="BG37" i="23"/>
  <c r="BJ35" i="23"/>
  <c r="BG35" i="23"/>
  <c r="BJ59" i="23"/>
  <c r="BG59" i="23"/>
  <c r="BH40" i="23"/>
  <c r="BK40" i="23"/>
  <c r="BK63" i="23"/>
  <c r="BH63" i="23"/>
  <c r="BH64" i="23"/>
  <c r="BK64" i="23"/>
  <c r="BH41" i="23"/>
  <c r="BK41" i="23"/>
  <c r="BJ36" i="23"/>
  <c r="BG36" i="23"/>
  <c r="BH65" i="23"/>
  <c r="BK65" i="23"/>
  <c r="BG34" i="23"/>
  <c r="BJ34" i="23"/>
  <c r="W27" i="3"/>
  <c r="Y14" i="6"/>
  <c r="BT68" i="23"/>
  <c r="BT44" i="23"/>
  <c r="AX44" i="23"/>
  <c r="AX68" i="23"/>
  <c r="V573" i="6" l="1"/>
  <c r="V571" i="6"/>
  <c r="U134" i="6"/>
  <c r="BA586" i="6"/>
  <c r="BA585" i="6"/>
  <c r="V569" i="6"/>
  <c r="V570" i="6"/>
  <c r="BA584" i="6"/>
  <c r="BA78" i="6"/>
  <c r="AS62" i="8"/>
  <c r="AS61" i="8" s="1"/>
  <c r="AW93" i="6"/>
  <c r="P14" i="8"/>
  <c r="P13" i="8" s="1"/>
  <c r="Y121" i="6"/>
  <c r="Y303" i="6" s="1"/>
  <c r="Y487" i="6" s="1"/>
  <c r="V572" i="6"/>
  <c r="BA163" i="6"/>
  <c r="BA162" i="6" s="1"/>
  <c r="CA163" i="6"/>
  <c r="CA162" i="6" s="1"/>
  <c r="AW48" i="8"/>
  <c r="AW47" i="8" s="1"/>
  <c r="AZ25" i="8"/>
  <c r="U14" i="9" s="1"/>
  <c r="AI29" i="34"/>
  <c r="BA26" i="8"/>
  <c r="BB68" i="6"/>
  <c r="AW61" i="3"/>
  <c r="AL29" i="34"/>
  <c r="AS85" i="3" s="1"/>
  <c r="BG18" i="34"/>
  <c r="BG16" i="34"/>
  <c r="BG15" i="34"/>
  <c r="BG17" i="34"/>
  <c r="BG19" i="34"/>
  <c r="BI16" i="34"/>
  <c r="BJ16" i="34" s="1"/>
  <c r="BF16" i="34"/>
  <c r="BF20" i="34"/>
  <c r="BJ20" i="34"/>
  <c r="BI15" i="34"/>
  <c r="BJ15" i="34" s="1"/>
  <c r="BF15" i="34"/>
  <c r="BG20" i="34"/>
  <c r="BF19" i="34"/>
  <c r="BJ19" i="34"/>
  <c r="BF18" i="34"/>
  <c r="BJ18" i="34"/>
  <c r="BI17" i="34"/>
  <c r="BJ17" i="34" s="1"/>
  <c r="BF17" i="34"/>
  <c r="CF24" i="21"/>
  <c r="BT22" i="21" s="1"/>
  <c r="U562" i="6"/>
  <c r="U559" i="6"/>
  <c r="U565" i="6"/>
  <c r="U563" i="6"/>
  <c r="U561" i="6"/>
  <c r="U560" i="6"/>
  <c r="U564" i="6"/>
  <c r="BJ67" i="34"/>
  <c r="BF67" i="34"/>
  <c r="AK44" i="34"/>
  <c r="AH44" i="34"/>
  <c r="AH67" i="34"/>
  <c r="AK67" i="34"/>
  <c r="BJ44" i="34"/>
  <c r="BF44" i="34"/>
  <c r="BF43" i="34"/>
  <c r="AH66" i="34"/>
  <c r="AH43" i="34"/>
  <c r="BF66" i="34"/>
  <c r="BJ65" i="34"/>
  <c r="BF65" i="34"/>
  <c r="AH65" i="34"/>
  <c r="AK65" i="34"/>
  <c r="BJ42" i="34"/>
  <c r="BF42" i="34"/>
  <c r="AH42" i="34"/>
  <c r="AK42" i="34"/>
  <c r="R42" i="3"/>
  <c r="V564" i="6"/>
  <c r="V565" i="6"/>
  <c r="V561" i="6"/>
  <c r="V562" i="6"/>
  <c r="V560" i="6"/>
  <c r="V563" i="6"/>
  <c r="CF46" i="23"/>
  <c r="Y110" i="6"/>
  <c r="Y292" i="6" s="1"/>
  <c r="Y476" i="6" s="1"/>
  <c r="Y120" i="6"/>
  <c r="Y302" i="6" s="1"/>
  <c r="Y486" i="6" s="1"/>
  <c r="CF70" i="23"/>
  <c r="Z11" i="6"/>
  <c r="CC46" i="23"/>
  <c r="CD70" i="23"/>
  <c r="CC70" i="23"/>
  <c r="BK46" i="23"/>
  <c r="CD46" i="23"/>
  <c r="BH46" i="23"/>
  <c r="X41" i="6"/>
  <c r="Z8" i="6"/>
  <c r="AW177" i="6" l="1"/>
  <c r="AW92" i="6"/>
  <c r="BW177" i="6"/>
  <c r="BW176" i="6" s="1"/>
  <c r="BB583" i="6"/>
  <c r="BB582" i="6"/>
  <c r="BB585" i="6"/>
  <c r="BB586" i="6"/>
  <c r="BB580" i="6"/>
  <c r="CB153" i="6"/>
  <c r="CB152" i="6" s="1"/>
  <c r="BB79" i="6"/>
  <c r="BB581" i="6"/>
  <c r="BB584" i="6"/>
  <c r="BB153" i="6"/>
  <c r="BB67" i="6"/>
  <c r="BA25" i="8"/>
  <c r="Q14" i="9" s="1"/>
  <c r="AX48" i="8"/>
  <c r="AX47" i="8" s="1"/>
  <c r="AZ303" i="3"/>
  <c r="AW60" i="3"/>
  <c r="AW150" i="3" s="1"/>
  <c r="AZ302" i="3"/>
  <c r="AZ306" i="3"/>
  <c r="AZ305" i="3"/>
  <c r="AW70" i="3"/>
  <c r="AW160" i="3" s="1"/>
  <c r="AW250" i="3" s="1"/>
  <c r="AZ301" i="3"/>
  <c r="AW151" i="3"/>
  <c r="AZ300" i="3"/>
  <c r="AZ304" i="3"/>
  <c r="AS175" i="3"/>
  <c r="AS265" i="3" s="1"/>
  <c r="AS84" i="3"/>
  <c r="AS174" i="3" s="1"/>
  <c r="AS264" i="3" s="1"/>
  <c r="AX93" i="6"/>
  <c r="AT62" i="8"/>
  <c r="AT61" i="8" s="1"/>
  <c r="M53" i="34"/>
  <c r="AV57" i="34" s="1"/>
  <c r="BJ26" i="34"/>
  <c r="BJ28" i="34" s="1"/>
  <c r="BF26" i="34"/>
  <c r="BF28" i="34" s="1"/>
  <c r="AS60" i="34"/>
  <c r="AX67" i="34"/>
  <c r="BI26" i="34"/>
  <c r="BI28" i="34" s="1"/>
  <c r="BC14" i="6" s="1"/>
  <c r="BG26" i="34"/>
  <c r="BG28" i="34" s="1"/>
  <c r="AX28" i="3" s="1"/>
  <c r="M30" i="34"/>
  <c r="BH48" i="23"/>
  <c r="AW46" i="23" s="1"/>
  <c r="BK48" i="23"/>
  <c r="AW49" i="23" s="1"/>
  <c r="V68" i="3" s="1"/>
  <c r="CC72" i="23"/>
  <c r="BT72" i="23" s="1"/>
  <c r="W10" i="3" s="1"/>
  <c r="CF72" i="23"/>
  <c r="BT70" i="23" s="1"/>
  <c r="CD72" i="23"/>
  <c r="BT73" i="23" s="1"/>
  <c r="W22" i="3" s="1"/>
  <c r="CF48" i="23"/>
  <c r="BT46" i="23" s="1"/>
  <c r="CD48" i="23"/>
  <c r="BT49" i="23" s="1"/>
  <c r="W25" i="3" s="1"/>
  <c r="CC48" i="23"/>
  <c r="BT48" i="23" s="1"/>
  <c r="W13" i="3" s="1"/>
  <c r="BP20" i="21"/>
  <c r="X25" i="6"/>
  <c r="J583" i="6"/>
  <c r="J580" i="6"/>
  <c r="J584" i="6"/>
  <c r="J582" i="6"/>
  <c r="J581" i="6"/>
  <c r="J585" i="6"/>
  <c r="J586" i="6"/>
  <c r="Y38" i="6"/>
  <c r="P584" i="6"/>
  <c r="P581" i="6"/>
  <c r="P585" i="6"/>
  <c r="P582" i="6"/>
  <c r="P586" i="6"/>
  <c r="P583" i="6"/>
  <c r="P580" i="6"/>
  <c r="BK37" i="21"/>
  <c r="CD60" i="21"/>
  <c r="BK60" i="21"/>
  <c r="CF40" i="21"/>
  <c r="CF62" i="21"/>
  <c r="CD62" i="21"/>
  <c r="CF42" i="21"/>
  <c r="CD42" i="21"/>
  <c r="BH65" i="21"/>
  <c r="BK65" i="21"/>
  <c r="BH42" i="21"/>
  <c r="BK42" i="21"/>
  <c r="CD63" i="21"/>
  <c r="CF63" i="21"/>
  <c r="BJ43" i="33"/>
  <c r="CF41" i="21"/>
  <c r="CD41" i="21"/>
  <c r="BK63" i="21"/>
  <c r="BH63" i="21"/>
  <c r="BK62" i="21"/>
  <c r="BH62" i="21"/>
  <c r="BF66" i="33"/>
  <c r="CF64" i="21"/>
  <c r="CD64" i="21"/>
  <c r="BH41" i="21"/>
  <c r="BK41" i="21"/>
  <c r="CF39" i="21"/>
  <c r="CD65" i="21"/>
  <c r="CF65" i="21"/>
  <c r="AK66" i="33"/>
  <c r="BK64" i="21"/>
  <c r="BH64" i="21"/>
  <c r="BK40" i="21"/>
  <c r="BH40" i="21"/>
  <c r="BK39" i="21"/>
  <c r="BH39" i="21"/>
  <c r="CF68" i="4"/>
  <c r="CH68" i="4"/>
  <c r="CH44" i="4"/>
  <c r="CF44" i="4"/>
  <c r="BL44" i="4"/>
  <c r="BH44" i="4"/>
  <c r="BF43" i="32"/>
  <c r="CF43" i="4"/>
  <c r="CH43" i="4"/>
  <c r="BL68" i="4"/>
  <c r="BH68" i="4"/>
  <c r="CH65" i="4"/>
  <c r="CH42" i="4"/>
  <c r="CH41" i="4"/>
  <c r="AK66" i="32"/>
  <c r="BL67" i="4"/>
  <c r="BH67" i="4"/>
  <c r="BJ66" i="32"/>
  <c r="CH67" i="4"/>
  <c r="CF67" i="4"/>
  <c r="CH66" i="4"/>
  <c r="AK43" i="32"/>
  <c r="BH43" i="4"/>
  <c r="BL43" i="4"/>
  <c r="AH42" i="32"/>
  <c r="AK42" i="32"/>
  <c r="AH65" i="33"/>
  <c r="AK65" i="33"/>
  <c r="BF42" i="32"/>
  <c r="BJ42" i="32"/>
  <c r="AH65" i="32"/>
  <c r="AK65" i="32"/>
  <c r="BJ65" i="32"/>
  <c r="BF65" i="32"/>
  <c r="BJ42" i="33"/>
  <c r="BF42" i="33"/>
  <c r="BJ65" i="33"/>
  <c r="BF65" i="33"/>
  <c r="S13" i="6"/>
  <c r="CC57" i="21"/>
  <c r="CC60" i="21"/>
  <c r="CF60" i="21"/>
  <c r="CC56" i="21"/>
  <c r="CF61" i="21"/>
  <c r="CD61" i="21"/>
  <c r="CC59" i="21"/>
  <c r="CF59" i="21"/>
  <c r="CC58" i="21"/>
  <c r="CF58" i="21"/>
  <c r="CH62" i="4"/>
  <c r="CH64" i="4"/>
  <c r="CF37" i="21"/>
  <c r="CH12" i="4"/>
  <c r="CH14" i="4"/>
  <c r="CH38" i="4"/>
  <c r="CF38" i="21"/>
  <c r="CF36" i="21"/>
  <c r="CH15" i="4"/>
  <c r="CH37" i="4"/>
  <c r="CH40" i="4"/>
  <c r="CH61" i="4"/>
  <c r="BV46" i="4"/>
  <c r="CF35" i="21"/>
  <c r="CH13" i="4"/>
  <c r="CH39" i="4"/>
  <c r="CH63" i="4"/>
  <c r="BT44" i="21"/>
  <c r="BT67" i="21"/>
  <c r="BV21" i="4"/>
  <c r="BV70" i="4"/>
  <c r="CE14" i="4"/>
  <c r="BK39" i="4"/>
  <c r="BJ56" i="21"/>
  <c r="BG56" i="21"/>
  <c r="BJ60" i="21"/>
  <c r="BG60" i="21"/>
  <c r="BK61" i="21"/>
  <c r="BH61" i="21"/>
  <c r="BG36" i="21"/>
  <c r="BJ36" i="21"/>
  <c r="BG34" i="21"/>
  <c r="BJ34" i="21"/>
  <c r="CE39" i="4"/>
  <c r="CE63" i="4"/>
  <c r="BJ57" i="21"/>
  <c r="BG57" i="21"/>
  <c r="BJ59" i="21"/>
  <c r="BG59" i="21"/>
  <c r="BJ58" i="21"/>
  <c r="BG58" i="21"/>
  <c r="BJ35" i="21"/>
  <c r="BG35" i="21"/>
  <c r="BK63" i="4"/>
  <c r="CC37" i="21"/>
  <c r="BJ37" i="21"/>
  <c r="BG37" i="21"/>
  <c r="BK38" i="21"/>
  <c r="BH38" i="21"/>
  <c r="CE10" i="4"/>
  <c r="CD73" i="23"/>
  <c r="U129" i="6" s="1"/>
  <c r="J568" i="6" s="1"/>
  <c r="CD49" i="23"/>
  <c r="U132" i="6" s="1"/>
  <c r="P568" i="6" s="1"/>
  <c r="BJ70" i="23"/>
  <c r="BH70" i="23"/>
  <c r="BG46" i="23"/>
  <c r="BJ46" i="23"/>
  <c r="BJ48" i="23" s="1"/>
  <c r="CE38" i="4"/>
  <c r="CF40" i="4"/>
  <c r="CE11" i="4"/>
  <c r="CE12" i="4"/>
  <c r="CE13" i="4"/>
  <c r="CF15" i="4"/>
  <c r="CE36" i="4"/>
  <c r="CE61" i="4"/>
  <c r="CE60" i="4"/>
  <c r="CF14" i="4"/>
  <c r="CF63" i="4"/>
  <c r="CF64" i="4"/>
  <c r="CE37" i="4"/>
  <c r="CF39" i="4"/>
  <c r="CE62" i="4"/>
  <c r="CE35" i="4"/>
  <c r="CE59" i="4"/>
  <c r="CF42" i="4"/>
  <c r="CF41" i="4"/>
  <c r="BL66" i="4"/>
  <c r="BH66" i="4"/>
  <c r="BH65" i="4"/>
  <c r="BL65" i="4"/>
  <c r="CF65" i="4"/>
  <c r="BL41" i="4"/>
  <c r="BH41" i="4"/>
  <c r="CD40" i="21"/>
  <c r="CF66" i="4"/>
  <c r="BL42" i="4"/>
  <c r="BH42" i="4"/>
  <c r="CD39" i="21"/>
  <c r="CC36" i="21"/>
  <c r="CC34" i="21"/>
  <c r="CD38" i="21"/>
  <c r="CC35" i="21"/>
  <c r="CD37" i="21"/>
  <c r="CC33" i="21"/>
  <c r="BG33" i="21"/>
  <c r="BJ33" i="21"/>
  <c r="AH43" i="33"/>
  <c r="BG63" i="4"/>
  <c r="BL63" i="4"/>
  <c r="BK61" i="4"/>
  <c r="BG61" i="4"/>
  <c r="BK59" i="4"/>
  <c r="BG59" i="4"/>
  <c r="BG62" i="4"/>
  <c r="BK62" i="4"/>
  <c r="BL64" i="4"/>
  <c r="BH64" i="4"/>
  <c r="BG38" i="4"/>
  <c r="BK38" i="4"/>
  <c r="BK35" i="4"/>
  <c r="BG35" i="4"/>
  <c r="BL40" i="4"/>
  <c r="BH40" i="4"/>
  <c r="BG39" i="4"/>
  <c r="BL39" i="4"/>
  <c r="BK37" i="4"/>
  <c r="BG37" i="4"/>
  <c r="BH22" i="4"/>
  <c r="BH24" i="4" s="1"/>
  <c r="Y35" i="6"/>
  <c r="BT43" i="21"/>
  <c r="AX43" i="21"/>
  <c r="AX66" i="21"/>
  <c r="BT66" i="21"/>
  <c r="BV69" i="4"/>
  <c r="AS66" i="34" l="1"/>
  <c r="AR57" i="34"/>
  <c r="BB67" i="34"/>
  <c r="AU64" i="34"/>
  <c r="AY67" i="34"/>
  <c r="AR66" i="34"/>
  <c r="AT61" i="34"/>
  <c r="AS62" i="34"/>
  <c r="BB66" i="34"/>
  <c r="AR61" i="34"/>
  <c r="AW58" i="34"/>
  <c r="AU62" i="34"/>
  <c r="AR65" i="34"/>
  <c r="AR62" i="34"/>
  <c r="AS58" i="34"/>
  <c r="AX63" i="34"/>
  <c r="AT67" i="34"/>
  <c r="AR59" i="34"/>
  <c r="BI61" i="34" s="1"/>
  <c r="AU61" i="34"/>
  <c r="AU65" i="34"/>
  <c r="AY66" i="34"/>
  <c r="AW67" i="34"/>
  <c r="AX65" i="34"/>
  <c r="AT59" i="34"/>
  <c r="AX66" i="34"/>
  <c r="AY59" i="34"/>
  <c r="AS64" i="34"/>
  <c r="AU59" i="34"/>
  <c r="BA62" i="34"/>
  <c r="AW64" i="34"/>
  <c r="AW66" i="34"/>
  <c r="AT65" i="34"/>
  <c r="AT57" i="34"/>
  <c r="BA593" i="6"/>
  <c r="BA592" i="6"/>
  <c r="BA589" i="6"/>
  <c r="BA590" i="6"/>
  <c r="BA591" i="6"/>
  <c r="BA595" i="6"/>
  <c r="BA594" i="6"/>
  <c r="AW176" i="6"/>
  <c r="AZ62" i="34"/>
  <c r="AZ60" i="34"/>
  <c r="AZ58" i="34"/>
  <c r="BA65" i="34"/>
  <c r="BA63" i="34"/>
  <c r="BA61" i="34"/>
  <c r="AX60" i="34"/>
  <c r="AR63" i="34"/>
  <c r="AY65" i="34"/>
  <c r="AU57" i="34"/>
  <c r="AV67" i="34"/>
  <c r="BA60" i="34"/>
  <c r="AZ67" i="34"/>
  <c r="AW62" i="34"/>
  <c r="AR60" i="34"/>
  <c r="BI62" i="34" s="1"/>
  <c r="BA64" i="34"/>
  <c r="AZ66" i="34"/>
  <c r="AV64" i="34"/>
  <c r="AV62" i="34"/>
  <c r="AV60" i="34"/>
  <c r="BB57" i="34"/>
  <c r="AW65" i="34"/>
  <c r="AW63" i="34"/>
  <c r="AS61" i="34"/>
  <c r="AY57" i="34"/>
  <c r="AR58" i="34"/>
  <c r="AY63" i="34"/>
  <c r="AR67" i="34"/>
  <c r="BA66" i="34"/>
  <c r="BA58" i="34"/>
  <c r="AU67" i="34"/>
  <c r="AW60" i="34"/>
  <c r="BA67" i="34"/>
  <c r="AU63" i="34"/>
  <c r="BB65" i="34"/>
  <c r="BB63" i="34"/>
  <c r="BB61" i="34"/>
  <c r="AX59" i="34"/>
  <c r="AX57" i="34"/>
  <c r="AS65" i="34"/>
  <c r="AY62" i="34"/>
  <c r="AY58" i="34"/>
  <c r="AU60" i="34"/>
  <c r="AU58" i="34"/>
  <c r="AT66" i="34"/>
  <c r="AT58" i="34"/>
  <c r="BB565" i="6"/>
  <c r="BB563" i="6"/>
  <c r="BB78" i="6"/>
  <c r="BB562" i="6"/>
  <c r="BB560" i="6"/>
  <c r="BB559" i="6"/>
  <c r="CB163" i="6"/>
  <c r="CB162" i="6" s="1"/>
  <c r="BB561" i="6"/>
  <c r="BB564" i="6"/>
  <c r="BB163" i="6"/>
  <c r="BB162" i="6" s="1"/>
  <c r="BA59" i="34"/>
  <c r="BA57" i="34"/>
  <c r="AV65" i="34"/>
  <c r="AX177" i="6"/>
  <c r="AX92" i="6"/>
  <c r="BX177" i="6"/>
  <c r="BX176" i="6" s="1"/>
  <c r="BB593" i="6"/>
  <c r="BB590" i="6"/>
  <c r="BB152" i="6"/>
  <c r="BB589" i="6"/>
  <c r="BB592" i="6"/>
  <c r="BB595" i="6"/>
  <c r="BB594" i="6"/>
  <c r="BB591" i="6"/>
  <c r="AR64" i="34"/>
  <c r="AS67" i="34"/>
  <c r="AY61" i="34"/>
  <c r="AV66" i="34"/>
  <c r="AZ64" i="34"/>
  <c r="AT63" i="34"/>
  <c r="AX61" i="34"/>
  <c r="BB59" i="34"/>
  <c r="AV58" i="34"/>
  <c r="AU66" i="34"/>
  <c r="AY64" i="34"/>
  <c r="AS63" i="34"/>
  <c r="AW61" i="34"/>
  <c r="BG63" i="34" s="1"/>
  <c r="AW59" i="34"/>
  <c r="AS57" i="34"/>
  <c r="BI59" i="34" s="1"/>
  <c r="AX64" i="34"/>
  <c r="AZ63" i="34"/>
  <c r="AT62" i="34"/>
  <c r="BB64" i="34"/>
  <c r="AV63" i="34"/>
  <c r="AZ61" i="34"/>
  <c r="AZ59" i="34"/>
  <c r="AZ57" i="34"/>
  <c r="BB62" i="34"/>
  <c r="AV61" i="34"/>
  <c r="BF63" i="34" s="1"/>
  <c r="AV59" i="34"/>
  <c r="AY60" i="34"/>
  <c r="AS59" i="34"/>
  <c r="AW57" i="34"/>
  <c r="AZ65" i="34"/>
  <c r="AT64" i="34"/>
  <c r="AX62" i="34"/>
  <c r="BB60" i="34"/>
  <c r="BB58" i="34"/>
  <c r="AT60" i="34"/>
  <c r="AX58" i="34"/>
  <c r="AY585" i="6"/>
  <c r="BB41" i="6"/>
  <c r="AY582" i="6"/>
  <c r="AY583" i="6"/>
  <c r="BC13" i="6"/>
  <c r="AY586" i="6"/>
  <c r="AJ588" i="6" s="1"/>
  <c r="G588" i="6" s="1"/>
  <c r="AY580" i="6"/>
  <c r="AY581" i="6"/>
  <c r="AJ583" i="6" s="1"/>
  <c r="G583" i="6" s="1"/>
  <c r="AY584" i="6"/>
  <c r="AJ586" i="6" s="1"/>
  <c r="G586" i="6" s="1"/>
  <c r="BG64" i="34"/>
  <c r="AV34" i="34"/>
  <c r="AZ34" i="34"/>
  <c r="AT35" i="34"/>
  <c r="AX35" i="34"/>
  <c r="BB35" i="34"/>
  <c r="AV36" i="34"/>
  <c r="AZ36" i="34"/>
  <c r="AT37" i="34"/>
  <c r="AX37" i="34"/>
  <c r="BB37" i="34"/>
  <c r="AV38" i="34"/>
  <c r="AZ38" i="34"/>
  <c r="AT39" i="34"/>
  <c r="AX39" i="34"/>
  <c r="BB39" i="34"/>
  <c r="AV40" i="34"/>
  <c r="AZ40" i="34"/>
  <c r="AT41" i="34"/>
  <c r="AX41" i="34"/>
  <c r="BB41" i="34"/>
  <c r="AV42" i="34"/>
  <c r="AZ42" i="34"/>
  <c r="AT43" i="34"/>
  <c r="AX43" i="34"/>
  <c r="BB43" i="34"/>
  <c r="AV44" i="34"/>
  <c r="AZ44" i="34"/>
  <c r="AR36" i="34"/>
  <c r="AR40" i="34"/>
  <c r="AR44" i="34"/>
  <c r="AU34" i="34"/>
  <c r="BA34" i="34"/>
  <c r="AV35" i="34"/>
  <c r="BA35" i="34"/>
  <c r="AW36" i="34"/>
  <c r="BB36" i="34"/>
  <c r="AW37" i="34"/>
  <c r="AS38" i="34"/>
  <c r="AX38" i="34"/>
  <c r="AS39" i="34"/>
  <c r="AY39" i="34"/>
  <c r="AT40" i="34"/>
  <c r="AY40" i="34"/>
  <c r="AU41" i="34"/>
  <c r="AZ41" i="34"/>
  <c r="AU42" i="34"/>
  <c r="BA42" i="34"/>
  <c r="AV43" i="34"/>
  <c r="BA43" i="34"/>
  <c r="AW44" i="34"/>
  <c r="BB44" i="34"/>
  <c r="AR39" i="34"/>
  <c r="AR34" i="34"/>
  <c r="AW34" i="34"/>
  <c r="BB34" i="34"/>
  <c r="AW35" i="34"/>
  <c r="AS36" i="34"/>
  <c r="AX36" i="34"/>
  <c r="AS37" i="34"/>
  <c r="AY37" i="34"/>
  <c r="AT38" i="34"/>
  <c r="AY38" i="34"/>
  <c r="AU39" i="34"/>
  <c r="AZ39" i="34"/>
  <c r="AU40" i="34"/>
  <c r="BA40" i="34"/>
  <c r="AV41" i="34"/>
  <c r="BA41" i="34"/>
  <c r="AW42" i="34"/>
  <c r="BB42" i="34"/>
  <c r="AW43" i="34"/>
  <c r="AS44" i="34"/>
  <c r="AX44" i="34"/>
  <c r="AR35" i="34"/>
  <c r="AR41" i="34"/>
  <c r="AS34" i="34"/>
  <c r="AX34" i="34"/>
  <c r="AS35" i="34"/>
  <c r="AY35" i="34"/>
  <c r="AT36" i="34"/>
  <c r="AY36" i="34"/>
  <c r="AU37" i="34"/>
  <c r="AZ37" i="34"/>
  <c r="AU38" i="34"/>
  <c r="BA38" i="34"/>
  <c r="AV39" i="34"/>
  <c r="BA39" i="34"/>
  <c r="AW40" i="34"/>
  <c r="BB40" i="34"/>
  <c r="AW41" i="34"/>
  <c r="AS42" i="34"/>
  <c r="AX42" i="34"/>
  <c r="AS43" i="34"/>
  <c r="AY43" i="34"/>
  <c r="AT44" i="34"/>
  <c r="AY44" i="34"/>
  <c r="AR37" i="34"/>
  <c r="BI39" i="34" s="1"/>
  <c r="AR42" i="34"/>
  <c r="AU35" i="34"/>
  <c r="AV37" i="34"/>
  <c r="AW39" i="34"/>
  <c r="AY41" i="34"/>
  <c r="AZ43" i="34"/>
  <c r="AR43" i="34"/>
  <c r="AZ35" i="34"/>
  <c r="BA37" i="34"/>
  <c r="AS40" i="34"/>
  <c r="AT42" i="34"/>
  <c r="AU44" i="34"/>
  <c r="AT34" i="34"/>
  <c r="AU36" i="34"/>
  <c r="AW38" i="34"/>
  <c r="AX40" i="34"/>
  <c r="AY42" i="34"/>
  <c r="BA44" i="34"/>
  <c r="AY34" i="34"/>
  <c r="BA36" i="34"/>
  <c r="BB38" i="34"/>
  <c r="AS41" i="34"/>
  <c r="AU43" i="34"/>
  <c r="AR38" i="34"/>
  <c r="AX16" i="3"/>
  <c r="BG29" i="34"/>
  <c r="BI60" i="34"/>
  <c r="BJ29" i="34"/>
  <c r="AX50" i="6" s="1"/>
  <c r="BB25" i="6"/>
  <c r="BB24" i="6" s="1"/>
  <c r="Y77" i="6"/>
  <c r="Y161" i="6" s="1"/>
  <c r="Z34" i="8"/>
  <c r="Z33" i="8" s="1"/>
  <c r="BH72" i="23"/>
  <c r="AW70" i="23" s="1"/>
  <c r="BJ72" i="23"/>
  <c r="AW72" i="23" s="1"/>
  <c r="V55" i="3" s="1"/>
  <c r="BG48" i="23"/>
  <c r="AW45" i="23" s="1"/>
  <c r="H30" i="34"/>
  <c r="BP68" i="23"/>
  <c r="Y19" i="6"/>
  <c r="J305" i="3"/>
  <c r="J306" i="3"/>
  <c r="J304" i="3"/>
  <c r="J301" i="3"/>
  <c r="J302" i="3"/>
  <c r="W9" i="3"/>
  <c r="J303" i="3"/>
  <c r="J300" i="3"/>
  <c r="P306" i="3"/>
  <c r="P300" i="3"/>
  <c r="P304" i="3"/>
  <c r="P305" i="3"/>
  <c r="W24" i="3"/>
  <c r="P301" i="3"/>
  <c r="P302" i="3"/>
  <c r="P303" i="3"/>
  <c r="W12" i="3"/>
  <c r="R15" i="3"/>
  <c r="BP44" i="23"/>
  <c r="Y22" i="6"/>
  <c r="S20" i="6" s="1"/>
  <c r="AX22" i="4"/>
  <c r="AH67" i="32"/>
  <c r="AK67" i="32"/>
  <c r="BJ67" i="32"/>
  <c r="BF67" i="32"/>
  <c r="AH66" i="33"/>
  <c r="AH43" i="32"/>
  <c r="AH66" i="32"/>
  <c r="BJ43" i="32"/>
  <c r="AH44" i="33"/>
  <c r="AK44" i="33"/>
  <c r="BF44" i="32"/>
  <c r="BJ44" i="32"/>
  <c r="BF44" i="33"/>
  <c r="BJ44" i="33"/>
  <c r="AH44" i="32"/>
  <c r="AK44" i="32"/>
  <c r="BJ67" i="33"/>
  <c r="BF67" i="33"/>
  <c r="AH67" i="33"/>
  <c r="AK67" i="33"/>
  <c r="BF43" i="33"/>
  <c r="BF66" i="32"/>
  <c r="BJ66" i="33"/>
  <c r="AK43" i="33"/>
  <c r="AH42" i="33"/>
  <c r="AK42" i="33"/>
  <c r="CF45" i="21"/>
  <c r="U47" i="6"/>
  <c r="U44" i="6"/>
  <c r="CH71" i="4"/>
  <c r="CH47" i="4"/>
  <c r="CF68" i="21"/>
  <c r="CH22" i="4"/>
  <c r="CH24" i="4" s="1"/>
  <c r="Y11" i="6"/>
  <c r="R40" i="3"/>
  <c r="P11" i="8"/>
  <c r="P10" i="8" s="1"/>
  <c r="R37" i="3"/>
  <c r="P8" i="8"/>
  <c r="BH71" i="4"/>
  <c r="CE47" i="4"/>
  <c r="CE71" i="4"/>
  <c r="BH47" i="4"/>
  <c r="BH45" i="21"/>
  <c r="CE22" i="4"/>
  <c r="BJ49" i="23"/>
  <c r="AW48" i="23"/>
  <c r="CF22" i="4"/>
  <c r="CF24" i="4" s="1"/>
  <c r="BG49" i="23"/>
  <c r="AT44" i="23" s="1"/>
  <c r="U90" i="6" s="1"/>
  <c r="U174" i="6" s="1"/>
  <c r="S568" i="6" s="1"/>
  <c r="BG70" i="23"/>
  <c r="BK70" i="23"/>
  <c r="BK72" i="23" s="1"/>
  <c r="BH68" i="21"/>
  <c r="CF47" i="4"/>
  <c r="CF49" i="4" s="1"/>
  <c r="CF71" i="4"/>
  <c r="CF73" i="4" s="1"/>
  <c r="BK45" i="21"/>
  <c r="BK68" i="21"/>
  <c r="BJ68" i="21"/>
  <c r="BG68" i="21"/>
  <c r="BG70" i="21" s="1"/>
  <c r="BJ45" i="21"/>
  <c r="BG45" i="21"/>
  <c r="BG47" i="21" s="1"/>
  <c r="BL71" i="4"/>
  <c r="BG60" i="4"/>
  <c r="BG71" i="4" s="1"/>
  <c r="BG73" i="4" s="1"/>
  <c r="BK60" i="4"/>
  <c r="BK71" i="4" s="1"/>
  <c r="AX45" i="4"/>
  <c r="BK36" i="4"/>
  <c r="BK47" i="4" s="1"/>
  <c r="BG36" i="4"/>
  <c r="BG47" i="4" s="1"/>
  <c r="BG49" i="4" s="1"/>
  <c r="BL47" i="4"/>
  <c r="BV45" i="4"/>
  <c r="W21" i="3"/>
  <c r="T61" i="3"/>
  <c r="T60" i="3" s="1"/>
  <c r="BG22" i="4"/>
  <c r="H9" i="32" s="1"/>
  <c r="T71" i="3"/>
  <c r="Y105" i="6"/>
  <c r="Y104" i="6" s="1"/>
  <c r="Y286" i="6" s="1"/>
  <c r="Y470" i="6" s="1"/>
  <c r="J574" i="6"/>
  <c r="J570" i="6"/>
  <c r="J573" i="6"/>
  <c r="J572" i="6"/>
  <c r="J571" i="6"/>
  <c r="J569" i="6"/>
  <c r="Y108" i="6"/>
  <c r="Y107" i="6" s="1"/>
  <c r="Y289" i="6" s="1"/>
  <c r="Y473" i="6" s="1"/>
  <c r="P573" i="6"/>
  <c r="P569" i="6"/>
  <c r="P574" i="6"/>
  <c r="P570" i="6"/>
  <c r="P571" i="6"/>
  <c r="P572" i="6"/>
  <c r="Y8" i="6"/>
  <c r="X8" i="6"/>
  <c r="X14" i="6"/>
  <c r="X11" i="6"/>
  <c r="Y118" i="6"/>
  <c r="Y300" i="6" s="1"/>
  <c r="Y484" i="6" s="1"/>
  <c r="U131" i="6"/>
  <c r="U128" i="6"/>
  <c r="O130" i="6"/>
  <c r="Y115" i="6"/>
  <c r="AX69" i="4"/>
  <c r="BF64" i="34" l="1"/>
  <c r="BG62" i="34"/>
  <c r="BG59" i="34"/>
  <c r="BJ60" i="34"/>
  <c r="BG60" i="34"/>
  <c r="BF61" i="34"/>
  <c r="BG61" i="34"/>
  <c r="BF60" i="34"/>
  <c r="BF59" i="34"/>
  <c r="BJ63" i="34"/>
  <c r="BF62" i="34"/>
  <c r="AJ585" i="6"/>
  <c r="G585" i="6" s="1"/>
  <c r="BJ62" i="34"/>
  <c r="AJ582" i="6"/>
  <c r="G582" i="6" s="1"/>
  <c r="AJ584" i="6"/>
  <c r="G584" i="6" s="1"/>
  <c r="BJ64" i="34"/>
  <c r="BB571" i="6"/>
  <c r="BB574" i="6"/>
  <c r="BB569" i="6"/>
  <c r="BB570" i="6"/>
  <c r="AX176" i="6"/>
  <c r="BB573" i="6"/>
  <c r="BB572" i="6"/>
  <c r="BB568" i="6"/>
  <c r="AJ587" i="6"/>
  <c r="G587" i="6" s="1"/>
  <c r="BJ61" i="34"/>
  <c r="W34" i="34"/>
  <c r="AA34" i="34"/>
  <c r="U35" i="34"/>
  <c r="Y35" i="34"/>
  <c r="AC35" i="34"/>
  <c r="W36" i="34"/>
  <c r="AA36" i="34"/>
  <c r="U37" i="34"/>
  <c r="Y37" i="34"/>
  <c r="AC37" i="34"/>
  <c r="W38" i="34"/>
  <c r="AA38" i="34"/>
  <c r="U39" i="34"/>
  <c r="Y39" i="34"/>
  <c r="AC39" i="34"/>
  <c r="W40" i="34"/>
  <c r="AA40" i="34"/>
  <c r="U41" i="34"/>
  <c r="Y41" i="34"/>
  <c r="AC41" i="34"/>
  <c r="W42" i="34"/>
  <c r="AA42" i="34"/>
  <c r="U43" i="34"/>
  <c r="Y43" i="34"/>
  <c r="AC43" i="34"/>
  <c r="W44" i="34"/>
  <c r="AA44" i="34"/>
  <c r="T35" i="34"/>
  <c r="T39" i="34"/>
  <c r="T43" i="34"/>
  <c r="AD34" i="34"/>
  <c r="AB35" i="34"/>
  <c r="AD36" i="34"/>
  <c r="V38" i="34"/>
  <c r="X39" i="34"/>
  <c r="Z40" i="34"/>
  <c r="AB41" i="34"/>
  <c r="AD42" i="34"/>
  <c r="V44" i="34"/>
  <c r="T38" i="34"/>
  <c r="X34" i="34"/>
  <c r="AB34" i="34"/>
  <c r="V35" i="34"/>
  <c r="Z35" i="34"/>
  <c r="AD35" i="34"/>
  <c r="X36" i="34"/>
  <c r="AB36" i="34"/>
  <c r="V37" i="34"/>
  <c r="Z37" i="34"/>
  <c r="AD37" i="34"/>
  <c r="X38" i="34"/>
  <c r="AB38" i="34"/>
  <c r="V39" i="34"/>
  <c r="Z39" i="34"/>
  <c r="AD39" i="34"/>
  <c r="X40" i="34"/>
  <c r="AB40" i="34"/>
  <c r="V41" i="34"/>
  <c r="Z41" i="34"/>
  <c r="AD41" i="34"/>
  <c r="X42" i="34"/>
  <c r="AB42" i="34"/>
  <c r="V43" i="34"/>
  <c r="Z43" i="34"/>
  <c r="AD43" i="34"/>
  <c r="X44" i="34"/>
  <c r="AB44" i="34"/>
  <c r="T36" i="34"/>
  <c r="T40" i="34"/>
  <c r="T44" i="34"/>
  <c r="Z34" i="34"/>
  <c r="Z36" i="34"/>
  <c r="AB37" i="34"/>
  <c r="AB39" i="34"/>
  <c r="AD40" i="34"/>
  <c r="V42" i="34"/>
  <c r="AB43" i="34"/>
  <c r="AD44" i="34"/>
  <c r="U34" i="34"/>
  <c r="Y34" i="34"/>
  <c r="AC34" i="34"/>
  <c r="W35" i="34"/>
  <c r="AA35" i="34"/>
  <c r="U36" i="34"/>
  <c r="Y36" i="34"/>
  <c r="AC36" i="34"/>
  <c r="W37" i="34"/>
  <c r="AA37" i="34"/>
  <c r="U38" i="34"/>
  <c r="Y38" i="34"/>
  <c r="AC38" i="34"/>
  <c r="W39" i="34"/>
  <c r="AA39" i="34"/>
  <c r="U40" i="34"/>
  <c r="Y40" i="34"/>
  <c r="AC40" i="34"/>
  <c r="W41" i="34"/>
  <c r="AA41" i="34"/>
  <c r="U42" i="34"/>
  <c r="Y42" i="34"/>
  <c r="AC42" i="34"/>
  <c r="W43" i="34"/>
  <c r="AA43" i="34"/>
  <c r="U44" i="34"/>
  <c r="Y44" i="34"/>
  <c r="AC44" i="34"/>
  <c r="T37" i="34"/>
  <c r="T41" i="34"/>
  <c r="T34" i="34"/>
  <c r="V34" i="34"/>
  <c r="X35" i="34"/>
  <c r="V36" i="34"/>
  <c r="X37" i="34"/>
  <c r="Z38" i="34"/>
  <c r="AD38" i="34"/>
  <c r="V40" i="34"/>
  <c r="X41" i="34"/>
  <c r="Z42" i="34"/>
  <c r="X43" i="34"/>
  <c r="Z44" i="34"/>
  <c r="T42" i="34"/>
  <c r="H30" i="33"/>
  <c r="H53" i="33"/>
  <c r="M305" i="3"/>
  <c r="V54" i="3"/>
  <c r="M303" i="3"/>
  <c r="M306" i="3"/>
  <c r="BG41" i="34"/>
  <c r="J559" i="6"/>
  <c r="M300" i="3"/>
  <c r="BJ40" i="34"/>
  <c r="BF40" i="34"/>
  <c r="BF39" i="34"/>
  <c r="BJ39" i="34"/>
  <c r="BI36" i="34"/>
  <c r="BJ36" i="34" s="1"/>
  <c r="BF36" i="34"/>
  <c r="BG37" i="34"/>
  <c r="BG36" i="34"/>
  <c r="BF70" i="34"/>
  <c r="BF72" i="34" s="1"/>
  <c r="AX10" i="3" s="1"/>
  <c r="AK302" i="3" s="1"/>
  <c r="AQ14" i="8"/>
  <c r="AQ13" i="8" s="1"/>
  <c r="U8" i="9" s="1"/>
  <c r="AS43" i="3"/>
  <c r="AS42" i="3" s="1"/>
  <c r="BG39" i="34"/>
  <c r="BF41" i="34"/>
  <c r="BJ41" i="34"/>
  <c r="BI38" i="34"/>
  <c r="BJ38" i="34" s="1"/>
  <c r="BF38" i="34"/>
  <c r="BG70" i="34"/>
  <c r="BG72" i="34" s="1"/>
  <c r="AX22" i="3" s="1"/>
  <c r="AX21" i="3" s="1"/>
  <c r="BI70" i="34"/>
  <c r="BI72" i="34" s="1"/>
  <c r="M301" i="3"/>
  <c r="AX135" i="6"/>
  <c r="AX49" i="6"/>
  <c r="AX27" i="3"/>
  <c r="AX15" i="3"/>
  <c r="U15" i="9" s="1"/>
  <c r="AW304" i="3"/>
  <c r="AH306" i="3" s="1"/>
  <c r="G306" i="3" s="1"/>
  <c r="AW305" i="3"/>
  <c r="AH307" i="3" s="1"/>
  <c r="G307" i="3" s="1"/>
  <c r="AW303" i="3"/>
  <c r="AH305" i="3" s="1"/>
  <c r="G305" i="3" s="1"/>
  <c r="AW301" i="3"/>
  <c r="AH303" i="3" s="1"/>
  <c r="G303" i="3" s="1"/>
  <c r="AW306" i="3"/>
  <c r="AH308" i="3" s="1"/>
  <c r="G308" i="3" s="1"/>
  <c r="AW300" i="3"/>
  <c r="AH302" i="3" s="1"/>
  <c r="G302" i="3" s="1"/>
  <c r="AW302" i="3"/>
  <c r="AH304" i="3" s="1"/>
  <c r="G304" i="3" s="1"/>
  <c r="BG40" i="34"/>
  <c r="AY561" i="6"/>
  <c r="AY560" i="6"/>
  <c r="BB40" i="6"/>
  <c r="AY563" i="6"/>
  <c r="AY559" i="6"/>
  <c r="AY562" i="6"/>
  <c r="AY564" i="6"/>
  <c r="AY565" i="6"/>
  <c r="BI37" i="34"/>
  <c r="BJ37" i="34" s="1"/>
  <c r="BF37" i="34"/>
  <c r="BG38" i="34"/>
  <c r="BJ59" i="34"/>
  <c r="M302" i="3"/>
  <c r="M304" i="3"/>
  <c r="Y74" i="6"/>
  <c r="Y158" i="6" s="1"/>
  <c r="Z31" i="8"/>
  <c r="Z30" i="8" s="1"/>
  <c r="BG72" i="23"/>
  <c r="H53" i="34"/>
  <c r="P564" i="6"/>
  <c r="BJ70" i="21"/>
  <c r="AW70" i="21" s="1"/>
  <c r="U55" i="3" s="1"/>
  <c r="BH70" i="21"/>
  <c r="BG71" i="21" s="1"/>
  <c r="BH47" i="21"/>
  <c r="AW45" i="21" s="1"/>
  <c r="BJ47" i="21"/>
  <c r="BK70" i="21"/>
  <c r="AW71" i="21" s="1"/>
  <c r="U65" i="3" s="1"/>
  <c r="BK47" i="21"/>
  <c r="AW48" i="21" s="1"/>
  <c r="U68" i="3" s="1"/>
  <c r="CF70" i="21"/>
  <c r="BT68" i="21" s="1"/>
  <c r="CF47" i="21"/>
  <c r="BT45" i="21" s="1"/>
  <c r="M30" i="32"/>
  <c r="AY34" i="32" s="1"/>
  <c r="H53" i="32"/>
  <c r="U57" i="32" s="1"/>
  <c r="H30" i="32"/>
  <c r="W34" i="32" s="1"/>
  <c r="M53" i="32"/>
  <c r="AU57" i="32" s="1"/>
  <c r="V58" i="32"/>
  <c r="AB62" i="32"/>
  <c r="U67" i="32"/>
  <c r="AA64" i="32"/>
  <c r="AE66" i="32"/>
  <c r="Y62" i="32"/>
  <c r="AD67" i="32"/>
  <c r="Y65" i="32"/>
  <c r="BG24" i="4"/>
  <c r="AX21" i="4" s="1"/>
  <c r="CE24" i="4"/>
  <c r="BV24" i="4" s="1"/>
  <c r="U16" i="3" s="1"/>
  <c r="M9" i="32"/>
  <c r="BH49" i="4"/>
  <c r="AX47" i="4" s="1"/>
  <c r="CH73" i="4"/>
  <c r="BV71" i="4" s="1"/>
  <c r="CE49" i="4"/>
  <c r="BV49" i="4" s="1"/>
  <c r="U13" i="3" s="1"/>
  <c r="BK73" i="4"/>
  <c r="BK49" i="4"/>
  <c r="AX49" i="4" s="1"/>
  <c r="BL73" i="4"/>
  <c r="AX74" i="4" s="1"/>
  <c r="T65" i="3" s="1"/>
  <c r="T155" i="3" s="1"/>
  <c r="T246" i="3" s="1"/>
  <c r="CE73" i="4"/>
  <c r="BV73" i="4" s="1"/>
  <c r="U10" i="3" s="1"/>
  <c r="BH73" i="4"/>
  <c r="BG74" i="4" s="1"/>
  <c r="AT69" i="4" s="1"/>
  <c r="Q56" i="8" s="1"/>
  <c r="BL49" i="4"/>
  <c r="AX50" i="4" s="1"/>
  <c r="T68" i="3" s="1"/>
  <c r="T158" i="3" s="1"/>
  <c r="T249" i="3" s="1"/>
  <c r="CH49" i="4"/>
  <c r="BV47" i="4" s="1"/>
  <c r="W80" i="6"/>
  <c r="W164" i="6" s="1"/>
  <c r="X37" i="8"/>
  <c r="X36" i="8" s="1"/>
  <c r="BV25" i="4"/>
  <c r="BV22" i="4"/>
  <c r="X38" i="6"/>
  <c r="O561" i="6"/>
  <c r="O565" i="6"/>
  <c r="O564" i="6"/>
  <c r="O562" i="6"/>
  <c r="O559" i="6"/>
  <c r="O563" i="6"/>
  <c r="O560" i="6"/>
  <c r="I560" i="6"/>
  <c r="I564" i="6"/>
  <c r="I561" i="6"/>
  <c r="I565" i="6"/>
  <c r="I563" i="6"/>
  <c r="I562" i="6"/>
  <c r="I559" i="6"/>
  <c r="T161" i="3"/>
  <c r="T252" i="3" s="1"/>
  <c r="J9" i="8"/>
  <c r="J13" i="8" s="1"/>
  <c r="P7" i="8"/>
  <c r="P562" i="6"/>
  <c r="P565" i="6"/>
  <c r="P559" i="6"/>
  <c r="J563" i="6"/>
  <c r="J565" i="6"/>
  <c r="J564" i="6"/>
  <c r="O45" i="6"/>
  <c r="J562" i="6"/>
  <c r="J560" i="6"/>
  <c r="J561" i="6"/>
  <c r="P561" i="6"/>
  <c r="P563" i="6"/>
  <c r="P560" i="6"/>
  <c r="X190" i="6"/>
  <c r="R36" i="3"/>
  <c r="R39" i="3"/>
  <c r="L38" i="3"/>
  <c r="L42" i="3" s="1"/>
  <c r="V145" i="3"/>
  <c r="AM15" i="3"/>
  <c r="AW248" i="3"/>
  <c r="AX46" i="4"/>
  <c r="X23" i="8" s="1"/>
  <c r="AX70" i="4"/>
  <c r="X20" i="8" s="1"/>
  <c r="AW67" i="21"/>
  <c r="BJ73" i="23"/>
  <c r="AW73" i="23"/>
  <c r="V58" i="3"/>
  <c r="T37" i="8"/>
  <c r="AW44" i="21"/>
  <c r="BV50" i="4"/>
  <c r="T205" i="3" s="1"/>
  <c r="Z23" i="8"/>
  <c r="Y65" i="6"/>
  <c r="U89" i="6"/>
  <c r="R82" i="3"/>
  <c r="S59" i="8"/>
  <c r="S58" i="8" s="1"/>
  <c r="V158" i="3"/>
  <c r="V248" i="3" s="1"/>
  <c r="BV74" i="4"/>
  <c r="BG73" i="23"/>
  <c r="AT68" i="23" s="1"/>
  <c r="U87" i="6" s="1"/>
  <c r="U171" i="6" s="1"/>
  <c r="M568" i="6" s="1"/>
  <c r="AW69" i="23"/>
  <c r="T70" i="3"/>
  <c r="Y117" i="6"/>
  <c r="Y299" i="6" s="1"/>
  <c r="Y483" i="6" s="1"/>
  <c r="Y287" i="6"/>
  <c r="Y471" i="6" s="1"/>
  <c r="Y290" i="6"/>
  <c r="Y474" i="6" s="1"/>
  <c r="W35" i="6"/>
  <c r="Y193" i="6"/>
  <c r="Y377" i="6" s="1"/>
  <c r="W38" i="6"/>
  <c r="Z196" i="6"/>
  <c r="Z195" i="6" s="1"/>
  <c r="W41" i="6"/>
  <c r="X35" i="6"/>
  <c r="Z190" i="6"/>
  <c r="Z189" i="6" s="1"/>
  <c r="Y190" i="6"/>
  <c r="Y374" i="6" s="1"/>
  <c r="Y196" i="6"/>
  <c r="Y380" i="6" s="1"/>
  <c r="Z193" i="6"/>
  <c r="Z192" i="6" s="1"/>
  <c r="S11" i="6"/>
  <c r="X193" i="6"/>
  <c r="X377" i="6" s="1"/>
  <c r="X196" i="6"/>
  <c r="X380" i="6" s="1"/>
  <c r="O115" i="6"/>
  <c r="O297" i="6" s="1"/>
  <c r="O481" i="6" s="1"/>
  <c r="V144" i="3"/>
  <c r="Y114" i="6"/>
  <c r="Y296" i="6" s="1"/>
  <c r="Y480" i="6" s="1"/>
  <c r="Y297" i="6"/>
  <c r="Y481" i="6" s="1"/>
  <c r="O134" i="6"/>
  <c r="S36" i="6"/>
  <c r="T151" i="3"/>
  <c r="S12" i="6"/>
  <c r="AU34" i="32" l="1"/>
  <c r="AC44" i="32"/>
  <c r="BJ70" i="34"/>
  <c r="BJ72" i="34" s="1"/>
  <c r="BB19" i="6" s="1"/>
  <c r="BB18" i="6" s="1"/>
  <c r="T60" i="32"/>
  <c r="Y58" i="32"/>
  <c r="AE60" i="32"/>
  <c r="V57" i="32"/>
  <c r="AK305" i="3"/>
  <c r="BJ71" i="21"/>
  <c r="AK300" i="3"/>
  <c r="Y64" i="32"/>
  <c r="AC66" i="32"/>
  <c r="AA67" i="32"/>
  <c r="AD61" i="32"/>
  <c r="AS37" i="32"/>
  <c r="AZ44" i="32"/>
  <c r="BA42" i="32"/>
  <c r="AY43" i="32"/>
  <c r="AT39" i="32"/>
  <c r="AX35" i="32"/>
  <c r="BB43" i="32"/>
  <c r="AC39" i="32"/>
  <c r="AS41" i="32"/>
  <c r="BC36" i="32"/>
  <c r="BC35" i="32"/>
  <c r="BC40" i="32"/>
  <c r="AK304" i="3"/>
  <c r="AK303" i="3"/>
  <c r="AD37" i="32"/>
  <c r="AK301" i="3"/>
  <c r="AK306" i="3"/>
  <c r="X34" i="32"/>
  <c r="BC44" i="32"/>
  <c r="AU35" i="32"/>
  <c r="AR43" i="32"/>
  <c r="AX43" i="32"/>
  <c r="AX9" i="3"/>
  <c r="AS43" i="32"/>
  <c r="AD59" i="32"/>
  <c r="T67" i="32"/>
  <c r="U59" i="32"/>
  <c r="AB60" i="32"/>
  <c r="V65" i="32"/>
  <c r="AD64" i="32"/>
  <c r="AB59" i="32"/>
  <c r="BC43" i="32"/>
  <c r="AU43" i="32"/>
  <c r="AY39" i="32"/>
  <c r="AS38" i="32"/>
  <c r="BG73" i="34"/>
  <c r="AT38" i="32"/>
  <c r="AU39" i="32"/>
  <c r="AY35" i="32"/>
  <c r="AR34" i="32"/>
  <c r="AI36" i="34"/>
  <c r="AL36" i="34"/>
  <c r="AK38" i="34"/>
  <c r="AH38" i="34"/>
  <c r="AH40" i="34"/>
  <c r="AK40" i="34"/>
  <c r="AH37" i="34"/>
  <c r="AK37" i="34"/>
  <c r="AI37" i="34"/>
  <c r="AL37" i="34"/>
  <c r="U57" i="33"/>
  <c r="Y57" i="33"/>
  <c r="AC57" i="33"/>
  <c r="W58" i="33"/>
  <c r="AA58" i="33"/>
  <c r="U59" i="33"/>
  <c r="Y59" i="33"/>
  <c r="AC59" i="33"/>
  <c r="W60" i="33"/>
  <c r="AA60" i="33"/>
  <c r="U61" i="33"/>
  <c r="Y61" i="33"/>
  <c r="AC61" i="33"/>
  <c r="W62" i="33"/>
  <c r="AA62" i="33"/>
  <c r="U63" i="33"/>
  <c r="Y63" i="33"/>
  <c r="AC63" i="33"/>
  <c r="W64" i="33"/>
  <c r="AA64" i="33"/>
  <c r="U65" i="33"/>
  <c r="Y65" i="33"/>
  <c r="AC65" i="33"/>
  <c r="W66" i="33"/>
  <c r="AA66" i="33"/>
  <c r="U67" i="33"/>
  <c r="Y67" i="33"/>
  <c r="AC67" i="33"/>
  <c r="T60" i="33"/>
  <c r="T64" i="33"/>
  <c r="T57" i="33"/>
  <c r="V57" i="33"/>
  <c r="Z57" i="33"/>
  <c r="AD57" i="33"/>
  <c r="X58" i="33"/>
  <c r="AB58" i="33"/>
  <c r="V59" i="33"/>
  <c r="Z59" i="33"/>
  <c r="AD59" i="33"/>
  <c r="X60" i="33"/>
  <c r="AB60" i="33"/>
  <c r="V61" i="33"/>
  <c r="Z61" i="33"/>
  <c r="AD61" i="33"/>
  <c r="X62" i="33"/>
  <c r="AB62" i="33"/>
  <c r="V63" i="33"/>
  <c r="Z63" i="33"/>
  <c r="AD63" i="33"/>
  <c r="X64" i="33"/>
  <c r="AB64" i="33"/>
  <c r="V65" i="33"/>
  <c r="Z65" i="33"/>
  <c r="AD65" i="33"/>
  <c r="X66" i="33"/>
  <c r="AB66" i="33"/>
  <c r="V67" i="33"/>
  <c r="Z67" i="33"/>
  <c r="AD67" i="33"/>
  <c r="T61" i="33"/>
  <c r="T65" i="33"/>
  <c r="W57" i="33"/>
  <c r="AA57" i="33"/>
  <c r="U58" i="33"/>
  <c r="Y58" i="33"/>
  <c r="AC58" i="33"/>
  <c r="W59" i="33"/>
  <c r="AA59" i="33"/>
  <c r="U60" i="33"/>
  <c r="Y60" i="33"/>
  <c r="AC60" i="33"/>
  <c r="W61" i="33"/>
  <c r="AA61" i="33"/>
  <c r="U62" i="33"/>
  <c r="Y62" i="33"/>
  <c r="AC62" i="33"/>
  <c r="W63" i="33"/>
  <c r="AA63" i="33"/>
  <c r="U64" i="33"/>
  <c r="Y64" i="33"/>
  <c r="AC64" i="33"/>
  <c r="W65" i="33"/>
  <c r="AA65" i="33"/>
  <c r="U66" i="33"/>
  <c r="Y66" i="33"/>
  <c r="AC66" i="33"/>
  <c r="W67" i="33"/>
  <c r="AA67" i="33"/>
  <c r="T58" i="33"/>
  <c r="T62" i="33"/>
  <c r="T66" i="33"/>
  <c r="X57" i="33"/>
  <c r="AD58" i="33"/>
  <c r="Z60" i="33"/>
  <c r="V62" i="33"/>
  <c r="AB63" i="33"/>
  <c r="X65" i="33"/>
  <c r="AD66" i="33"/>
  <c r="T63" i="33"/>
  <c r="V60" i="33"/>
  <c r="X63" i="33"/>
  <c r="Z66" i="33"/>
  <c r="AB57" i="33"/>
  <c r="X59" i="33"/>
  <c r="AD60" i="33"/>
  <c r="Z62" i="33"/>
  <c r="V64" i="33"/>
  <c r="AB65" i="33"/>
  <c r="X67" i="33"/>
  <c r="T67" i="33"/>
  <c r="AB61" i="33"/>
  <c r="V58" i="33"/>
  <c r="AB59" i="33"/>
  <c r="X61" i="33"/>
  <c r="AD62" i="33"/>
  <c r="Z64" i="33"/>
  <c r="V66" i="33"/>
  <c r="AB67" i="33"/>
  <c r="Z58" i="33"/>
  <c r="AD64" i="33"/>
  <c r="T59" i="33"/>
  <c r="AK39" i="34"/>
  <c r="AH39" i="34"/>
  <c r="X34" i="33"/>
  <c r="AB34" i="33"/>
  <c r="V35" i="33"/>
  <c r="Z35" i="33"/>
  <c r="AD35" i="33"/>
  <c r="X36" i="33"/>
  <c r="AB36" i="33"/>
  <c r="V37" i="33"/>
  <c r="Z37" i="33"/>
  <c r="AD37" i="33"/>
  <c r="X38" i="33"/>
  <c r="AB38" i="33"/>
  <c r="V39" i="33"/>
  <c r="Z39" i="33"/>
  <c r="AD39" i="33"/>
  <c r="X40" i="33"/>
  <c r="AB40" i="33"/>
  <c r="V41" i="33"/>
  <c r="Z41" i="33"/>
  <c r="AD41" i="33"/>
  <c r="X42" i="33"/>
  <c r="AB42" i="33"/>
  <c r="V43" i="33"/>
  <c r="Z43" i="33"/>
  <c r="AD43" i="33"/>
  <c r="X44" i="33"/>
  <c r="AB44" i="33"/>
  <c r="T36" i="33"/>
  <c r="T40" i="33"/>
  <c r="T44" i="33"/>
  <c r="U34" i="33"/>
  <c r="Y34" i="33"/>
  <c r="AC34" i="33"/>
  <c r="W35" i="33"/>
  <c r="AA35" i="33"/>
  <c r="U36" i="33"/>
  <c r="Y36" i="33"/>
  <c r="AC36" i="33"/>
  <c r="W37" i="33"/>
  <c r="AA37" i="33"/>
  <c r="U38" i="33"/>
  <c r="Y38" i="33"/>
  <c r="AC38" i="33"/>
  <c r="W39" i="33"/>
  <c r="AA39" i="33"/>
  <c r="U40" i="33"/>
  <c r="Y40" i="33"/>
  <c r="AC40" i="33"/>
  <c r="W41" i="33"/>
  <c r="AA41" i="33"/>
  <c r="U42" i="33"/>
  <c r="Y42" i="33"/>
  <c r="AC42" i="33"/>
  <c r="W43" i="33"/>
  <c r="AA43" i="33"/>
  <c r="U44" i="33"/>
  <c r="Y44" i="33"/>
  <c r="AC44" i="33"/>
  <c r="T37" i="33"/>
  <c r="T41" i="33"/>
  <c r="T34" i="33"/>
  <c r="V34" i="33"/>
  <c r="Z34" i="33"/>
  <c r="AD34" i="33"/>
  <c r="X35" i="33"/>
  <c r="AB35" i="33"/>
  <c r="V36" i="33"/>
  <c r="Z36" i="33"/>
  <c r="AD36" i="33"/>
  <c r="X37" i="33"/>
  <c r="AB37" i="33"/>
  <c r="V38" i="33"/>
  <c r="Z38" i="33"/>
  <c r="AD38" i="33"/>
  <c r="X39" i="33"/>
  <c r="AB39" i="33"/>
  <c r="V40" i="33"/>
  <c r="Z40" i="33"/>
  <c r="AD40" i="33"/>
  <c r="X41" i="33"/>
  <c r="AB41" i="33"/>
  <c r="V42" i="33"/>
  <c r="Z42" i="33"/>
  <c r="AD42" i="33"/>
  <c r="X43" i="33"/>
  <c r="AB43" i="33"/>
  <c r="V44" i="33"/>
  <c r="Z44" i="33"/>
  <c r="AD44" i="33"/>
  <c r="T38" i="33"/>
  <c r="T42" i="33"/>
  <c r="U35" i="33"/>
  <c r="AA36" i="33"/>
  <c r="W38" i="33"/>
  <c r="AC39" i="33"/>
  <c r="Y41" i="33"/>
  <c r="U43" i="33"/>
  <c r="AA44" i="33"/>
  <c r="W36" i="33"/>
  <c r="U41" i="33"/>
  <c r="W44" i="33"/>
  <c r="Y35" i="33"/>
  <c r="U37" i="33"/>
  <c r="AA38" i="33"/>
  <c r="W40" i="33"/>
  <c r="AC41" i="33"/>
  <c r="Y43" i="33"/>
  <c r="T35" i="33"/>
  <c r="Y39" i="33"/>
  <c r="T43" i="33"/>
  <c r="W34" i="33"/>
  <c r="AC35" i="33"/>
  <c r="Y37" i="33"/>
  <c r="U39" i="33"/>
  <c r="AA40" i="33"/>
  <c r="W42" i="33"/>
  <c r="AC43" i="33"/>
  <c r="T39" i="33"/>
  <c r="AA34" i="33"/>
  <c r="AC37" i="33"/>
  <c r="AA42" i="33"/>
  <c r="AL40" i="34"/>
  <c r="AI40" i="34"/>
  <c r="AI41" i="34"/>
  <c r="AL41" i="34"/>
  <c r="V57" i="34"/>
  <c r="Z57" i="34"/>
  <c r="AD57" i="34"/>
  <c r="X58" i="34"/>
  <c r="AB58" i="34"/>
  <c r="V59" i="34"/>
  <c r="Z59" i="34"/>
  <c r="AD59" i="34"/>
  <c r="X60" i="34"/>
  <c r="AB60" i="34"/>
  <c r="V61" i="34"/>
  <c r="Z61" i="34"/>
  <c r="AD61" i="34"/>
  <c r="X62" i="34"/>
  <c r="AB62" i="34"/>
  <c r="V63" i="34"/>
  <c r="Z63" i="34"/>
  <c r="AD63" i="34"/>
  <c r="X64" i="34"/>
  <c r="AB64" i="34"/>
  <c r="V65" i="34"/>
  <c r="Z65" i="34"/>
  <c r="AD65" i="34"/>
  <c r="X66" i="34"/>
  <c r="W57" i="34"/>
  <c r="AA57" i="34"/>
  <c r="U58" i="34"/>
  <c r="Y58" i="34"/>
  <c r="AC58" i="34"/>
  <c r="W59" i="34"/>
  <c r="AA59" i="34"/>
  <c r="U60" i="34"/>
  <c r="Y60" i="34"/>
  <c r="AC60" i="34"/>
  <c r="W61" i="34"/>
  <c r="AA61" i="34"/>
  <c r="U62" i="34"/>
  <c r="Y62" i="34"/>
  <c r="AC62" i="34"/>
  <c r="W63" i="34"/>
  <c r="AA63" i="34"/>
  <c r="U64" i="34"/>
  <c r="Y64" i="34"/>
  <c r="AC64" i="34"/>
  <c r="W65" i="34"/>
  <c r="AA65" i="34"/>
  <c r="U66" i="34"/>
  <c r="X57" i="34"/>
  <c r="AB57" i="34"/>
  <c r="V58" i="34"/>
  <c r="Z58" i="34"/>
  <c r="AD58" i="34"/>
  <c r="X59" i="34"/>
  <c r="AB59" i="34"/>
  <c r="V60" i="34"/>
  <c r="Z60" i="34"/>
  <c r="AD60" i="34"/>
  <c r="X61" i="34"/>
  <c r="AB61" i="34"/>
  <c r="V62" i="34"/>
  <c r="Z62" i="34"/>
  <c r="AD62" i="34"/>
  <c r="X63" i="34"/>
  <c r="AB63" i="34"/>
  <c r="V64" i="34"/>
  <c r="Z64" i="34"/>
  <c r="AD64" i="34"/>
  <c r="X65" i="34"/>
  <c r="AB65" i="34"/>
  <c r="V66" i="34"/>
  <c r="Z66" i="34"/>
  <c r="AD66" i="34"/>
  <c r="W58" i="34"/>
  <c r="AC59" i="34"/>
  <c r="Y61" i="34"/>
  <c r="U63" i="34"/>
  <c r="AA64" i="34"/>
  <c r="W66" i="34"/>
  <c r="AC66" i="34"/>
  <c r="X67" i="34"/>
  <c r="AB67" i="34"/>
  <c r="T59" i="34"/>
  <c r="T63" i="34"/>
  <c r="T67" i="34"/>
  <c r="Y59" i="34"/>
  <c r="AA62" i="34"/>
  <c r="W67" i="34"/>
  <c r="T66" i="34"/>
  <c r="U57" i="34"/>
  <c r="AA58" i="34"/>
  <c r="W60" i="34"/>
  <c r="AC61" i="34"/>
  <c r="Y63" i="34"/>
  <c r="U65" i="34"/>
  <c r="Y66" i="34"/>
  <c r="U67" i="34"/>
  <c r="Y67" i="34"/>
  <c r="AC67" i="34"/>
  <c r="T60" i="34"/>
  <c r="T64" i="34"/>
  <c r="T57" i="34"/>
  <c r="U61" i="34"/>
  <c r="AC65" i="34"/>
  <c r="AA67" i="34"/>
  <c r="T62" i="34"/>
  <c r="Y57" i="34"/>
  <c r="U59" i="34"/>
  <c r="AA60" i="34"/>
  <c r="W62" i="34"/>
  <c r="AC63" i="34"/>
  <c r="Y65" i="34"/>
  <c r="AA66" i="34"/>
  <c r="V67" i="34"/>
  <c r="Z67" i="34"/>
  <c r="AD67" i="34"/>
  <c r="T61" i="34"/>
  <c r="T65" i="34"/>
  <c r="AC57" i="34"/>
  <c r="W64" i="34"/>
  <c r="AB66" i="34"/>
  <c r="T58" i="34"/>
  <c r="AH36" i="34"/>
  <c r="AK36" i="34"/>
  <c r="AI38" i="34"/>
  <c r="AL38" i="34"/>
  <c r="AH41" i="34"/>
  <c r="AK41" i="34"/>
  <c r="AL39" i="34"/>
  <c r="AI39" i="34"/>
  <c r="BB40" i="32"/>
  <c r="BC37" i="32"/>
  <c r="AR40" i="32"/>
  <c r="BJ47" i="34"/>
  <c r="BJ49" i="34" s="1"/>
  <c r="BB22" i="6" s="1"/>
  <c r="AU36" i="32"/>
  <c r="BA41" i="32"/>
  <c r="AS34" i="32"/>
  <c r="AT42" i="32"/>
  <c r="AW38" i="32"/>
  <c r="AX34" i="32"/>
  <c r="AX42" i="32"/>
  <c r="AX38" i="32"/>
  <c r="BA34" i="32"/>
  <c r="AT43" i="32"/>
  <c r="AU40" i="32"/>
  <c r="AV37" i="32"/>
  <c r="AR37" i="32"/>
  <c r="BI39" i="32" s="1"/>
  <c r="AZ42" i="32"/>
  <c r="AT40" i="32"/>
  <c r="AX36" i="32"/>
  <c r="AZ43" i="32"/>
  <c r="G312" i="3"/>
  <c r="AY572" i="6"/>
  <c r="BB121" i="6"/>
  <c r="AY568" i="6"/>
  <c r="AY573" i="6"/>
  <c r="AY571" i="6"/>
  <c r="AY570" i="6"/>
  <c r="AX134" i="6"/>
  <c r="AY574" i="6"/>
  <c r="AY569" i="6"/>
  <c r="BB111" i="6"/>
  <c r="BF47" i="34"/>
  <c r="BF49" i="34" s="1"/>
  <c r="BB38" i="32"/>
  <c r="AS42" i="32"/>
  <c r="AT34" i="32"/>
  <c r="BB39" i="32"/>
  <c r="AR35" i="32"/>
  <c r="AV41" i="32"/>
  <c r="AW37" i="32"/>
  <c r="AR39" i="32"/>
  <c r="AW41" i="32"/>
  <c r="AZ37" i="32"/>
  <c r="AR38" i="32"/>
  <c r="AW42" i="32"/>
  <c r="AX39" i="32"/>
  <c r="BB35" i="32"/>
  <c r="AX44" i="32"/>
  <c r="AV42" i="32"/>
  <c r="AW39" i="32"/>
  <c r="AT36" i="32"/>
  <c r="AX41" i="32"/>
  <c r="B7" i="27"/>
  <c r="AD28" i="9"/>
  <c r="BG47" i="34"/>
  <c r="BG49" i="34" s="1"/>
  <c r="AX25" i="3" s="1"/>
  <c r="BI47" i="34"/>
  <c r="BI49" i="34" s="1"/>
  <c r="BB42" i="32"/>
  <c r="AZ40" i="32"/>
  <c r="BB34" i="32"/>
  <c r="BC39" i="32"/>
  <c r="AR42" i="32"/>
  <c r="BA37" i="32"/>
  <c r="AU44" i="32"/>
  <c r="AV40" i="32"/>
  <c r="AV36" i="32"/>
  <c r="AV44" i="32"/>
  <c r="AY40" i="32"/>
  <c r="AZ36" i="32"/>
  <c r="AY44" i="32"/>
  <c r="AZ41" i="32"/>
  <c r="BA38" i="32"/>
  <c r="AT35" i="32"/>
  <c r="AT44" i="32"/>
  <c r="AU41" i="32"/>
  <c r="AV38" i="32"/>
  <c r="AR44" i="32"/>
  <c r="BA36" i="32"/>
  <c r="BC8" i="6"/>
  <c r="BJ73" i="34"/>
  <c r="AX44" i="6" s="1"/>
  <c r="U9" i="9"/>
  <c r="AW35" i="32"/>
  <c r="AW44" i="32"/>
  <c r="BA40" i="32"/>
  <c r="AY36" i="32"/>
  <c r="AR41" i="32"/>
  <c r="BA43" i="32"/>
  <c r="AY41" i="32"/>
  <c r="BA39" i="32"/>
  <c r="AY37" i="32"/>
  <c r="AZ34" i="32"/>
  <c r="AS44" i="32"/>
  <c r="AZ39" i="32"/>
  <c r="AW34" i="32"/>
  <c r="BB44" i="32"/>
  <c r="AW43" i="32"/>
  <c r="BC41" i="32"/>
  <c r="AX40" i="32"/>
  <c r="AS39" i="32"/>
  <c r="BB36" i="32"/>
  <c r="AS35" i="32"/>
  <c r="AR36" i="32"/>
  <c r="AY42" i="32"/>
  <c r="AY38" i="32"/>
  <c r="AT66" i="21"/>
  <c r="T87" i="6" s="1"/>
  <c r="T171" i="6" s="1"/>
  <c r="L589" i="6" s="1"/>
  <c r="BG48" i="21"/>
  <c r="AT43" i="21" s="1"/>
  <c r="T90" i="6" s="1"/>
  <c r="T174" i="6" s="1"/>
  <c r="R589" i="6" s="1"/>
  <c r="BJ48" i="21"/>
  <c r="X77" i="6"/>
  <c r="X161" i="6" s="1"/>
  <c r="Y34" i="8"/>
  <c r="Y33" i="8" s="1"/>
  <c r="W67" i="32"/>
  <c r="AA61" i="32"/>
  <c r="X64" i="32"/>
  <c r="AD66" i="32"/>
  <c r="AA60" i="32"/>
  <c r="AC64" i="32"/>
  <c r="T57" i="32"/>
  <c r="Z66" i="32"/>
  <c r="AA63" i="32"/>
  <c r="AC58" i="32"/>
  <c r="V67" i="32"/>
  <c r="W64" i="32"/>
  <c r="V60" i="32"/>
  <c r="T63" i="32"/>
  <c r="X66" i="32"/>
  <c r="Z64" i="32"/>
  <c r="AE61" i="32"/>
  <c r="AA57" i="32"/>
  <c r="Z61" i="32"/>
  <c r="AE58" i="32"/>
  <c r="Z62" i="32"/>
  <c r="X60" i="32"/>
  <c r="AC57" i="32"/>
  <c r="AW47" i="21"/>
  <c r="U58" i="3" s="1"/>
  <c r="R284" i="3" s="1"/>
  <c r="AW68" i="21"/>
  <c r="Z63" i="32"/>
  <c r="V63" i="32"/>
  <c r="X65" i="32"/>
  <c r="X61" i="32"/>
  <c r="AD65" i="32"/>
  <c r="T65" i="32"/>
  <c r="AD63" i="32"/>
  <c r="T62" i="32"/>
  <c r="Z65" i="32"/>
  <c r="AC62" i="32"/>
  <c r="AE57" i="32"/>
  <c r="V66" i="32"/>
  <c r="AB63" i="32"/>
  <c r="V59" i="32"/>
  <c r="AC67" i="32"/>
  <c r="AE65" i="32"/>
  <c r="V64" i="32"/>
  <c r="Z60" i="32"/>
  <c r="X63" i="32"/>
  <c r="V61" i="32"/>
  <c r="W58" i="32"/>
  <c r="V62" i="32"/>
  <c r="AA59" i="32"/>
  <c r="Z59" i="32"/>
  <c r="Y66" i="32"/>
  <c r="Y59" i="32"/>
  <c r="X57" i="32"/>
  <c r="AE63" i="32"/>
  <c r="AB67" i="32"/>
  <c r="X62" i="32"/>
  <c r="Z67" i="32"/>
  <c r="U65" i="32"/>
  <c r="AB61" i="32"/>
  <c r="T58" i="32"/>
  <c r="AB65" i="32"/>
  <c r="U63" i="32"/>
  <c r="W57" i="32"/>
  <c r="Y67" i="32"/>
  <c r="AA65" i="32"/>
  <c r="Y63" i="32"/>
  <c r="AC59" i="32"/>
  <c r="AE62" i="32"/>
  <c r="U60" i="32"/>
  <c r="Z57" i="32"/>
  <c r="AC61" i="32"/>
  <c r="AD58" i="32"/>
  <c r="BC42" i="32"/>
  <c r="AT41" i="32"/>
  <c r="AV39" i="32"/>
  <c r="AV35" i="32"/>
  <c r="AU42" i="32"/>
  <c r="AS40" i="32"/>
  <c r="AT37" i="32"/>
  <c r="BP66" i="21"/>
  <c r="X19" i="6"/>
  <c r="BP43" i="21"/>
  <c r="X22" i="6"/>
  <c r="BG25" i="4"/>
  <c r="AT20" i="4" s="1"/>
  <c r="Q62" i="8" s="1"/>
  <c r="Q61" i="8" s="1"/>
  <c r="U39" i="32"/>
  <c r="X41" i="32"/>
  <c r="AB38" i="32"/>
  <c r="AE35" i="32"/>
  <c r="V36" i="32"/>
  <c r="T41" i="32"/>
  <c r="X37" i="32"/>
  <c r="AB43" i="32"/>
  <c r="V34" i="32"/>
  <c r="AA35" i="32"/>
  <c r="AC43" i="32"/>
  <c r="AB39" i="32"/>
  <c r="AU38" i="32"/>
  <c r="AW36" i="32"/>
  <c r="BB37" i="32"/>
  <c r="AZ35" i="32"/>
  <c r="BC34" i="32"/>
  <c r="U43" i="32"/>
  <c r="T42" i="32"/>
  <c r="Y43" i="32"/>
  <c r="AA43" i="32"/>
  <c r="AD35" i="32"/>
  <c r="AD39" i="32"/>
  <c r="AA42" i="32"/>
  <c r="AC36" i="32"/>
  <c r="AE43" i="32"/>
  <c r="AD43" i="32"/>
  <c r="AA41" i="32"/>
  <c r="Z38" i="32"/>
  <c r="W41" i="32"/>
  <c r="AD44" i="32"/>
  <c r="Y37" i="32"/>
  <c r="AC40" i="32"/>
  <c r="AE34" i="32"/>
  <c r="T39" i="32"/>
  <c r="U41" i="32"/>
  <c r="T43" i="32"/>
  <c r="T35" i="32"/>
  <c r="AB37" i="32"/>
  <c r="Y42" i="32"/>
  <c r="AB34" i="32"/>
  <c r="V43" i="32"/>
  <c r="W39" i="32"/>
  <c r="Y35" i="32"/>
  <c r="W43" i="32"/>
  <c r="Y39" i="32"/>
  <c r="Z35" i="32"/>
  <c r="W42" i="32"/>
  <c r="X39" i="32"/>
  <c r="Y36" i="32"/>
  <c r="V40" i="32"/>
  <c r="AE41" i="32"/>
  <c r="W35" i="32"/>
  <c r="AE40" i="32"/>
  <c r="Z42" i="32"/>
  <c r="AC34" i="32"/>
  <c r="Z39" i="32"/>
  <c r="T36" i="32"/>
  <c r="AB41" i="32"/>
  <c r="AC37" i="32"/>
  <c r="T37" i="32"/>
  <c r="AC41" i="32"/>
  <c r="AE37" i="32"/>
  <c r="U34" i="32"/>
  <c r="V41" i="32"/>
  <c r="W38" i="32"/>
  <c r="X35" i="32"/>
  <c r="X67" i="32"/>
  <c r="T61" i="32"/>
  <c r="AB57" i="32"/>
  <c r="W66" i="32"/>
  <c r="T66" i="32"/>
  <c r="AE64" i="32"/>
  <c r="AB58" i="32"/>
  <c r="AC65" i="32"/>
  <c r="W60" i="32"/>
  <c r="AE67" i="32"/>
  <c r="U66" i="32"/>
  <c r="U64" i="32"/>
  <c r="AD60" i="32"/>
  <c r="T64" i="32"/>
  <c r="AA66" i="32"/>
  <c r="AB64" i="32"/>
  <c r="U62" i="32"/>
  <c r="U58" i="32"/>
  <c r="T59" i="32"/>
  <c r="AB66" i="32"/>
  <c r="W65" i="32"/>
  <c r="AC63" i="32"/>
  <c r="W61" i="32"/>
  <c r="X58" i="32"/>
  <c r="AA62" i="32"/>
  <c r="Y60" i="32"/>
  <c r="AA58" i="32"/>
  <c r="W63" i="32"/>
  <c r="U61" i="32"/>
  <c r="W59" i="32"/>
  <c r="Y57" i="32"/>
  <c r="W62" i="32"/>
  <c r="AC60" i="32"/>
  <c r="X59" i="32"/>
  <c r="AD57" i="32"/>
  <c r="AD62" i="32"/>
  <c r="Y61" i="32"/>
  <c r="AE59" i="32"/>
  <c r="Z58" i="32"/>
  <c r="W36" i="32"/>
  <c r="V38" i="32"/>
  <c r="T34" i="32"/>
  <c r="V39" i="32"/>
  <c r="AE39" i="32"/>
  <c r="AA44" i="32"/>
  <c r="U37" i="32"/>
  <c r="X44" i="32"/>
  <c r="AA40" i="32"/>
  <c r="AB36" i="32"/>
  <c r="AE44" i="32"/>
  <c r="Y41" i="32"/>
  <c r="AA37" i="32"/>
  <c r="T44" i="32"/>
  <c r="Y44" i="32"/>
  <c r="AB42" i="32"/>
  <c r="AB40" i="32"/>
  <c r="AC38" i="32"/>
  <c r="AD36" i="32"/>
  <c r="AD34" i="32"/>
  <c r="Z44" i="32"/>
  <c r="AC42" i="32"/>
  <c r="AD40" i="32"/>
  <c r="AD38" i="32"/>
  <c r="AE36" i="32"/>
  <c r="U35" i="32"/>
  <c r="X43" i="32"/>
  <c r="AD41" i="32"/>
  <c r="Y40" i="32"/>
  <c r="AE38" i="32"/>
  <c r="Z37" i="32"/>
  <c r="U36" i="32"/>
  <c r="AA34" i="32"/>
  <c r="U42" i="32"/>
  <c r="T38" i="32"/>
  <c r="AB44" i="32"/>
  <c r="W37" i="32"/>
  <c r="U38" i="32"/>
  <c r="AD42" i="32"/>
  <c r="V35" i="32"/>
  <c r="Z43" i="32"/>
  <c r="AA39" i="32"/>
  <c r="AC35" i="32"/>
  <c r="W44" i="32"/>
  <c r="Z40" i="32"/>
  <c r="AA36" i="32"/>
  <c r="T40" i="32"/>
  <c r="U44" i="32"/>
  <c r="V42" i="32"/>
  <c r="W40" i="32"/>
  <c r="X38" i="32"/>
  <c r="X36" i="32"/>
  <c r="Y34" i="32"/>
  <c r="V44" i="32"/>
  <c r="X42" i="32"/>
  <c r="X40" i="32"/>
  <c r="Y38" i="32"/>
  <c r="Z36" i="32"/>
  <c r="Z34" i="32"/>
  <c r="AE42" i="32"/>
  <c r="Z41" i="32"/>
  <c r="U40" i="32"/>
  <c r="AA38" i="32"/>
  <c r="V37" i="32"/>
  <c r="AB35" i="32"/>
  <c r="AZ38" i="32"/>
  <c r="AU37" i="32"/>
  <c r="BA35" i="32"/>
  <c r="AV34" i="32"/>
  <c r="BA44" i="32"/>
  <c r="AV43" i="32"/>
  <c r="BB41" i="32"/>
  <c r="AW40" i="32"/>
  <c r="BC38" i="32"/>
  <c r="AX37" i="32"/>
  <c r="AS36" i="32"/>
  <c r="AR61" i="32"/>
  <c r="AX62" i="32"/>
  <c r="AT66" i="32"/>
  <c r="AW65" i="32"/>
  <c r="AT61" i="32"/>
  <c r="AY67" i="32"/>
  <c r="AZ63" i="32"/>
  <c r="AZ59" i="32"/>
  <c r="AZ67" i="32"/>
  <c r="BC63" i="32"/>
  <c r="AS60" i="32"/>
  <c r="AR65" i="32"/>
  <c r="BA65" i="32"/>
  <c r="BB62" i="32"/>
  <c r="BC59" i="32"/>
  <c r="AS57" i="32"/>
  <c r="BB67" i="32"/>
  <c r="AW66" i="32"/>
  <c r="BC64" i="32"/>
  <c r="AX63" i="32"/>
  <c r="AS62" i="32"/>
  <c r="AY60" i="32"/>
  <c r="AT59" i="32"/>
  <c r="AZ57" i="32"/>
  <c r="AR59" i="32"/>
  <c r="AZ66" i="32"/>
  <c r="BB64" i="32"/>
  <c r="BC61" i="32"/>
  <c r="AW60" i="32"/>
  <c r="AY58" i="32"/>
  <c r="AU62" i="32"/>
  <c r="AV63" i="32"/>
  <c r="BC66" i="32"/>
  <c r="AV59" i="32"/>
  <c r="AY66" i="32"/>
  <c r="AY62" i="32"/>
  <c r="BB58" i="32"/>
  <c r="BB66" i="32"/>
  <c r="BC62" i="32"/>
  <c r="BC58" i="32"/>
  <c r="BC67" i="32"/>
  <c r="AS65" i="32"/>
  <c r="AT62" i="32"/>
  <c r="AU59" i="32"/>
  <c r="AR57" i="32"/>
  <c r="AX67" i="32"/>
  <c r="AS66" i="32"/>
  <c r="AY64" i="32"/>
  <c r="AT63" i="32"/>
  <c r="AZ61" i="32"/>
  <c r="AU60" i="32"/>
  <c r="BA58" i="32"/>
  <c r="AV57" i="32"/>
  <c r="BA67" i="32"/>
  <c r="AV66" i="32"/>
  <c r="AT64" i="32"/>
  <c r="AU61" i="32"/>
  <c r="AX57" i="32"/>
  <c r="AV60" i="32"/>
  <c r="AR58" i="32"/>
  <c r="AU58" i="32"/>
  <c r="AX61" i="32"/>
  <c r="AT65" i="32"/>
  <c r="AW57" i="32"/>
  <c r="AX65" i="32"/>
  <c r="BA61" i="32"/>
  <c r="BB57" i="32"/>
  <c r="BB65" i="32"/>
  <c r="BB61" i="32"/>
  <c r="AT58" i="32"/>
  <c r="AU67" i="32"/>
  <c r="AV64" i="32"/>
  <c r="AW61" i="32"/>
  <c r="AX58" i="32"/>
  <c r="AR64" i="32"/>
  <c r="AT67" i="32"/>
  <c r="AZ65" i="32"/>
  <c r="AU64" i="32"/>
  <c r="BA62" i="32"/>
  <c r="AV61" i="32"/>
  <c r="BB59" i="32"/>
  <c r="AW58" i="32"/>
  <c r="AR67" i="32"/>
  <c r="AW67" i="32"/>
  <c r="AY65" i="32"/>
  <c r="AW63" i="32"/>
  <c r="BA59" i="32"/>
  <c r="AW64" i="32"/>
  <c r="AU66" i="32"/>
  <c r="AS64" i="32"/>
  <c r="AV67" i="32"/>
  <c r="AY59" i="32"/>
  <c r="AU63" i="32"/>
  <c r="AR62" i="32"/>
  <c r="AZ64" i="32"/>
  <c r="BA60" i="32"/>
  <c r="AR66" i="32"/>
  <c r="BA64" i="32"/>
  <c r="AS61" i="32"/>
  <c r="AT57" i="32"/>
  <c r="AX66" i="32"/>
  <c r="AY63" i="32"/>
  <c r="AZ60" i="32"/>
  <c r="BA57" i="32"/>
  <c r="AR60" i="32"/>
  <c r="BI62" i="32" s="1"/>
  <c r="BA66" i="32"/>
  <c r="AV65" i="32"/>
  <c r="BB63" i="32"/>
  <c r="AW62" i="32"/>
  <c r="BC60" i="32"/>
  <c r="AX59" i="32"/>
  <c r="AS58" i="32"/>
  <c r="AR63" i="32"/>
  <c r="AS67" i="32"/>
  <c r="AU65" i="32"/>
  <c r="AZ62" i="32"/>
  <c r="AV58" i="32"/>
  <c r="BA63" i="32"/>
  <c r="AV62" i="32"/>
  <c r="BB60" i="32"/>
  <c r="AW59" i="32"/>
  <c r="BC57" i="32"/>
  <c r="AX60" i="32"/>
  <c r="AS59" i="32"/>
  <c r="AY57" i="32"/>
  <c r="BC65" i="32"/>
  <c r="AX64" i="32"/>
  <c r="AS63" i="32"/>
  <c r="AY61" i="32"/>
  <c r="AT60" i="32"/>
  <c r="AZ58" i="32"/>
  <c r="BI38" i="32"/>
  <c r="BK50" i="4"/>
  <c r="CF74" i="4"/>
  <c r="N8" i="8" s="1"/>
  <c r="N7" i="8" s="1"/>
  <c r="BG50" i="4"/>
  <c r="AT45" i="4" s="1"/>
  <c r="Q59" i="8" s="1"/>
  <c r="CF50" i="4"/>
  <c r="S132" i="6" s="1"/>
  <c r="S47" i="6" s="1"/>
  <c r="BK74" i="4"/>
  <c r="W22" i="6"/>
  <c r="BR45" i="4"/>
  <c r="T190" i="3"/>
  <c r="V190" i="3" s="1"/>
  <c r="V189" i="3" s="1"/>
  <c r="T100" i="3"/>
  <c r="T99" i="3" s="1"/>
  <c r="U9" i="3"/>
  <c r="T193" i="3"/>
  <c r="T204" i="3" s="1"/>
  <c r="U12" i="3"/>
  <c r="T103" i="3"/>
  <c r="U103" i="3" s="1"/>
  <c r="U102" i="3" s="1"/>
  <c r="W19" i="6"/>
  <c r="BR69" i="4"/>
  <c r="X34" i="8"/>
  <c r="X33" i="8" s="1"/>
  <c r="W77" i="6"/>
  <c r="W161" i="6" s="1"/>
  <c r="W345" i="6" s="1"/>
  <c r="W527" i="6" s="1"/>
  <c r="AX71" i="4"/>
  <c r="AX73" i="4"/>
  <c r="T55" i="3" s="1"/>
  <c r="T54" i="3" s="1"/>
  <c r="X262" i="6"/>
  <c r="X446" i="6" s="1"/>
  <c r="Y262" i="6"/>
  <c r="Y446" i="6" s="1"/>
  <c r="W262" i="6"/>
  <c r="W446" i="6" s="1"/>
  <c r="W25" i="6"/>
  <c r="BR20" i="4"/>
  <c r="T196" i="3"/>
  <c r="T106" i="3"/>
  <c r="U106" i="3" s="1"/>
  <c r="U15" i="3"/>
  <c r="R13" i="3"/>
  <c r="U28" i="3"/>
  <c r="U27" i="3" s="1"/>
  <c r="V118" i="3"/>
  <c r="T208" i="3"/>
  <c r="V208" i="3" s="1"/>
  <c r="T118" i="3"/>
  <c r="U118" i="3"/>
  <c r="CF25" i="4"/>
  <c r="S135" i="6" s="1"/>
  <c r="T317" i="6" s="1"/>
  <c r="S589" i="6"/>
  <c r="S595" i="6"/>
  <c r="S593" i="6"/>
  <c r="S591" i="6"/>
  <c r="S594" i="6"/>
  <c r="S590" i="6"/>
  <c r="S592" i="6"/>
  <c r="S584" i="6"/>
  <c r="S583" i="6"/>
  <c r="S581" i="6"/>
  <c r="S586" i="6"/>
  <c r="S585" i="6"/>
  <c r="S580" i="6"/>
  <c r="S582" i="6"/>
  <c r="S303" i="3"/>
  <c r="S300" i="3"/>
  <c r="S305" i="3"/>
  <c r="S302" i="3"/>
  <c r="S304" i="3"/>
  <c r="S301" i="3"/>
  <c r="S306" i="3"/>
  <c r="L283" i="3"/>
  <c r="L285" i="3"/>
  <c r="L279" i="3"/>
  <c r="L282" i="3"/>
  <c r="L284" i="3"/>
  <c r="L280" i="3"/>
  <c r="L281" i="3"/>
  <c r="V241" i="3"/>
  <c r="V240" i="3" s="1"/>
  <c r="U241" i="3"/>
  <c r="U240" i="3" s="1"/>
  <c r="T241" i="3"/>
  <c r="T240" i="3" s="1"/>
  <c r="S93" i="6"/>
  <c r="T275" i="6" s="1"/>
  <c r="T459" i="6" s="1"/>
  <c r="U45" i="8"/>
  <c r="U44" i="8" s="1"/>
  <c r="X22" i="8"/>
  <c r="W45" i="8"/>
  <c r="W44" i="8" s="1"/>
  <c r="Z22" i="8"/>
  <c r="U42" i="8"/>
  <c r="U41" i="8" s="1"/>
  <c r="X19" i="8"/>
  <c r="X374" i="6"/>
  <c r="AV193" i="6"/>
  <c r="AV377" i="6" s="1"/>
  <c r="AV194" i="6"/>
  <c r="AV195" i="6"/>
  <c r="P79" i="3"/>
  <c r="P78" i="3" s="1"/>
  <c r="S87" i="6"/>
  <c r="O66" i="3"/>
  <c r="O67" i="3" s="1"/>
  <c r="W62" i="6"/>
  <c r="Q55" i="8"/>
  <c r="T245" i="3"/>
  <c r="U54" i="3"/>
  <c r="U144" i="3" s="1"/>
  <c r="U64" i="3"/>
  <c r="U154" i="3" s="1"/>
  <c r="U244" i="3" s="1"/>
  <c r="U145" i="3"/>
  <c r="X26" i="8"/>
  <c r="X25" i="8" s="1"/>
  <c r="W68" i="6"/>
  <c r="T251" i="3"/>
  <c r="T248" i="3"/>
  <c r="T115" i="3"/>
  <c r="AV248" i="3"/>
  <c r="AM18" i="3"/>
  <c r="R172" i="3"/>
  <c r="R262" i="3" s="1"/>
  <c r="R81" i="3"/>
  <c r="R171" i="3" s="1"/>
  <c r="R261" i="3" s="1"/>
  <c r="Y23" i="8"/>
  <c r="X65" i="6"/>
  <c r="V65" i="3"/>
  <c r="W65" i="6"/>
  <c r="U25" i="3"/>
  <c r="U24" i="3" s="1"/>
  <c r="T112" i="3"/>
  <c r="U112" i="3" s="1"/>
  <c r="Y150" i="6"/>
  <c r="Y149" i="6" s="1"/>
  <c r="Y76" i="6"/>
  <c r="S559" i="6" s="1"/>
  <c r="Y64" i="6"/>
  <c r="U158" i="3"/>
  <c r="U248" i="3" s="1"/>
  <c r="Q82" i="3"/>
  <c r="T89" i="6"/>
  <c r="R59" i="8"/>
  <c r="R58" i="8" s="1"/>
  <c r="V67" i="3"/>
  <c r="V148" i="3"/>
  <c r="V57" i="3"/>
  <c r="X62" i="6"/>
  <c r="Y20" i="8"/>
  <c r="Y19" i="8" s="1"/>
  <c r="Z20" i="8"/>
  <c r="Z19" i="8" s="1"/>
  <c r="Y62" i="6"/>
  <c r="U22" i="3"/>
  <c r="U21" i="3" s="1"/>
  <c r="T202" i="3"/>
  <c r="U202" i="3" s="1"/>
  <c r="S56" i="8"/>
  <c r="R79" i="3"/>
  <c r="U173" i="6"/>
  <c r="S569" i="6"/>
  <c r="S573" i="6"/>
  <c r="S570" i="6"/>
  <c r="S574" i="6"/>
  <c r="S571" i="6"/>
  <c r="S572" i="6"/>
  <c r="T58" i="3"/>
  <c r="V205" i="3"/>
  <c r="U205" i="3"/>
  <c r="Z380" i="6"/>
  <c r="Z377" i="6"/>
  <c r="Y348" i="6"/>
  <c r="Y530" i="6" s="1"/>
  <c r="X348" i="6"/>
  <c r="X530" i="6" s="1"/>
  <c r="W348" i="6"/>
  <c r="W530" i="6" s="1"/>
  <c r="O111" i="6"/>
  <c r="O293" i="6" s="1"/>
  <c r="O477" i="6" s="1"/>
  <c r="Z374" i="6"/>
  <c r="S193" i="6"/>
  <c r="S377" i="6" s="1"/>
  <c r="S195" i="6"/>
  <c r="S379" i="6" s="1"/>
  <c r="S194" i="6"/>
  <c r="S378" i="6" s="1"/>
  <c r="X217" i="6"/>
  <c r="W217" i="6"/>
  <c r="W401" i="6" s="1"/>
  <c r="Y217" i="6"/>
  <c r="Y220" i="6"/>
  <c r="W220" i="6"/>
  <c r="W404" i="6" s="1"/>
  <c r="X220" i="6"/>
  <c r="X404" i="6" s="1"/>
  <c r="T150" i="3"/>
  <c r="T160" i="3"/>
  <c r="T250" i="3" s="1"/>
  <c r="S35" i="6"/>
  <c r="BF41" i="32" l="1"/>
  <c r="BF38" i="32"/>
  <c r="P85" i="3"/>
  <c r="BG36" i="32"/>
  <c r="AH59" i="32"/>
  <c r="BI37" i="32"/>
  <c r="BJ41" i="32"/>
  <c r="BI36" i="32"/>
  <c r="BJ36" i="32" s="1"/>
  <c r="BF40" i="32"/>
  <c r="U67" i="3"/>
  <c r="U157" i="3" s="1"/>
  <c r="U247" i="3" s="1"/>
  <c r="R283" i="3"/>
  <c r="BF37" i="32"/>
  <c r="R285" i="3"/>
  <c r="U148" i="3"/>
  <c r="R279" i="3"/>
  <c r="R56" i="8"/>
  <c r="M56" i="8" s="1"/>
  <c r="M60" i="8" s="1"/>
  <c r="R281" i="3"/>
  <c r="R280" i="3"/>
  <c r="BF36" i="32"/>
  <c r="Q79" i="3"/>
  <c r="L79" i="3" s="1"/>
  <c r="U57" i="3"/>
  <c r="U147" i="3" s="1"/>
  <c r="R282" i="3"/>
  <c r="BG41" i="32"/>
  <c r="BG38" i="32"/>
  <c r="AK59" i="32"/>
  <c r="AS37" i="3"/>
  <c r="AS36" i="3" s="1"/>
  <c r="AQ8" i="8"/>
  <c r="AQ7" i="8" s="1"/>
  <c r="AH47" i="34"/>
  <c r="AH49" i="34" s="1"/>
  <c r="AI59" i="34"/>
  <c r="AL59" i="34"/>
  <c r="AK61" i="34"/>
  <c r="AH61" i="34"/>
  <c r="AI64" i="34"/>
  <c r="AL64" i="34"/>
  <c r="AH39" i="33"/>
  <c r="AK39" i="33"/>
  <c r="AH64" i="33"/>
  <c r="AK64" i="33"/>
  <c r="AI62" i="33"/>
  <c r="AL62" i="33"/>
  <c r="AL59" i="33"/>
  <c r="AI59" i="33"/>
  <c r="AK60" i="34"/>
  <c r="AH60" i="34"/>
  <c r="AK64" i="34"/>
  <c r="AH64" i="34"/>
  <c r="AK59" i="34"/>
  <c r="AH59" i="34"/>
  <c r="AL61" i="34"/>
  <c r="AI61" i="34"/>
  <c r="AI62" i="34"/>
  <c r="AL62" i="34"/>
  <c r="AH41" i="33"/>
  <c r="AK41" i="33"/>
  <c r="AL37" i="33"/>
  <c r="AI37" i="33"/>
  <c r="AK40" i="33"/>
  <c r="AH40" i="33"/>
  <c r="AL40" i="33"/>
  <c r="AI40" i="33"/>
  <c r="AH61" i="33"/>
  <c r="AK61" i="33"/>
  <c r="AK60" i="33"/>
  <c r="AH60" i="33"/>
  <c r="AI60" i="33"/>
  <c r="AL60" i="33"/>
  <c r="AK62" i="33"/>
  <c r="AH62" i="33"/>
  <c r="AK63" i="34"/>
  <c r="AH63" i="34"/>
  <c r="AI60" i="34"/>
  <c r="AL60" i="34"/>
  <c r="AI39" i="33"/>
  <c r="AL39" i="33"/>
  <c r="AI41" i="33"/>
  <c r="AL41" i="33"/>
  <c r="AH36" i="33"/>
  <c r="AK36" i="33"/>
  <c r="AI38" i="33"/>
  <c r="AL38" i="33"/>
  <c r="AH63" i="33"/>
  <c r="AK63" i="33"/>
  <c r="AI63" i="33"/>
  <c r="AL63" i="33"/>
  <c r="AL47" i="34"/>
  <c r="AL49" i="34" s="1"/>
  <c r="AW68" i="3" s="1"/>
  <c r="AK47" i="34"/>
  <c r="AK49" i="34" s="1"/>
  <c r="AH62" i="34"/>
  <c r="AK62" i="34"/>
  <c r="AI63" i="34"/>
  <c r="AL63" i="34"/>
  <c r="AK37" i="33"/>
  <c r="AH37" i="33"/>
  <c r="AL36" i="33"/>
  <c r="AI36" i="33"/>
  <c r="AK38" i="33"/>
  <c r="AH38" i="33"/>
  <c r="AI64" i="33"/>
  <c r="AL64" i="33"/>
  <c r="AK59" i="33"/>
  <c r="AK70" i="33" s="1"/>
  <c r="AK72" i="33" s="1"/>
  <c r="AH59" i="33"/>
  <c r="AL61" i="33"/>
  <c r="AI61" i="33"/>
  <c r="AI47" i="34"/>
  <c r="AI49" i="34" s="1"/>
  <c r="BI61" i="32"/>
  <c r="BJ61" i="32" s="1"/>
  <c r="BB293" i="6"/>
  <c r="BB477" i="6" s="1"/>
  <c r="BB110" i="6"/>
  <c r="BB292" i="6" s="1"/>
  <c r="BB476" i="6" s="1"/>
  <c r="BB120" i="6"/>
  <c r="BB302" i="6" s="1"/>
  <c r="BB486" i="6" s="1"/>
  <c r="BB303" i="6"/>
  <c r="BB487" i="6" s="1"/>
  <c r="AX43" i="6"/>
  <c r="AX129" i="6"/>
  <c r="BB21" i="6"/>
  <c r="AV20" i="6"/>
  <c r="AM581" i="6"/>
  <c r="BC7" i="6"/>
  <c r="AM582" i="6"/>
  <c r="AM586" i="6"/>
  <c r="AM584" i="6"/>
  <c r="BB35" i="6"/>
  <c r="AM580" i="6"/>
  <c r="AM585" i="6"/>
  <c r="AM583" i="6"/>
  <c r="BC11" i="6"/>
  <c r="BJ50" i="34"/>
  <c r="AX47" i="6" s="1"/>
  <c r="AR45" i="6" s="1"/>
  <c r="AX13" i="3"/>
  <c r="BG50" i="34"/>
  <c r="S19" i="6"/>
  <c r="AI60" i="32"/>
  <c r="AI59" i="32"/>
  <c r="Y31" i="8"/>
  <c r="X74" i="6"/>
  <c r="X158" i="6" s="1"/>
  <c r="BF39" i="32"/>
  <c r="AI61" i="32"/>
  <c r="AL63" i="32"/>
  <c r="AI64" i="32"/>
  <c r="AK64" i="32"/>
  <c r="AH62" i="32"/>
  <c r="BG40" i="32"/>
  <c r="AK62" i="32"/>
  <c r="AH60" i="32"/>
  <c r="BG37" i="32"/>
  <c r="BG39" i="32"/>
  <c r="AI63" i="32"/>
  <c r="AL64" i="32"/>
  <c r="AI37" i="32"/>
  <c r="AH36" i="32"/>
  <c r="AH40" i="32"/>
  <c r="AI62" i="32"/>
  <c r="AL62" i="32"/>
  <c r="BF64" i="32"/>
  <c r="AK63" i="32"/>
  <c r="AK39" i="32"/>
  <c r="BJ40" i="32"/>
  <c r="AL39" i="32"/>
  <c r="AH64" i="32"/>
  <c r="AK60" i="32"/>
  <c r="AH37" i="32"/>
  <c r="AH41" i="32"/>
  <c r="AH63" i="32"/>
  <c r="AL59" i="32"/>
  <c r="AI41" i="32"/>
  <c r="AL41" i="32"/>
  <c r="AK41" i="32"/>
  <c r="AK61" i="32"/>
  <c r="AL61" i="32"/>
  <c r="AI38" i="32"/>
  <c r="AK36" i="32"/>
  <c r="AI36" i="32"/>
  <c r="X69" i="32"/>
  <c r="AH61" i="32"/>
  <c r="AL60" i="32"/>
  <c r="AL40" i="32"/>
  <c r="AL36" i="32"/>
  <c r="AL37" i="32"/>
  <c r="AI39" i="32"/>
  <c r="AL38" i="32"/>
  <c r="BJ37" i="32"/>
  <c r="AK38" i="32"/>
  <c r="AI40" i="32"/>
  <c r="X46" i="32"/>
  <c r="BF62" i="32"/>
  <c r="AK40" i="32"/>
  <c r="AH39" i="32"/>
  <c r="BJ39" i="32"/>
  <c r="AZ47" i="32"/>
  <c r="AK37" i="32"/>
  <c r="AH38" i="32"/>
  <c r="BJ38" i="32"/>
  <c r="BG64" i="32"/>
  <c r="BG62" i="32"/>
  <c r="BJ62" i="32"/>
  <c r="BF61" i="32"/>
  <c r="BG61" i="32"/>
  <c r="BJ64" i="32"/>
  <c r="BI60" i="32"/>
  <c r="BJ60" i="32" s="1"/>
  <c r="BJ63" i="32"/>
  <c r="BG59" i="32"/>
  <c r="BF60" i="32"/>
  <c r="BG60" i="32"/>
  <c r="BG63" i="32"/>
  <c r="AZ70" i="32"/>
  <c r="BI59" i="32"/>
  <c r="BF63" i="32"/>
  <c r="BF59" i="32"/>
  <c r="P37" i="3"/>
  <c r="P36" i="3" s="1"/>
  <c r="H10" i="32"/>
  <c r="Z15" i="32" s="1"/>
  <c r="P82" i="3"/>
  <c r="P81" i="3" s="1"/>
  <c r="P171" i="3" s="1"/>
  <c r="P261" i="3" s="1"/>
  <c r="S90" i="6"/>
  <c r="T272" i="6" s="1"/>
  <c r="T271" i="6" s="1"/>
  <c r="T455" i="6" s="1"/>
  <c r="S129" i="6"/>
  <c r="S128" i="6" s="1"/>
  <c r="S310" i="6" s="1"/>
  <c r="S494" i="6" s="1"/>
  <c r="T64" i="3"/>
  <c r="T154" i="3" s="1"/>
  <c r="T145" i="3"/>
  <c r="U235" i="3" s="1"/>
  <c r="U234" i="3" s="1"/>
  <c r="T189" i="3"/>
  <c r="S131" i="6"/>
  <c r="S313" i="6" s="1"/>
  <c r="S497" i="6" s="1"/>
  <c r="Y259" i="6"/>
  <c r="Y443" i="6" s="1"/>
  <c r="V103" i="3"/>
  <c r="V102" i="3" s="1"/>
  <c r="T102" i="3"/>
  <c r="W259" i="6"/>
  <c r="W443" i="6" s="1"/>
  <c r="N11" i="8"/>
  <c r="N10" i="8" s="1"/>
  <c r="U100" i="3"/>
  <c r="U111" i="3" s="1"/>
  <c r="U190" i="3"/>
  <c r="U189" i="3" s="1"/>
  <c r="T114" i="3"/>
  <c r="X259" i="6"/>
  <c r="X443" i="6" s="1"/>
  <c r="P40" i="3"/>
  <c r="P39" i="3" s="1"/>
  <c r="V100" i="3"/>
  <c r="V99" i="3" s="1"/>
  <c r="X31" i="8"/>
  <c r="W74" i="6"/>
  <c r="U193" i="3"/>
  <c r="U192" i="3" s="1"/>
  <c r="T192" i="3"/>
  <c r="V193" i="3"/>
  <c r="V192" i="3" s="1"/>
  <c r="Y201" i="6"/>
  <c r="Y200" i="6" s="1"/>
  <c r="W201" i="6"/>
  <c r="W385" i="6" s="1"/>
  <c r="X201" i="6"/>
  <c r="X204" i="6"/>
  <c r="W204" i="6"/>
  <c r="W388" i="6" s="1"/>
  <c r="Y204" i="6"/>
  <c r="Y203" i="6" s="1"/>
  <c r="U208" i="3"/>
  <c r="U117" i="3"/>
  <c r="U105" i="3"/>
  <c r="W121" i="6"/>
  <c r="W303" i="6" s="1"/>
  <c r="W487" i="6" s="1"/>
  <c r="S317" i="6"/>
  <c r="S501" i="6" s="1"/>
  <c r="T117" i="3"/>
  <c r="N14" i="8"/>
  <c r="N13" i="8" s="1"/>
  <c r="S50" i="6"/>
  <c r="T232" i="6" s="1"/>
  <c r="T416" i="6" s="1"/>
  <c r="V196" i="3"/>
  <c r="U196" i="3"/>
  <c r="U195" i="3" s="1"/>
  <c r="T195" i="3"/>
  <c r="W111" i="6"/>
  <c r="W293" i="6" s="1"/>
  <c r="W477" i="6" s="1"/>
  <c r="U317" i="6"/>
  <c r="U501" i="6" s="1"/>
  <c r="V106" i="3"/>
  <c r="V105" i="3" s="1"/>
  <c r="P43" i="3"/>
  <c r="Q133" i="3" s="1"/>
  <c r="Q132" i="3" s="1"/>
  <c r="Q222" i="3" s="1"/>
  <c r="S134" i="6"/>
  <c r="S316" i="6" s="1"/>
  <c r="S500" i="6" s="1"/>
  <c r="T105" i="3"/>
  <c r="T207" i="3"/>
  <c r="S21" i="6"/>
  <c r="S203" i="6" s="1"/>
  <c r="S387" i="6" s="1"/>
  <c r="X207" i="6"/>
  <c r="Y207" i="6"/>
  <c r="W207" i="6"/>
  <c r="W391" i="6" s="1"/>
  <c r="M592" i="6"/>
  <c r="M590" i="6"/>
  <c r="M593" i="6"/>
  <c r="M594" i="6"/>
  <c r="M595" i="6"/>
  <c r="M589" i="6"/>
  <c r="M591" i="6"/>
  <c r="M581" i="6"/>
  <c r="M582" i="6"/>
  <c r="M585" i="6"/>
  <c r="M580" i="6"/>
  <c r="M584" i="6"/>
  <c r="M583" i="6"/>
  <c r="M586" i="6"/>
  <c r="R570" i="6"/>
  <c r="R568" i="6"/>
  <c r="R573" i="6"/>
  <c r="R571" i="6"/>
  <c r="R569" i="6"/>
  <c r="R574" i="6"/>
  <c r="R572" i="6"/>
  <c r="R559" i="6"/>
  <c r="R563" i="6"/>
  <c r="R562" i="6"/>
  <c r="R565" i="6"/>
  <c r="R560" i="6"/>
  <c r="R561" i="6"/>
  <c r="R564" i="6"/>
  <c r="L572" i="6"/>
  <c r="L568" i="6"/>
  <c r="L573" i="6"/>
  <c r="L569" i="6"/>
  <c r="L571" i="6"/>
  <c r="L574" i="6"/>
  <c r="L570" i="6"/>
  <c r="L560" i="6"/>
  <c r="L565" i="6"/>
  <c r="L564" i="6"/>
  <c r="L563" i="6"/>
  <c r="L559" i="6"/>
  <c r="L561" i="6"/>
  <c r="L562" i="6"/>
  <c r="T67" i="3"/>
  <c r="T57" i="3"/>
  <c r="S177" i="6"/>
  <c r="U361" i="6" s="1"/>
  <c r="U543" i="6" s="1"/>
  <c r="T274" i="6"/>
  <c r="T458" i="6" s="1"/>
  <c r="U275" i="6"/>
  <c r="U274" i="6" s="1"/>
  <c r="U458" i="6" s="1"/>
  <c r="S275" i="6"/>
  <c r="S459" i="6" s="1"/>
  <c r="S92" i="6"/>
  <c r="S274" i="6" s="1"/>
  <c r="S458" i="6" s="1"/>
  <c r="Y345" i="6"/>
  <c r="Y527" i="6" s="1"/>
  <c r="P169" i="3"/>
  <c r="P259" i="3" s="1"/>
  <c r="X345" i="6"/>
  <c r="X527" i="6" s="1"/>
  <c r="V45" i="8"/>
  <c r="V44" i="8" s="1"/>
  <c r="Y22" i="8"/>
  <c r="U48" i="8"/>
  <c r="W73" i="6"/>
  <c r="T269" i="6"/>
  <c r="T453" i="6" s="1"/>
  <c r="AV379" i="6"/>
  <c r="AV191" i="6"/>
  <c r="W76" i="6"/>
  <c r="W75" i="6" s="1"/>
  <c r="AV378" i="6"/>
  <c r="AV190" i="6"/>
  <c r="U269" i="6"/>
  <c r="U268" i="6" s="1"/>
  <c r="U452" i="6" s="1"/>
  <c r="S86" i="6"/>
  <c r="S268" i="6" s="1"/>
  <c r="S452" i="6" s="1"/>
  <c r="T314" i="6"/>
  <c r="T313" i="6" s="1"/>
  <c r="T497" i="6" s="1"/>
  <c r="S171" i="6"/>
  <c r="S269" i="6"/>
  <c r="S453" i="6" s="1"/>
  <c r="T23" i="8"/>
  <c r="W108" i="6"/>
  <c r="W107" i="6" s="1"/>
  <c r="W289" i="6" s="1"/>
  <c r="W473" i="6" s="1"/>
  <c r="S314" i="6"/>
  <c r="S498" i="6" s="1"/>
  <c r="U314" i="6"/>
  <c r="U313" i="6" s="1"/>
  <c r="U497" i="6" s="1"/>
  <c r="T111" i="3"/>
  <c r="V112" i="3"/>
  <c r="W118" i="6"/>
  <c r="W117" i="6" s="1"/>
  <c r="W299" i="6" s="1"/>
  <c r="W483" i="6" s="1"/>
  <c r="W147" i="6"/>
  <c r="S229" i="6"/>
  <c r="S413" i="6" s="1"/>
  <c r="T229" i="6"/>
  <c r="T413" i="6" s="1"/>
  <c r="U229" i="6"/>
  <c r="U228" i="6" s="1"/>
  <c r="U412" i="6" s="1"/>
  <c r="L153" i="3"/>
  <c r="L243" i="3" s="1"/>
  <c r="M58" i="8"/>
  <c r="M59" i="8" s="1"/>
  <c r="Q58" i="8"/>
  <c r="Q65" i="8" s="1"/>
  <c r="W150" i="6"/>
  <c r="V202" i="3"/>
  <c r="V201" i="3" s="1"/>
  <c r="W67" i="6"/>
  <c r="W153" i="6"/>
  <c r="W79" i="6"/>
  <c r="P84" i="3"/>
  <c r="P175" i="3"/>
  <c r="P265" i="3" s="1"/>
  <c r="T201" i="3"/>
  <c r="O23" i="3"/>
  <c r="O24" i="3" s="1"/>
  <c r="AV245" i="3"/>
  <c r="AW245" i="3"/>
  <c r="V115" i="3"/>
  <c r="U115" i="3"/>
  <c r="U114" i="3" s="1"/>
  <c r="V155" i="3"/>
  <c r="V245" i="3" s="1"/>
  <c r="L594" i="6"/>
  <c r="L593" i="6"/>
  <c r="L592" i="6"/>
  <c r="L595" i="6"/>
  <c r="T170" i="6"/>
  <c r="L590" i="6"/>
  <c r="L591" i="6"/>
  <c r="O171" i="6"/>
  <c r="O175" i="6" s="1"/>
  <c r="T86" i="6"/>
  <c r="O87" i="6"/>
  <c r="O91" i="6" s="1"/>
  <c r="V64" i="3"/>
  <c r="S55" i="8"/>
  <c r="M57" i="8"/>
  <c r="M61" i="8" s="1"/>
  <c r="V147" i="3"/>
  <c r="V157" i="3"/>
  <c r="V247" i="3" s="1"/>
  <c r="Q172" i="3"/>
  <c r="Q262" i="3" s="1"/>
  <c r="Q81" i="3"/>
  <c r="Q171" i="3" s="1"/>
  <c r="Q261" i="3" s="1"/>
  <c r="S561" i="6"/>
  <c r="S560" i="6"/>
  <c r="S563" i="6"/>
  <c r="S562" i="6"/>
  <c r="S564" i="6"/>
  <c r="S565" i="6"/>
  <c r="Y160" i="6"/>
  <c r="Y159" i="6" s="1"/>
  <c r="Y75" i="6"/>
  <c r="Y61" i="6"/>
  <c r="Y73" i="6"/>
  <c r="M559" i="6" s="1"/>
  <c r="Y147" i="6"/>
  <c r="Y146" i="6" s="1"/>
  <c r="V42" i="8"/>
  <c r="T24" i="8"/>
  <c r="U86" i="6"/>
  <c r="O88" i="6"/>
  <c r="O92" i="6" s="1"/>
  <c r="L80" i="3"/>
  <c r="R169" i="3"/>
  <c r="R259" i="3" s="1"/>
  <c r="R78" i="3"/>
  <c r="R168" i="3" s="1"/>
  <c r="R258" i="3" s="1"/>
  <c r="M569" i="6"/>
  <c r="M571" i="6"/>
  <c r="M572" i="6"/>
  <c r="U170" i="6"/>
  <c r="M570" i="6"/>
  <c r="M574" i="6"/>
  <c r="M573" i="6"/>
  <c r="O172" i="6"/>
  <c r="O176" i="6" s="1"/>
  <c r="T25" i="8"/>
  <c r="W42" i="8"/>
  <c r="X73" i="6"/>
  <c r="L580" i="6" s="1"/>
  <c r="X147" i="6"/>
  <c r="X146" i="6" s="1"/>
  <c r="U155" i="3"/>
  <c r="U245" i="3" s="1"/>
  <c r="R55" i="8"/>
  <c r="R592" i="6"/>
  <c r="R594" i="6"/>
  <c r="R595" i="6"/>
  <c r="R593" i="6"/>
  <c r="R590" i="6"/>
  <c r="T173" i="6"/>
  <c r="R591" i="6"/>
  <c r="X76" i="6"/>
  <c r="R580" i="6" s="1"/>
  <c r="X150" i="6"/>
  <c r="X149" i="6" s="1"/>
  <c r="T148" i="3"/>
  <c r="S191" i="6"/>
  <c r="X250" i="6"/>
  <c r="W250" i="6"/>
  <c r="W434" i="6" s="1"/>
  <c r="Y250" i="6"/>
  <c r="Y404" i="6"/>
  <c r="Y219" i="6"/>
  <c r="Y401" i="6"/>
  <c r="Y216" i="6"/>
  <c r="X401" i="6"/>
  <c r="T316" i="6"/>
  <c r="T500" i="6" s="1"/>
  <c r="T501" i="6"/>
  <c r="X223" i="6"/>
  <c r="X407" i="6" s="1"/>
  <c r="Y223" i="6"/>
  <c r="W223" i="6"/>
  <c r="W407" i="6" s="1"/>
  <c r="X61" i="6"/>
  <c r="X64" i="6"/>
  <c r="T45" i="3"/>
  <c r="T144" i="3"/>
  <c r="P168" i="3"/>
  <c r="P258" i="3" s="1"/>
  <c r="L199" i="3"/>
  <c r="L198" i="3" s="1"/>
  <c r="P102" i="3"/>
  <c r="U6" i="3"/>
  <c r="S37" i="6"/>
  <c r="Q78" i="3" l="1"/>
  <c r="Q168" i="3" s="1"/>
  <c r="Q258" i="3" s="1"/>
  <c r="BI47" i="32"/>
  <c r="BI49" i="32" s="1"/>
  <c r="BA11" i="6" s="1"/>
  <c r="BA193" i="6" s="1"/>
  <c r="BB193" i="6" s="1"/>
  <c r="BA220" i="6" s="1"/>
  <c r="BA404" i="6" s="1"/>
  <c r="BA403" i="6" s="1"/>
  <c r="Q169" i="3"/>
  <c r="Q259" i="3" s="1"/>
  <c r="BF47" i="32"/>
  <c r="BF49" i="32" s="1"/>
  <c r="AV13" i="3" s="1"/>
  <c r="AH70" i="33"/>
  <c r="AH72" i="33" s="1"/>
  <c r="BA62" i="6" s="1"/>
  <c r="AZ20" i="8"/>
  <c r="AI47" i="33"/>
  <c r="AI49" i="33" s="1"/>
  <c r="BA77" i="6" s="1"/>
  <c r="AL47" i="33"/>
  <c r="AL49" i="33" s="1"/>
  <c r="AV68" i="3" s="1"/>
  <c r="AO563" i="6"/>
  <c r="BA147" i="6"/>
  <c r="AO564" i="6"/>
  <c r="BA61" i="6"/>
  <c r="CA147" i="6"/>
  <c r="CA146" i="6" s="1"/>
  <c r="AO559" i="6"/>
  <c r="AO562" i="6"/>
  <c r="BA73" i="6"/>
  <c r="CA157" i="6" s="1"/>
  <c r="AO561" i="6"/>
  <c r="AO560" i="6"/>
  <c r="AO565" i="6"/>
  <c r="AH47" i="33"/>
  <c r="AH49" i="33" s="1"/>
  <c r="AK70" i="34"/>
  <c r="AK72" i="34" s="1"/>
  <c r="AI70" i="33"/>
  <c r="AI72" i="33" s="1"/>
  <c r="AL70" i="34"/>
  <c r="AL72" i="34" s="1"/>
  <c r="AW65" i="3" s="1"/>
  <c r="BB77" i="6"/>
  <c r="BA34" i="8"/>
  <c r="BA33" i="8" s="1"/>
  <c r="AV55" i="3"/>
  <c r="AL70" i="33"/>
  <c r="AL72" i="33" s="1"/>
  <c r="AV65" i="3" s="1"/>
  <c r="AI70" i="34"/>
  <c r="AI72" i="34" s="1"/>
  <c r="AW58" i="3"/>
  <c r="AL50" i="34"/>
  <c r="AS82" i="3" s="1"/>
  <c r="AK47" i="33"/>
  <c r="AK49" i="33" s="1"/>
  <c r="AH70" i="34"/>
  <c r="AH72" i="34" s="1"/>
  <c r="BB65" i="6"/>
  <c r="BA23" i="8"/>
  <c r="AI50" i="34"/>
  <c r="AS581" i="6"/>
  <c r="AS584" i="6"/>
  <c r="AS582" i="6"/>
  <c r="BC10" i="6"/>
  <c r="AS586" i="6"/>
  <c r="BB38" i="6"/>
  <c r="AV36" i="6" s="1"/>
  <c r="AS580" i="6"/>
  <c r="AS583" i="6"/>
  <c r="AS585" i="6"/>
  <c r="AV13" i="6"/>
  <c r="AS40" i="3"/>
  <c r="AQ11" i="8"/>
  <c r="AM562" i="6"/>
  <c r="AM561" i="6"/>
  <c r="AM565" i="6"/>
  <c r="AM563" i="6"/>
  <c r="BB34" i="6"/>
  <c r="AM560" i="6"/>
  <c r="AM559" i="6"/>
  <c r="AM564" i="6"/>
  <c r="AM574" i="6"/>
  <c r="AM570" i="6"/>
  <c r="AX128" i="6"/>
  <c r="AM572" i="6"/>
  <c r="AM569" i="6"/>
  <c r="BB105" i="6"/>
  <c r="AM568" i="6"/>
  <c r="BB115" i="6"/>
  <c r="AM571" i="6"/>
  <c r="AM573" i="6"/>
  <c r="AQ303" i="3"/>
  <c r="AQ305" i="3"/>
  <c r="AS15" i="3"/>
  <c r="AS10" i="3" s="1"/>
  <c r="AQ304" i="3"/>
  <c r="AQ302" i="3"/>
  <c r="AX24" i="3"/>
  <c r="AQ300" i="3"/>
  <c r="AX12" i="3"/>
  <c r="AQ306" i="3"/>
  <c r="AQ301" i="3"/>
  <c r="AX46" i="6"/>
  <c r="AX132" i="6"/>
  <c r="AR130" i="6" s="1"/>
  <c r="AR134" i="6" s="1"/>
  <c r="AO571" i="6"/>
  <c r="BA146" i="6"/>
  <c r="AO570" i="6"/>
  <c r="AO574" i="6"/>
  <c r="AO569" i="6"/>
  <c r="Y30" i="8"/>
  <c r="T36" i="8"/>
  <c r="AI70" i="32"/>
  <c r="AI72" i="32" s="1"/>
  <c r="AZ74" i="6" s="1"/>
  <c r="BG47" i="32"/>
  <c r="BG49" i="32" s="1"/>
  <c r="AV25" i="3" s="1"/>
  <c r="AU205" i="3" s="1"/>
  <c r="O89" i="6"/>
  <c r="O90" i="6" s="1"/>
  <c r="O272" i="6" s="1"/>
  <c r="O456" i="6" s="1"/>
  <c r="AL70" i="32"/>
  <c r="AL72" i="32" s="1"/>
  <c r="AU65" i="3" s="1"/>
  <c r="AU155" i="3" s="1"/>
  <c r="AU245" i="3" s="1"/>
  <c r="AK70" i="32"/>
  <c r="AK72" i="32" s="1"/>
  <c r="AU55" i="3" s="1"/>
  <c r="AK47" i="32"/>
  <c r="AK49" i="32" s="1"/>
  <c r="AU58" i="3" s="1"/>
  <c r="AH70" i="32"/>
  <c r="AH72" i="32" s="1"/>
  <c r="AZ62" i="6" s="1"/>
  <c r="AI47" i="32"/>
  <c r="AI49" i="32" s="1"/>
  <c r="AZ77" i="6" s="1"/>
  <c r="AH47" i="32"/>
  <c r="AH49" i="32" s="1"/>
  <c r="AY23" i="8" s="1"/>
  <c r="AL47" i="32"/>
  <c r="AL49" i="32" s="1"/>
  <c r="AU68" i="3" s="1"/>
  <c r="AU158" i="3" s="1"/>
  <c r="AU248" i="3" s="1"/>
  <c r="BI70" i="32"/>
  <c r="BI72" i="32" s="1"/>
  <c r="BA8" i="6" s="1"/>
  <c r="AZ35" i="6" s="1"/>
  <c r="AZ34" i="6" s="1"/>
  <c r="L81" i="3"/>
  <c r="L82" i="3" s="1"/>
  <c r="L172" i="3" s="1"/>
  <c r="L262" i="3" s="1"/>
  <c r="P172" i="3"/>
  <c r="P262" i="3" s="1"/>
  <c r="BJ47" i="32"/>
  <c r="BJ49" i="32" s="1"/>
  <c r="BA10" i="6"/>
  <c r="BA377" i="6"/>
  <c r="AZ220" i="6"/>
  <c r="AZ404" i="6" s="1"/>
  <c r="R127" i="3"/>
  <c r="R217" i="3" s="1"/>
  <c r="T89" i="3"/>
  <c r="T179" i="3" s="1"/>
  <c r="T269" i="3" s="1"/>
  <c r="BJ59" i="32"/>
  <c r="BJ70" i="32" s="1"/>
  <c r="BJ72" i="32" s="1"/>
  <c r="AZ19" i="6" s="1"/>
  <c r="AZ201" i="6" s="1"/>
  <c r="BB201" i="6" s="1"/>
  <c r="BF70" i="32"/>
  <c r="BF72" i="32" s="1"/>
  <c r="AV10" i="3" s="1"/>
  <c r="BG70" i="32"/>
  <c r="BG72" i="32" s="1"/>
  <c r="AV22" i="3" s="1"/>
  <c r="AU112" i="3" s="1"/>
  <c r="BB377" i="6"/>
  <c r="Q127" i="3"/>
  <c r="Q126" i="3" s="1"/>
  <c r="Q216" i="3" s="1"/>
  <c r="T311" i="6"/>
  <c r="T310" i="6" s="1"/>
  <c r="T494" i="6" s="1"/>
  <c r="AY31" i="8"/>
  <c r="AY30" i="8" s="1"/>
  <c r="P127" i="3"/>
  <c r="P217" i="3" s="1"/>
  <c r="P216" i="3" s="1"/>
  <c r="S311" i="6"/>
  <c r="S495" i="6" s="1"/>
  <c r="W105" i="6"/>
  <c r="W104" i="6" s="1"/>
  <c r="W286" i="6" s="1"/>
  <c r="W470" i="6" s="1"/>
  <c r="S44" i="6"/>
  <c r="O46" i="6" s="1"/>
  <c r="O228" i="6" s="1"/>
  <c r="O412" i="6" s="1"/>
  <c r="W115" i="6"/>
  <c r="W297" i="6" s="1"/>
  <c r="W481" i="6" s="1"/>
  <c r="O131" i="6"/>
  <c r="AR312" i="6" s="1"/>
  <c r="AR316" i="6" s="1"/>
  <c r="U311" i="6"/>
  <c r="U310" i="6" s="1"/>
  <c r="U494" i="6" s="1"/>
  <c r="Z16" i="32"/>
  <c r="U272" i="6"/>
  <c r="U456" i="6" s="1"/>
  <c r="Z17" i="32"/>
  <c r="S89" i="6"/>
  <c r="S271" i="6" s="1"/>
  <c r="S455" i="6" s="1"/>
  <c r="S272" i="6"/>
  <c r="S456" i="6" s="1"/>
  <c r="S174" i="6"/>
  <c r="U358" i="6" s="1"/>
  <c r="U357" i="6" s="1"/>
  <c r="U539" i="6" s="1"/>
  <c r="Z13" i="32"/>
  <c r="M10" i="32"/>
  <c r="AC17" i="32"/>
  <c r="AE19" i="32"/>
  <c r="AC21" i="32"/>
  <c r="W23" i="32"/>
  <c r="AA20" i="32"/>
  <c r="T13" i="32"/>
  <c r="AA18" i="32"/>
  <c r="AC20" i="32"/>
  <c r="AA22" i="32"/>
  <c r="AB13" i="32"/>
  <c r="Y18" i="32"/>
  <c r="Z23" i="32"/>
  <c r="AD16" i="32"/>
  <c r="Y19" i="32"/>
  <c r="W21" i="32"/>
  <c r="AB22" i="32"/>
  <c r="U14" i="32"/>
  <c r="AC18" i="32"/>
  <c r="Y22" i="32"/>
  <c r="U17" i="32"/>
  <c r="V21" i="32"/>
  <c r="X17" i="32"/>
  <c r="AA14" i="32"/>
  <c r="V14" i="32"/>
  <c r="Y16" i="32"/>
  <c r="Y15" i="32"/>
  <c r="U13" i="32"/>
  <c r="W19" i="32"/>
  <c r="U21" i="32"/>
  <c r="T15" i="32"/>
  <c r="W15" i="32"/>
  <c r="T18" i="32"/>
  <c r="U19" i="32"/>
  <c r="AD14" i="32"/>
  <c r="Z18" i="32"/>
  <c r="X20" i="32"/>
  <c r="V22" i="32"/>
  <c r="AA23" i="32"/>
  <c r="AB21" i="32"/>
  <c r="AE14" i="32"/>
  <c r="AE18" i="32"/>
  <c r="Z21" i="32"/>
  <c r="AE22" i="32"/>
  <c r="Y14" i="32"/>
  <c r="V19" i="32"/>
  <c r="T16" i="32"/>
  <c r="AA17" i="32"/>
  <c r="AC19" i="32"/>
  <c r="AA21" i="32"/>
  <c r="U23" i="32"/>
  <c r="V15" i="32"/>
  <c r="Z19" i="32"/>
  <c r="V23" i="32"/>
  <c r="AA13" i="32"/>
  <c r="X14" i="32"/>
  <c r="AA16" i="32"/>
  <c r="AB15" i="32"/>
  <c r="T22" i="32"/>
  <c r="T19" i="32"/>
  <c r="T14" i="32"/>
  <c r="V16" i="32"/>
  <c r="X15" i="32"/>
  <c r="W18" i="32"/>
  <c r="V18" i="32"/>
  <c r="U16" i="32"/>
  <c r="V20" i="32"/>
  <c r="AE15" i="32"/>
  <c r="AD18" i="32"/>
  <c r="AB20" i="32"/>
  <c r="Z22" i="32"/>
  <c r="AE23" i="32"/>
  <c r="AC22" i="32"/>
  <c r="AC16" i="32"/>
  <c r="AB19" i="32"/>
  <c r="AD21" i="32"/>
  <c r="X23" i="32"/>
  <c r="AD15" i="32"/>
  <c r="AE20" i="32"/>
  <c r="AE13" i="32"/>
  <c r="AE17" i="32"/>
  <c r="Z20" i="32"/>
  <c r="AE21" i="32"/>
  <c r="Y23" i="32"/>
  <c r="AE16" i="32"/>
  <c r="AD19" i="32"/>
  <c r="T20" i="32"/>
  <c r="W14" i="32"/>
  <c r="T17" i="32"/>
  <c r="X16" i="32"/>
  <c r="X13" i="32"/>
  <c r="X18" i="32"/>
  <c r="V13" i="32"/>
  <c r="V17" i="32"/>
  <c r="W20" i="32"/>
  <c r="W13" i="32"/>
  <c r="T21" i="32"/>
  <c r="U20" i="32"/>
  <c r="U15" i="32"/>
  <c r="AB16" i="32"/>
  <c r="AA19" i="32"/>
  <c r="Y21" i="32"/>
  <c r="AD22" i="32"/>
  <c r="AC14" i="32"/>
  <c r="AD23" i="32"/>
  <c r="AD17" i="32"/>
  <c r="Y20" i="32"/>
  <c r="W22" i="32"/>
  <c r="AB23" i="32"/>
  <c r="AB17" i="32"/>
  <c r="U22" i="32"/>
  <c r="AC15" i="32"/>
  <c r="AB18" i="32"/>
  <c r="AD20" i="32"/>
  <c r="X22" i="32"/>
  <c r="AC23" i="32"/>
  <c r="U18" i="32"/>
  <c r="X21" i="32"/>
  <c r="T23" i="32"/>
  <c r="AA15" i="32"/>
  <c r="Y13" i="32"/>
  <c r="AC13" i="32"/>
  <c r="X19" i="32"/>
  <c r="W17" i="32"/>
  <c r="AB14" i="32"/>
  <c r="W16" i="32"/>
  <c r="Y17" i="32"/>
  <c r="AD13" i="32"/>
  <c r="Z14" i="32"/>
  <c r="V235" i="3"/>
  <c r="V234" i="3" s="1"/>
  <c r="T235" i="3"/>
  <c r="T234" i="3" s="1"/>
  <c r="V114" i="3"/>
  <c r="U201" i="3"/>
  <c r="R130" i="3"/>
  <c r="R220" i="3" s="1"/>
  <c r="Q130" i="3"/>
  <c r="Q129" i="3" s="1"/>
  <c r="Q219" i="3" s="1"/>
  <c r="P130" i="3"/>
  <c r="P220" i="3" s="1"/>
  <c r="P219" i="3" s="1"/>
  <c r="U99" i="3"/>
  <c r="V111" i="3"/>
  <c r="U204" i="3"/>
  <c r="V204" i="3"/>
  <c r="W72" i="6"/>
  <c r="W254" i="6" s="1"/>
  <c r="W438" i="6" s="1"/>
  <c r="S201" i="6"/>
  <c r="S385" i="6" s="1"/>
  <c r="X30" i="8"/>
  <c r="T34" i="8"/>
  <c r="W158" i="6"/>
  <c r="X256" i="6"/>
  <c r="X440" i="6" s="1"/>
  <c r="Y256" i="6"/>
  <c r="Y440" i="6" s="1"/>
  <c r="W256" i="6"/>
  <c r="W440" i="6" s="1"/>
  <c r="J10" i="8"/>
  <c r="J11" i="8" s="1"/>
  <c r="Q223" i="3"/>
  <c r="W120" i="6"/>
  <c r="W302" i="6" s="1"/>
  <c r="W486" i="6" s="1"/>
  <c r="L39" i="3"/>
  <c r="L40" i="3" s="1"/>
  <c r="R133" i="3"/>
  <c r="R132" i="3" s="1"/>
  <c r="R222" i="3" s="1"/>
  <c r="W110" i="6"/>
  <c r="W292" i="6" s="1"/>
  <c r="W476" i="6" s="1"/>
  <c r="P133" i="3"/>
  <c r="P223" i="3" s="1"/>
  <c r="P222" i="3" s="1"/>
  <c r="S232" i="6"/>
  <c r="S416" i="6" s="1"/>
  <c r="P42" i="3"/>
  <c r="P45" i="3" s="1"/>
  <c r="U316" i="6"/>
  <c r="U500" i="6" s="1"/>
  <c r="T135" i="3"/>
  <c r="T225" i="3" s="1"/>
  <c r="V117" i="3"/>
  <c r="V195" i="3"/>
  <c r="V207" i="3"/>
  <c r="U232" i="6"/>
  <c r="U416" i="6" s="1"/>
  <c r="U207" i="3"/>
  <c r="Y206" i="6"/>
  <c r="S202" i="6"/>
  <c r="T157" i="3"/>
  <c r="T247" i="3" s="1"/>
  <c r="T238" i="3"/>
  <c r="T237" i="3" s="1"/>
  <c r="U238" i="3"/>
  <c r="U237" i="3" s="1"/>
  <c r="V238" i="3"/>
  <c r="V237" i="3" s="1"/>
  <c r="S176" i="6"/>
  <c r="S360" i="6" s="1"/>
  <c r="S542" i="6" s="1"/>
  <c r="S361" i="6"/>
  <c r="S543" i="6" s="1"/>
  <c r="U360" i="6"/>
  <c r="U542" i="6" s="1"/>
  <c r="T361" i="6"/>
  <c r="T543" i="6" s="1"/>
  <c r="U459" i="6"/>
  <c r="P174" i="3"/>
  <c r="P264" i="3" s="1"/>
  <c r="X258" i="6"/>
  <c r="X257" i="6" s="1"/>
  <c r="X441" i="6" s="1"/>
  <c r="W160" i="6"/>
  <c r="W344" i="6" s="1"/>
  <c r="W526" i="6" s="1"/>
  <c r="Y258" i="6"/>
  <c r="Y257" i="6" s="1"/>
  <c r="Y441" i="6" s="1"/>
  <c r="X255" i="6"/>
  <c r="W157" i="6"/>
  <c r="W258" i="6"/>
  <c r="W442" i="6" s="1"/>
  <c r="T268" i="6"/>
  <c r="T452" i="6" s="1"/>
  <c r="W255" i="6"/>
  <c r="W439" i="6" s="1"/>
  <c r="Y255" i="6"/>
  <c r="U47" i="8"/>
  <c r="M40" i="8"/>
  <c r="M39" i="8" s="1"/>
  <c r="P28" i="8" s="1"/>
  <c r="W146" i="6"/>
  <c r="W330" i="6" s="1"/>
  <c r="W512" i="6" s="1"/>
  <c r="O70" i="6"/>
  <c r="O253" i="6" s="1"/>
  <c r="AR249" i="6" s="1"/>
  <c r="W334" i="6"/>
  <c r="W516" i="6" s="1"/>
  <c r="U453" i="6"/>
  <c r="T456" i="6"/>
  <c r="S137" i="6"/>
  <c r="S319" i="6" s="1"/>
  <c r="S503" i="6" s="1"/>
  <c r="T498" i="6"/>
  <c r="W290" i="6"/>
  <c r="W474" i="6" s="1"/>
  <c r="S170" i="6"/>
  <c r="U355" i="6"/>
  <c r="S355" i="6"/>
  <c r="S537" i="6" s="1"/>
  <c r="T355" i="6"/>
  <c r="W249" i="6"/>
  <c r="W433" i="6" s="1"/>
  <c r="N16" i="8"/>
  <c r="X331" i="6"/>
  <c r="X330" i="6" s="1"/>
  <c r="X512" i="6" s="1"/>
  <c r="W331" i="6"/>
  <c r="W513" i="6" s="1"/>
  <c r="Y331" i="6"/>
  <c r="Y513" i="6" s="1"/>
  <c r="U498" i="6"/>
  <c r="W300" i="6"/>
  <c r="W484" i="6" s="1"/>
  <c r="J16" i="8"/>
  <c r="U413" i="6"/>
  <c r="O57" i="3"/>
  <c r="W149" i="6"/>
  <c r="W333" i="6" s="1"/>
  <c r="W515" i="6" s="1"/>
  <c r="Y334" i="6"/>
  <c r="Y333" i="6" s="1"/>
  <c r="Y515" i="6" s="1"/>
  <c r="X334" i="6"/>
  <c r="X516" i="6" s="1"/>
  <c r="P89" i="3"/>
  <c r="P179" i="3" s="1"/>
  <c r="P269" i="3" s="1"/>
  <c r="W78" i="6"/>
  <c r="W260" i="6" s="1"/>
  <c r="W444" i="6" s="1"/>
  <c r="W261" i="6"/>
  <c r="W445" i="6" s="1"/>
  <c r="Y261" i="6"/>
  <c r="W163" i="6"/>
  <c r="X261" i="6"/>
  <c r="Y337" i="6"/>
  <c r="W152" i="6"/>
  <c r="W336" i="6" s="1"/>
  <c r="W518" i="6" s="1"/>
  <c r="X337" i="6"/>
  <c r="W337" i="6"/>
  <c r="W519" i="6" s="1"/>
  <c r="P192" i="3"/>
  <c r="AR205" i="3"/>
  <c r="AQ192" i="3"/>
  <c r="AQ205" i="3"/>
  <c r="AP192" i="3"/>
  <c r="AP205" i="3"/>
  <c r="AR192" i="3"/>
  <c r="AM155" i="3"/>
  <c r="AM245" i="3" s="1"/>
  <c r="AM150" i="3"/>
  <c r="AM240" i="3" s="1"/>
  <c r="AM199" i="3"/>
  <c r="AM198" i="3" s="1"/>
  <c r="AM154" i="3"/>
  <c r="AM244" i="3" s="1"/>
  <c r="AM149" i="3"/>
  <c r="AM239" i="3" s="1"/>
  <c r="R581" i="6"/>
  <c r="R582" i="6"/>
  <c r="R583" i="6"/>
  <c r="R584" i="6"/>
  <c r="X160" i="6"/>
  <c r="X159" i="6" s="1"/>
  <c r="R586" i="6"/>
  <c r="R585" i="6"/>
  <c r="X75" i="6"/>
  <c r="L155" i="3"/>
  <c r="L245" i="3" s="1"/>
  <c r="L150" i="3"/>
  <c r="L240" i="3" s="1"/>
  <c r="L583" i="6"/>
  <c r="O71" i="6"/>
  <c r="O67" i="6" s="1"/>
  <c r="L585" i="6"/>
  <c r="L582" i="6"/>
  <c r="L586" i="6"/>
  <c r="L584" i="6"/>
  <c r="X157" i="6"/>
  <c r="L581" i="6"/>
  <c r="X72" i="6"/>
  <c r="M41" i="8"/>
  <c r="M36" i="8" s="1"/>
  <c r="V41" i="8"/>
  <c r="M560" i="6"/>
  <c r="M562" i="6"/>
  <c r="M565" i="6"/>
  <c r="M561" i="6"/>
  <c r="M563" i="6"/>
  <c r="Y157" i="6"/>
  <c r="M564" i="6"/>
  <c r="Y72" i="6"/>
  <c r="O72" i="6"/>
  <c r="O68" i="6" s="1"/>
  <c r="L169" i="3"/>
  <c r="L259" i="3" s="1"/>
  <c r="L83" i="3"/>
  <c r="L173" i="3" s="1"/>
  <c r="L263" i="3" s="1"/>
  <c r="L154" i="3"/>
  <c r="L244" i="3" s="1"/>
  <c r="L149" i="3"/>
  <c r="L239" i="3" s="1"/>
  <c r="W41" i="8"/>
  <c r="M42" i="8"/>
  <c r="M37" i="8" s="1"/>
  <c r="L84" i="3"/>
  <c r="L174" i="3" s="1"/>
  <c r="L264" i="3" s="1"/>
  <c r="L170" i="3"/>
  <c r="L260" i="3" s="1"/>
  <c r="V154" i="3"/>
  <c r="V244" i="3" s="1"/>
  <c r="T51" i="3"/>
  <c r="T141" i="3" s="1"/>
  <c r="T231" i="3" s="1"/>
  <c r="T147" i="3"/>
  <c r="Y407" i="6"/>
  <c r="Y222" i="6"/>
  <c r="S217" i="6"/>
  <c r="S401" i="6" s="1"/>
  <c r="X249" i="6"/>
  <c r="X433" i="6" s="1"/>
  <c r="X434" i="6"/>
  <c r="X244" i="6"/>
  <c r="X243" i="6" s="1"/>
  <c r="Y244" i="6"/>
  <c r="Y243" i="6" s="1"/>
  <c r="W244" i="6"/>
  <c r="W428" i="6" s="1"/>
  <c r="Y247" i="6"/>
  <c r="Y246" i="6" s="1"/>
  <c r="X247" i="6"/>
  <c r="W247" i="6"/>
  <c r="W431" i="6" s="1"/>
  <c r="S218" i="6"/>
  <c r="Y249" i="6"/>
  <c r="Y433" i="6" s="1"/>
  <c r="Y434" i="6"/>
  <c r="W64" i="6"/>
  <c r="W257" i="6"/>
  <c r="W441" i="6" s="1"/>
  <c r="S219" i="6"/>
  <c r="S403" i="6" s="1"/>
  <c r="W61" i="6"/>
  <c r="T96" i="3"/>
  <c r="T186" i="3" s="1"/>
  <c r="T244" i="3"/>
  <c r="Q192" i="3"/>
  <c r="O205" i="3"/>
  <c r="Q205" i="3"/>
  <c r="O192" i="3"/>
  <c r="P205" i="3"/>
  <c r="L152" i="3"/>
  <c r="L242" i="3" s="1"/>
  <c r="O102" i="3"/>
  <c r="AZ38" i="6" l="1"/>
  <c r="AZ37" i="6" s="1"/>
  <c r="BC193" i="6"/>
  <c r="BB220" i="6" s="1"/>
  <c r="BJ50" i="32"/>
  <c r="AV47" i="6" s="1"/>
  <c r="AV132" i="6" s="1"/>
  <c r="BB192" i="6"/>
  <c r="AZ34" i="8"/>
  <c r="AZ33" i="8" s="1"/>
  <c r="AZ19" i="8"/>
  <c r="C14" i="9" s="1"/>
  <c r="AW42" i="8"/>
  <c r="AW41" i="8" s="1"/>
  <c r="BA157" i="6"/>
  <c r="AL73" i="33"/>
  <c r="AR79" i="3" s="1"/>
  <c r="AR169" i="3" s="1"/>
  <c r="AR259" i="3" s="1"/>
  <c r="AO568" i="6"/>
  <c r="AO572" i="6"/>
  <c r="AO573" i="6"/>
  <c r="CA161" i="6"/>
  <c r="BA161" i="6"/>
  <c r="AZ23" i="8"/>
  <c r="AI50" i="33"/>
  <c r="BA65" i="6"/>
  <c r="AX90" i="6"/>
  <c r="AT59" i="8"/>
  <c r="AT58" i="8" s="1"/>
  <c r="AV58" i="3"/>
  <c r="AL50" i="33"/>
  <c r="AR82" i="3" s="1"/>
  <c r="AM79" i="3" s="1"/>
  <c r="AM281" i="3"/>
  <c r="AM284" i="3"/>
  <c r="AV145" i="3"/>
  <c r="AV54" i="3"/>
  <c r="AV144" i="3" s="1"/>
  <c r="AM280" i="3"/>
  <c r="AM283" i="3"/>
  <c r="AM285" i="3"/>
  <c r="AM282" i="3"/>
  <c r="AV64" i="3"/>
  <c r="AV154" i="3" s="1"/>
  <c r="AV244" i="3" s="1"/>
  <c r="AM279" i="3"/>
  <c r="AI73" i="34"/>
  <c r="BA20" i="8"/>
  <c r="BB62" i="6"/>
  <c r="BA74" i="6"/>
  <c r="AZ31" i="8"/>
  <c r="AI73" i="33"/>
  <c r="BA22" i="8"/>
  <c r="N14" i="9" s="1"/>
  <c r="AX45" i="8"/>
  <c r="AX44" i="8" s="1"/>
  <c r="AS81" i="3"/>
  <c r="AS171" i="3" s="1"/>
  <c r="AS261" i="3" s="1"/>
  <c r="AS172" i="3"/>
  <c r="AS262" i="3" s="1"/>
  <c r="BA31" i="8"/>
  <c r="BB74" i="6"/>
  <c r="CB150" i="6"/>
  <c r="CB149" i="6" s="1"/>
  <c r="AV581" i="6"/>
  <c r="BB76" i="6"/>
  <c r="AV580" i="6"/>
  <c r="BB64" i="6"/>
  <c r="AV584" i="6"/>
  <c r="BB150" i="6"/>
  <c r="AV583" i="6"/>
  <c r="AV585" i="6"/>
  <c r="AV582" i="6"/>
  <c r="AV586" i="6"/>
  <c r="AW67" i="3"/>
  <c r="AW157" i="3" s="1"/>
  <c r="AW247" i="3" s="1"/>
  <c r="AT301" i="3"/>
  <c r="AG303" i="3" s="1"/>
  <c r="F303" i="3" s="1"/>
  <c r="AT303" i="3"/>
  <c r="AG305" i="3" s="1"/>
  <c r="F305" i="3" s="1"/>
  <c r="AT305" i="3"/>
  <c r="AG307" i="3" s="1"/>
  <c r="F307" i="3" s="1"/>
  <c r="AW57" i="3"/>
  <c r="AW147" i="3" s="1"/>
  <c r="AT306" i="3"/>
  <c r="AG308" i="3" s="1"/>
  <c r="F308" i="3" s="1"/>
  <c r="AT302" i="3"/>
  <c r="AG304" i="3" s="1"/>
  <c r="F304" i="3" s="1"/>
  <c r="AW148" i="3"/>
  <c r="AT300" i="3"/>
  <c r="AG302" i="3" s="1"/>
  <c r="F302" i="3" s="1"/>
  <c r="AT304" i="3"/>
  <c r="AG306" i="3" s="1"/>
  <c r="F306" i="3" s="1"/>
  <c r="CB161" i="6"/>
  <c r="BB161" i="6"/>
  <c r="AW55" i="3"/>
  <c r="AL73" i="34"/>
  <c r="AS79" i="3" s="1"/>
  <c r="AU115" i="3"/>
  <c r="AS569" i="6"/>
  <c r="AX131" i="6"/>
  <c r="AS574" i="6"/>
  <c r="AS571" i="6"/>
  <c r="BB118" i="6"/>
  <c r="AS573" i="6"/>
  <c r="AS568" i="6"/>
  <c r="BB108" i="6"/>
  <c r="AS572" i="6"/>
  <c r="AS570" i="6"/>
  <c r="BB114" i="6"/>
  <c r="BB296" i="6" s="1"/>
  <c r="BB480" i="6" s="1"/>
  <c r="BB297" i="6"/>
  <c r="BB481" i="6" s="1"/>
  <c r="AR115" i="6"/>
  <c r="AQ10" i="8"/>
  <c r="N8" i="9" s="1"/>
  <c r="AK9" i="8"/>
  <c r="AK13" i="8" s="1"/>
  <c r="BC377" i="6"/>
  <c r="BB287" i="6"/>
  <c r="BB471" i="6" s="1"/>
  <c r="BB104" i="6"/>
  <c r="BB286" i="6" s="1"/>
  <c r="BB470" i="6" s="1"/>
  <c r="AM38" i="3"/>
  <c r="AM42" i="3" s="1"/>
  <c r="AS39" i="3"/>
  <c r="BB37" i="6"/>
  <c r="AS563" i="6"/>
  <c r="AS560" i="6"/>
  <c r="AS564" i="6"/>
  <c r="AS559" i="6"/>
  <c r="AS562" i="6"/>
  <c r="AS561" i="6"/>
  <c r="AS565" i="6"/>
  <c r="BC192" i="6"/>
  <c r="BB404" i="6"/>
  <c r="BB403" i="6" s="1"/>
  <c r="BB219" i="6"/>
  <c r="BG50" i="32"/>
  <c r="AO11" i="8" s="1"/>
  <c r="AO10" i="8" s="1"/>
  <c r="AZ65" i="6"/>
  <c r="AZ247" i="6" s="1"/>
  <c r="AR270" i="6"/>
  <c r="AR271" i="6"/>
  <c r="AR455" i="6" s="1"/>
  <c r="O271" i="6"/>
  <c r="O455" i="6" s="1"/>
  <c r="O270" i="6"/>
  <c r="AR274" i="6" s="1"/>
  <c r="L171" i="3"/>
  <c r="L261" i="3" s="1"/>
  <c r="AY20" i="8"/>
  <c r="AV42" i="8" s="1"/>
  <c r="AV41" i="8" s="1"/>
  <c r="AR269" i="6"/>
  <c r="O269" i="6"/>
  <c r="AR273" i="6" s="1"/>
  <c r="AL73" i="32"/>
  <c r="AQ79" i="3" s="1"/>
  <c r="AQ78" i="3" s="1"/>
  <c r="AQ168" i="3" s="1"/>
  <c r="AQ258" i="3" s="1"/>
  <c r="AI73" i="32"/>
  <c r="AR56" i="8" s="1"/>
  <c r="AR55" i="8" s="1"/>
  <c r="AL50" i="32"/>
  <c r="AQ82" i="3" s="1"/>
  <c r="AQ172" i="3" s="1"/>
  <c r="AQ262" i="3" s="1"/>
  <c r="AY34" i="8"/>
  <c r="AY33" i="8" s="1"/>
  <c r="AI50" i="32"/>
  <c r="AV90" i="6" s="1"/>
  <c r="BA219" i="6"/>
  <c r="R126" i="3"/>
  <c r="R216" i="3" s="1"/>
  <c r="AZ22" i="6"/>
  <c r="AZ21" i="6" s="1"/>
  <c r="BA7" i="6"/>
  <c r="AZ385" i="6"/>
  <c r="AV229" i="6"/>
  <c r="BJ73" i="32"/>
  <c r="AV44" i="6" s="1"/>
  <c r="AV43" i="6" s="1"/>
  <c r="BA190" i="6"/>
  <c r="BC190" i="6" s="1"/>
  <c r="BC189" i="6" s="1"/>
  <c r="BA201" i="6"/>
  <c r="BA200" i="6" s="1"/>
  <c r="AZ18" i="6"/>
  <c r="AU202" i="3"/>
  <c r="AV202" i="3" s="1"/>
  <c r="BG73" i="32"/>
  <c r="AQ37" i="3" s="1"/>
  <c r="O132" i="6"/>
  <c r="O314" i="6" s="1"/>
  <c r="O498" i="6" s="1"/>
  <c r="T226" i="6"/>
  <c r="T410" i="6" s="1"/>
  <c r="U226" i="6"/>
  <c r="O227" i="6" s="1"/>
  <c r="O231" i="6" s="1"/>
  <c r="S226" i="6"/>
  <c r="S410" i="6" s="1"/>
  <c r="AU103" i="3"/>
  <c r="AV12" i="3"/>
  <c r="AV24" i="3"/>
  <c r="AU193" i="3"/>
  <c r="AZ158" i="6"/>
  <c r="AZ256" i="6"/>
  <c r="BZ158" i="6"/>
  <c r="T495" i="6"/>
  <c r="P126" i="3"/>
  <c r="AQ169" i="3"/>
  <c r="AQ259" i="3" s="1"/>
  <c r="AZ259" i="6"/>
  <c r="AZ161" i="6"/>
  <c r="BZ161" i="6"/>
  <c r="AV205" i="3"/>
  <c r="AW205" i="3"/>
  <c r="AU57" i="3"/>
  <c r="AU147" i="3" s="1"/>
  <c r="AU148" i="3"/>
  <c r="AU67" i="3"/>
  <c r="AU157" i="3" s="1"/>
  <c r="AU247" i="3" s="1"/>
  <c r="Q217" i="3"/>
  <c r="L127" i="3"/>
  <c r="L131" i="3" s="1"/>
  <c r="AV45" i="8"/>
  <c r="AV44" i="8" s="1"/>
  <c r="AY22" i="8"/>
  <c r="L14" i="9" s="1"/>
  <c r="AZ61" i="6"/>
  <c r="AZ243" i="6" s="1"/>
  <c r="AZ427" i="6" s="1"/>
  <c r="AZ244" i="6"/>
  <c r="AZ73" i="6"/>
  <c r="AZ147" i="6"/>
  <c r="AZ146" i="6" s="1"/>
  <c r="AZ330" i="6" s="1"/>
  <c r="AZ512" i="6" s="1"/>
  <c r="BZ147" i="6"/>
  <c r="BZ146" i="6" s="1"/>
  <c r="AW112" i="3"/>
  <c r="AV112" i="3"/>
  <c r="AU54" i="3"/>
  <c r="AU144" i="3" s="1"/>
  <c r="AU145" i="3"/>
  <c r="AU64" i="3"/>
  <c r="AU154" i="3" s="1"/>
  <c r="AU244" i="3" s="1"/>
  <c r="AW115" i="3"/>
  <c r="AV115" i="3"/>
  <c r="AU190" i="3"/>
  <c r="AV21" i="3"/>
  <c r="AV9" i="3"/>
  <c r="AU100" i="3"/>
  <c r="U495" i="6"/>
  <c r="O312" i="6"/>
  <c r="O316" i="6" s="1"/>
  <c r="W287" i="6"/>
  <c r="W471" i="6" s="1"/>
  <c r="U271" i="6"/>
  <c r="U455" i="6" s="1"/>
  <c r="U540" i="6"/>
  <c r="W114" i="6"/>
  <c r="W296" i="6" s="1"/>
  <c r="W480" i="6" s="1"/>
  <c r="S358" i="6"/>
  <c r="S540" i="6" s="1"/>
  <c r="O113" i="6"/>
  <c r="O295" i="6" s="1"/>
  <c r="O479" i="6" s="1"/>
  <c r="O313" i="6"/>
  <c r="O497" i="6" s="1"/>
  <c r="AR311" i="6"/>
  <c r="AR315" i="6" s="1"/>
  <c r="AR313" i="6"/>
  <c r="AR497" i="6" s="1"/>
  <c r="O311" i="6"/>
  <c r="O315" i="6" s="1"/>
  <c r="S95" i="6"/>
  <c r="S277" i="6" s="1"/>
  <c r="S461" i="6" s="1"/>
  <c r="AL19" i="32"/>
  <c r="AI19" i="32"/>
  <c r="AH17" i="32"/>
  <c r="AK17" i="32"/>
  <c r="AL17" i="32"/>
  <c r="AI17" i="32"/>
  <c r="O173" i="6"/>
  <c r="O356" i="6" s="1"/>
  <c r="O360" i="6" s="1"/>
  <c r="T358" i="6"/>
  <c r="T357" i="6" s="1"/>
  <c r="T539" i="6" s="1"/>
  <c r="AI20" i="32"/>
  <c r="AL20" i="32"/>
  <c r="AH18" i="32"/>
  <c r="AK18" i="32"/>
  <c r="AI18" i="32"/>
  <c r="AL18" i="32"/>
  <c r="S173" i="6"/>
  <c r="S357" i="6" s="1"/>
  <c r="S539" i="6" s="1"/>
  <c r="AL15" i="32"/>
  <c r="AI15" i="32"/>
  <c r="AH19" i="32"/>
  <c r="AK19" i="32"/>
  <c r="AH16" i="32"/>
  <c r="AK16" i="32"/>
  <c r="AI16" i="32"/>
  <c r="AL16" i="32"/>
  <c r="AH20" i="32"/>
  <c r="AK20" i="32"/>
  <c r="AS13" i="32"/>
  <c r="AW13" i="32"/>
  <c r="BA13" i="32"/>
  <c r="AT14" i="32"/>
  <c r="BB14" i="32"/>
  <c r="AU15" i="32"/>
  <c r="AY15" i="32"/>
  <c r="BC15" i="32"/>
  <c r="AV16" i="32"/>
  <c r="AZ16" i="32"/>
  <c r="AS17" i="32"/>
  <c r="AW17" i="32"/>
  <c r="BA17" i="32"/>
  <c r="AT18" i="32"/>
  <c r="AX18" i="32"/>
  <c r="BB18" i="32"/>
  <c r="AU19" i="32"/>
  <c r="AY19" i="32"/>
  <c r="BC19" i="32"/>
  <c r="AV20" i="32"/>
  <c r="AZ20" i="32"/>
  <c r="AS21" i="32"/>
  <c r="AW21" i="32"/>
  <c r="BA21" i="32"/>
  <c r="AT22" i="32"/>
  <c r="AX22" i="32"/>
  <c r="BB22" i="32"/>
  <c r="AU23" i="32"/>
  <c r="AY23" i="32"/>
  <c r="BC23" i="32"/>
  <c r="AR17" i="32"/>
  <c r="AR21" i="32"/>
  <c r="AW18" i="32"/>
  <c r="AU20" i="32"/>
  <c r="AV21" i="32"/>
  <c r="AS22" i="32"/>
  <c r="BA22" i="32"/>
  <c r="AR16" i="32"/>
  <c r="BI18" i="32" s="1"/>
  <c r="AR13" i="32"/>
  <c r="AT13" i="32"/>
  <c r="BB13" i="32"/>
  <c r="AU14" i="32"/>
  <c r="AY14" i="32"/>
  <c r="BC14" i="32"/>
  <c r="AV15" i="32"/>
  <c r="AZ15" i="32"/>
  <c r="AS16" i="32"/>
  <c r="AW16" i="32"/>
  <c r="BA16" i="32"/>
  <c r="AT17" i="32"/>
  <c r="BB17" i="32"/>
  <c r="AU18" i="32"/>
  <c r="AY18" i="32"/>
  <c r="BC18" i="32"/>
  <c r="AV19" i="32"/>
  <c r="AZ19" i="32"/>
  <c r="AS20" i="32"/>
  <c r="AW20" i="32"/>
  <c r="BA20" i="32"/>
  <c r="AT21" i="32"/>
  <c r="AX21" i="32"/>
  <c r="BB21" i="32"/>
  <c r="AU22" i="32"/>
  <c r="AY22" i="32"/>
  <c r="BC22" i="32"/>
  <c r="AV23" i="32"/>
  <c r="AZ23" i="32"/>
  <c r="AR14" i="32"/>
  <c r="AR18" i="32"/>
  <c r="AR22" i="32"/>
  <c r="AX19" i="32"/>
  <c r="AX23" i="32"/>
  <c r="AU13" i="32"/>
  <c r="AY13" i="32"/>
  <c r="BC13" i="32"/>
  <c r="AV14" i="32"/>
  <c r="AZ14" i="32"/>
  <c r="AS15" i="32"/>
  <c r="AW15" i="32"/>
  <c r="BA15" i="32"/>
  <c r="AT16" i="32"/>
  <c r="BB16" i="32"/>
  <c r="AU17" i="32"/>
  <c r="AY17" i="32"/>
  <c r="BC17" i="32"/>
  <c r="AV18" i="32"/>
  <c r="AZ18" i="32"/>
  <c r="AS19" i="32"/>
  <c r="AW19" i="32"/>
  <c r="BA19" i="32"/>
  <c r="AT20" i="32"/>
  <c r="AX20" i="32"/>
  <c r="BB20" i="32"/>
  <c r="AU21" i="32"/>
  <c r="AY21" i="32"/>
  <c r="BC21" i="32"/>
  <c r="AV22" i="32"/>
  <c r="AZ22" i="32"/>
  <c r="AS23" i="32"/>
  <c r="AW23" i="32"/>
  <c r="BA23" i="32"/>
  <c r="AR15" i="32"/>
  <c r="AR19" i="32"/>
  <c r="AR23" i="32"/>
  <c r="AV13" i="32"/>
  <c r="AZ13" i="32"/>
  <c r="AS14" i="32"/>
  <c r="AW14" i="32"/>
  <c r="BA14" i="32"/>
  <c r="AT15" i="32"/>
  <c r="BB15" i="32"/>
  <c r="AU16" i="32"/>
  <c r="AY16" i="32"/>
  <c r="BC16" i="32"/>
  <c r="AV17" i="32"/>
  <c r="AZ17" i="32"/>
  <c r="AS18" i="32"/>
  <c r="BA18" i="32"/>
  <c r="AT19" i="32"/>
  <c r="BB19" i="32"/>
  <c r="AY20" i="32"/>
  <c r="BC20" i="32"/>
  <c r="AZ21" i="32"/>
  <c r="AW22" i="32"/>
  <c r="AT23" i="32"/>
  <c r="BB23" i="32"/>
  <c r="AR20" i="32"/>
  <c r="AX13" i="32"/>
  <c r="AX15" i="32"/>
  <c r="AX16" i="32"/>
  <c r="AX14" i="32"/>
  <c r="AX17" i="32"/>
  <c r="P129" i="3"/>
  <c r="Q220" i="3"/>
  <c r="R129" i="3"/>
  <c r="R219" i="3" s="1"/>
  <c r="W156" i="6"/>
  <c r="W340" i="6" s="1"/>
  <c r="W522" i="6" s="1"/>
  <c r="X254" i="6"/>
  <c r="X438" i="6" s="1"/>
  <c r="Y254" i="6"/>
  <c r="Y438" i="6" s="1"/>
  <c r="X342" i="6"/>
  <c r="X524" i="6" s="1"/>
  <c r="W342" i="6"/>
  <c r="W524" i="6" s="1"/>
  <c r="Y342" i="6"/>
  <c r="Y524" i="6" s="1"/>
  <c r="L128" i="3"/>
  <c r="L132" i="3" s="1"/>
  <c r="R223" i="3"/>
  <c r="P132" i="3"/>
  <c r="L129" i="3"/>
  <c r="L219" i="3" s="1"/>
  <c r="L220" i="3" s="1"/>
  <c r="S207" i="6"/>
  <c r="S386" i="6"/>
  <c r="U231" i="6"/>
  <c r="U415" i="6" s="1"/>
  <c r="T360" i="6"/>
  <c r="T542" i="6" s="1"/>
  <c r="X344" i="6"/>
  <c r="X343" i="6" s="1"/>
  <c r="X525" i="6" s="1"/>
  <c r="Y344" i="6"/>
  <c r="Y343" i="6" s="1"/>
  <c r="Y525" i="6" s="1"/>
  <c r="Y341" i="6"/>
  <c r="W159" i="6"/>
  <c r="W343" i="6" s="1"/>
  <c r="W525" i="6" s="1"/>
  <c r="X442" i="6"/>
  <c r="Y442" i="6"/>
  <c r="X439" i="6"/>
  <c r="W341" i="6"/>
  <c r="W523" i="6" s="1"/>
  <c r="Y439" i="6"/>
  <c r="X341" i="6"/>
  <c r="P45" i="8"/>
  <c r="P17" i="8" s="1"/>
  <c r="T31" i="8"/>
  <c r="T32" i="8"/>
  <c r="O254" i="6"/>
  <c r="AR250" i="6" s="1"/>
  <c r="T20" i="8"/>
  <c r="W100" i="6"/>
  <c r="W282" i="6" s="1"/>
  <c r="W466" i="6" s="1"/>
  <c r="T33" i="8"/>
  <c r="T22" i="8"/>
  <c r="T21" i="8"/>
  <c r="O252" i="6"/>
  <c r="O436" i="6" s="1"/>
  <c r="O69" i="6"/>
  <c r="R64" i="6" s="1"/>
  <c r="R246" i="6" s="1"/>
  <c r="R430" i="6" s="1"/>
  <c r="U65" i="8"/>
  <c r="BB200" i="6"/>
  <c r="AR253" i="6"/>
  <c r="AR252" i="6"/>
  <c r="AR436" i="6" s="1"/>
  <c r="AR254" i="6"/>
  <c r="U354" i="6"/>
  <c r="U536" i="6" s="1"/>
  <c r="U537" i="6"/>
  <c r="T354" i="6"/>
  <c r="T536" i="6" s="1"/>
  <c r="T537" i="6"/>
  <c r="S354" i="6"/>
  <c r="S536" i="6" s="1"/>
  <c r="W243" i="6"/>
  <c r="W427" i="6" s="1"/>
  <c r="W246" i="6"/>
  <c r="W430" i="6" s="1"/>
  <c r="X513" i="6"/>
  <c r="Y330" i="6"/>
  <c r="Y512" i="6" s="1"/>
  <c r="X333" i="6"/>
  <c r="X515" i="6" s="1"/>
  <c r="Y516" i="6"/>
  <c r="W58" i="6"/>
  <c r="W240" i="6" s="1"/>
  <c r="W424" i="6" s="1"/>
  <c r="W347" i="6"/>
  <c r="W529" i="6" s="1"/>
  <c r="W162" i="6"/>
  <c r="X347" i="6"/>
  <c r="Y347" i="6"/>
  <c r="Y336" i="6"/>
  <c r="Y518" i="6" s="1"/>
  <c r="Y519" i="6"/>
  <c r="Y260" i="6"/>
  <c r="Y444" i="6" s="1"/>
  <c r="Y445" i="6"/>
  <c r="W143" i="6"/>
  <c r="W327" i="6" s="1"/>
  <c r="W509" i="6" s="1"/>
  <c r="O155" i="6"/>
  <c r="X519" i="6"/>
  <c r="X336" i="6"/>
  <c r="X518" i="6" s="1"/>
  <c r="X260" i="6"/>
  <c r="X444" i="6" s="1"/>
  <c r="X445" i="6"/>
  <c r="Y156" i="6"/>
  <c r="O157" i="6"/>
  <c r="O153" i="6" s="1"/>
  <c r="O156" i="6"/>
  <c r="O152" i="6" s="1"/>
  <c r="X156" i="6"/>
  <c r="R10" i="3"/>
  <c r="R12" i="3"/>
  <c r="U17" i="8"/>
  <c r="S222" i="6"/>
  <c r="S402" i="6"/>
  <c r="X246" i="6"/>
  <c r="X430" i="6" s="1"/>
  <c r="X431" i="6"/>
  <c r="X427" i="6"/>
  <c r="X428" i="6"/>
  <c r="Y430" i="6"/>
  <c r="Y431" i="6"/>
  <c r="O249" i="6"/>
  <c r="Y427" i="6"/>
  <c r="Y428" i="6"/>
  <c r="W57" i="6"/>
  <c r="W239" i="6" s="1"/>
  <c r="W423" i="6" s="1"/>
  <c r="O158" i="3"/>
  <c r="O248" i="3" s="1"/>
  <c r="O51" i="3"/>
  <c r="O147" i="3"/>
  <c r="O6" i="3"/>
  <c r="AV46" i="6" l="1"/>
  <c r="AZ76" i="6"/>
  <c r="AZ150" i="6"/>
  <c r="AZ149" i="6" s="1"/>
  <c r="AZ333" i="6" s="1"/>
  <c r="AZ515" i="6" s="1"/>
  <c r="N9" i="9"/>
  <c r="AR78" i="3"/>
  <c r="AR168" i="3" s="1"/>
  <c r="AR258" i="3" s="1"/>
  <c r="AZ64" i="6"/>
  <c r="AZ246" i="6" s="1"/>
  <c r="AZ430" i="6" s="1"/>
  <c r="F312" i="3"/>
  <c r="BZ150" i="6"/>
  <c r="BZ149" i="6" s="1"/>
  <c r="AN300" i="3"/>
  <c r="AF302" i="3" s="1"/>
  <c r="E302" i="3" s="1"/>
  <c r="AN305" i="3"/>
  <c r="AF307" i="3" s="1"/>
  <c r="E307" i="3" s="1"/>
  <c r="AW145" i="3"/>
  <c r="AN306" i="3"/>
  <c r="AF308" i="3" s="1"/>
  <c r="E308" i="3" s="1"/>
  <c r="E312" i="3" s="1"/>
  <c r="AW54" i="3"/>
  <c r="AN301" i="3"/>
  <c r="AF303" i="3" s="1"/>
  <c r="E303" i="3" s="1"/>
  <c r="AN304" i="3"/>
  <c r="AF306" i="3" s="1"/>
  <c r="E306" i="3" s="1"/>
  <c r="AN303" i="3"/>
  <c r="AF305" i="3" s="1"/>
  <c r="E305" i="3" s="1"/>
  <c r="AN302" i="3"/>
  <c r="AF304" i="3" s="1"/>
  <c r="E304" i="3" s="1"/>
  <c r="AW64" i="3"/>
  <c r="AS281" i="3"/>
  <c r="AV57" i="3"/>
  <c r="AV147" i="3" s="1"/>
  <c r="AS283" i="3"/>
  <c r="AS285" i="3"/>
  <c r="AS282" i="3"/>
  <c r="AS284" i="3"/>
  <c r="AV67" i="3"/>
  <c r="AV157" i="3" s="1"/>
  <c r="AV247" i="3" s="1"/>
  <c r="AS280" i="3"/>
  <c r="AV148" i="3"/>
  <c r="AS279" i="3"/>
  <c r="N6" i="3"/>
  <c r="N96" i="3" s="1"/>
  <c r="N186" i="3" s="1"/>
  <c r="AV595" i="6"/>
  <c r="AI588" i="6" s="1"/>
  <c r="F588" i="6" s="1"/>
  <c r="AV592" i="6"/>
  <c r="AI585" i="6" s="1"/>
  <c r="F585" i="6" s="1"/>
  <c r="AV593" i="6"/>
  <c r="AI586" i="6" s="1"/>
  <c r="F586" i="6" s="1"/>
  <c r="AV594" i="6"/>
  <c r="AI587" i="6" s="1"/>
  <c r="F587" i="6" s="1"/>
  <c r="BB149" i="6"/>
  <c r="AV590" i="6"/>
  <c r="AI583" i="6" s="1"/>
  <c r="F583" i="6" s="1"/>
  <c r="AV589" i="6"/>
  <c r="AI582" i="6" s="1"/>
  <c r="F582" i="6" s="1"/>
  <c r="AV591" i="6"/>
  <c r="AI584" i="6" s="1"/>
  <c r="F584" i="6" s="1"/>
  <c r="AV564" i="6"/>
  <c r="AV561" i="6"/>
  <c r="AV560" i="6"/>
  <c r="AV565" i="6"/>
  <c r="BB160" i="6"/>
  <c r="BB159" i="6" s="1"/>
  <c r="CB160" i="6"/>
  <c r="CB159" i="6" s="1"/>
  <c r="AV563" i="6"/>
  <c r="AV562" i="6"/>
  <c r="AV559" i="6"/>
  <c r="BB75" i="6"/>
  <c r="AX42" i="8"/>
  <c r="AU25" i="8"/>
  <c r="AU21" i="8" s="1"/>
  <c r="BA19" i="8"/>
  <c r="G14" i="9" s="1"/>
  <c r="AU561" i="6"/>
  <c r="BA76" i="6"/>
  <c r="AU560" i="6"/>
  <c r="AU562" i="6"/>
  <c r="BA64" i="6"/>
  <c r="CA150" i="6"/>
  <c r="CA149" i="6" s="1"/>
  <c r="AU565" i="6"/>
  <c r="AU563" i="6"/>
  <c r="BA150" i="6"/>
  <c r="AU564" i="6"/>
  <c r="AU559" i="6"/>
  <c r="CA158" i="6"/>
  <c r="CA156" i="6" s="1"/>
  <c r="BA158" i="6"/>
  <c r="BA156" i="6" s="1"/>
  <c r="AO580" i="6"/>
  <c r="AO584" i="6"/>
  <c r="AO582" i="6"/>
  <c r="AO585" i="6"/>
  <c r="AO583" i="6"/>
  <c r="BA72" i="6"/>
  <c r="AO581" i="6"/>
  <c r="AO586" i="6"/>
  <c r="AP584" i="6"/>
  <c r="AP583" i="6"/>
  <c r="AP582" i="6"/>
  <c r="AP585" i="6"/>
  <c r="BB61" i="6"/>
  <c r="BB73" i="6"/>
  <c r="AP586" i="6"/>
  <c r="BB147" i="6"/>
  <c r="CB147" i="6"/>
  <c r="CB146" i="6" s="1"/>
  <c r="AP580" i="6"/>
  <c r="AP581" i="6"/>
  <c r="BB158" i="6"/>
  <c r="CB158" i="6"/>
  <c r="AS56" i="8"/>
  <c r="AW87" i="6"/>
  <c r="AM169" i="3"/>
  <c r="AM259" i="3" s="1"/>
  <c r="AM83" i="3"/>
  <c r="AM173" i="3" s="1"/>
  <c r="AM263" i="3" s="1"/>
  <c r="AT56" i="8"/>
  <c r="AX87" i="6"/>
  <c r="BX174" i="6"/>
  <c r="BX173" i="6" s="1"/>
  <c r="AX174" i="6"/>
  <c r="AX89" i="6"/>
  <c r="N15" i="9"/>
  <c r="C7" i="27" s="1"/>
  <c r="AS59" i="8"/>
  <c r="AS58" i="8" s="1"/>
  <c r="AW90" i="6"/>
  <c r="AS78" i="3"/>
  <c r="AS168" i="3" s="1"/>
  <c r="AS258" i="3" s="1"/>
  <c r="AM80" i="3"/>
  <c r="AS169" i="3"/>
  <c r="AS259" i="3" s="1"/>
  <c r="BA30" i="8"/>
  <c r="AU37" i="8"/>
  <c r="AU32" i="8" s="1"/>
  <c r="AZ30" i="8"/>
  <c r="AU36" i="8"/>
  <c r="AU31" i="8" s="1"/>
  <c r="AR172" i="3"/>
  <c r="AR262" i="3" s="1"/>
  <c r="AR81" i="3"/>
  <c r="AR171" i="3" s="1"/>
  <c r="AR261" i="3" s="1"/>
  <c r="AW45" i="8"/>
  <c r="AZ22" i="8"/>
  <c r="J14" i="9" s="1"/>
  <c r="AK20" i="9" s="1"/>
  <c r="AU24" i="8"/>
  <c r="AU20" i="8" s="1"/>
  <c r="BB290" i="6"/>
  <c r="BB474" i="6" s="1"/>
  <c r="BB107" i="6"/>
  <c r="BB289" i="6" s="1"/>
  <c r="BB473" i="6" s="1"/>
  <c r="AR297" i="6"/>
  <c r="AR481" i="6" s="1"/>
  <c r="AR111" i="6"/>
  <c r="AR293" i="6" s="1"/>
  <c r="AR477" i="6" s="1"/>
  <c r="BB117" i="6"/>
  <c r="BB299" i="6" s="1"/>
  <c r="BB483" i="6" s="1"/>
  <c r="BB300" i="6"/>
  <c r="BB484" i="6" s="1"/>
  <c r="AQ40" i="3"/>
  <c r="AQ130" i="3" s="1"/>
  <c r="AY19" i="8"/>
  <c r="E14" i="9" s="1"/>
  <c r="O274" i="6"/>
  <c r="O273" i="6"/>
  <c r="AV87" i="6"/>
  <c r="AV86" i="6" s="1"/>
  <c r="AV268" i="6" s="1"/>
  <c r="AV452" i="6" s="1"/>
  <c r="AQ81" i="3"/>
  <c r="AQ171" i="3" s="1"/>
  <c r="AQ261" i="3" s="1"/>
  <c r="AR59" i="8"/>
  <c r="AR58" i="8" s="1"/>
  <c r="L8" i="9" s="1"/>
  <c r="AL13" i="9" s="1"/>
  <c r="AZ204" i="6"/>
  <c r="AZ388" i="6" s="1"/>
  <c r="AZ217" i="6"/>
  <c r="AZ401" i="6" s="1"/>
  <c r="AV129" i="6"/>
  <c r="AV128" i="6" s="1"/>
  <c r="AV310" i="6" s="1"/>
  <c r="AV494" i="6" s="1"/>
  <c r="AV226" i="6"/>
  <c r="AV311" i="6" s="1"/>
  <c r="AV495" i="6" s="1"/>
  <c r="AV413" i="6"/>
  <c r="AV314" i="6"/>
  <c r="AV498" i="6" s="1"/>
  <c r="AW229" i="6"/>
  <c r="AX229" i="6"/>
  <c r="AW202" i="3"/>
  <c r="O226" i="6"/>
  <c r="BA374" i="6"/>
  <c r="BB190" i="6"/>
  <c r="AZ118" i="6"/>
  <c r="AV131" i="6"/>
  <c r="AV313" i="6" s="1"/>
  <c r="AV497" i="6" s="1"/>
  <c r="AZ108" i="6"/>
  <c r="AO8" i="8"/>
  <c r="AO7" i="8" s="1"/>
  <c r="E8" i="9" s="1"/>
  <c r="BB217" i="6"/>
  <c r="BC374" i="6"/>
  <c r="W101" i="6"/>
  <c r="W283" i="6" s="1"/>
  <c r="W467" i="6" s="1"/>
  <c r="U225" i="6"/>
  <c r="U409" i="6" s="1"/>
  <c r="BB204" i="6"/>
  <c r="BB203" i="6" s="1"/>
  <c r="O112" i="6"/>
  <c r="O294" i="6" s="1"/>
  <c r="O478" i="6" s="1"/>
  <c r="E15" i="9"/>
  <c r="D6" i="27" s="1"/>
  <c r="U410" i="6"/>
  <c r="L15" i="9"/>
  <c r="AL21" i="9" s="1"/>
  <c r="BA244" i="6"/>
  <c r="AZ331" i="6"/>
  <c r="BB244" i="6"/>
  <c r="AZ428" i="6"/>
  <c r="BZ160" i="6"/>
  <c r="BZ159" i="6" s="1"/>
  <c r="AZ258" i="6"/>
  <c r="AZ75" i="6"/>
  <c r="AZ257" i="6" s="1"/>
  <c r="AZ441" i="6" s="1"/>
  <c r="AZ160" i="6"/>
  <c r="AZ159" i="6" s="1"/>
  <c r="AZ343" i="6" s="1"/>
  <c r="AZ525" i="6" s="1"/>
  <c r="AW100" i="3"/>
  <c r="AW99" i="3" s="1"/>
  <c r="D11" i="27" s="1"/>
  <c r="AV100" i="3"/>
  <c r="AU99" i="3"/>
  <c r="AU111" i="3"/>
  <c r="AV235" i="3"/>
  <c r="AV234" i="3" s="1"/>
  <c r="AW235" i="3"/>
  <c r="AW234" i="3" s="1"/>
  <c r="AU235" i="3"/>
  <c r="AU234" i="3" s="1"/>
  <c r="BB259" i="6"/>
  <c r="BB443" i="6" s="1"/>
  <c r="BA259" i="6"/>
  <c r="BA443" i="6" s="1"/>
  <c r="AZ345" i="6"/>
  <c r="AZ443" i="6"/>
  <c r="AQ127" i="3"/>
  <c r="AQ36" i="3"/>
  <c r="E9" i="9" s="1"/>
  <c r="AX226" i="6"/>
  <c r="AV103" i="3"/>
  <c r="AV102" i="3" s="1"/>
  <c r="C9" i="27" s="1"/>
  <c r="AW103" i="3"/>
  <c r="AW102" i="3" s="1"/>
  <c r="C11" i="27" s="1"/>
  <c r="AU102" i="3"/>
  <c r="AV190" i="3"/>
  <c r="AV189" i="3" s="1"/>
  <c r="AU189" i="3"/>
  <c r="AW190" i="3"/>
  <c r="AW189" i="3" s="1"/>
  <c r="AU201" i="3"/>
  <c r="AV238" i="3"/>
  <c r="AV237" i="3" s="1"/>
  <c r="AU238" i="3"/>
  <c r="AU237" i="3" s="1"/>
  <c r="AW238" i="3"/>
  <c r="AW237" i="3" s="1"/>
  <c r="AZ440" i="6"/>
  <c r="AZ342" i="6"/>
  <c r="BA256" i="6"/>
  <c r="BA440" i="6" s="1"/>
  <c r="BB256" i="6"/>
  <c r="BB440" i="6" s="1"/>
  <c r="AU114" i="3"/>
  <c r="AZ157" i="6"/>
  <c r="AZ156" i="6" s="1"/>
  <c r="AZ340" i="6" s="1"/>
  <c r="AZ522" i="6" s="1"/>
  <c r="AZ72" i="6"/>
  <c r="AZ254" i="6" s="1"/>
  <c r="AZ438" i="6" s="1"/>
  <c r="AZ255" i="6"/>
  <c r="BZ157" i="6"/>
  <c r="BZ156" i="6" s="1"/>
  <c r="BB247" i="6"/>
  <c r="BA247" i="6"/>
  <c r="AZ334" i="6"/>
  <c r="AZ431" i="6"/>
  <c r="AV89" i="6"/>
  <c r="AV271" i="6" s="1"/>
  <c r="AV455" i="6" s="1"/>
  <c r="AV174" i="6"/>
  <c r="AV173" i="6" s="1"/>
  <c r="AV357" i="6" s="1"/>
  <c r="AV539" i="6" s="1"/>
  <c r="BV174" i="6"/>
  <c r="BV173" i="6" s="1"/>
  <c r="AV272" i="6"/>
  <c r="AW193" i="3"/>
  <c r="AU192" i="3"/>
  <c r="AV193" i="3"/>
  <c r="AU204" i="3"/>
  <c r="AR356" i="6"/>
  <c r="AR360" i="6" s="1"/>
  <c r="O357" i="6"/>
  <c r="O539" i="6" s="1"/>
  <c r="O174" i="6"/>
  <c r="O358" i="6" s="1"/>
  <c r="O540" i="6" s="1"/>
  <c r="O355" i="6"/>
  <c r="O359" i="6" s="1"/>
  <c r="AR355" i="6"/>
  <c r="AR359" i="6" s="1"/>
  <c r="S180" i="6"/>
  <c r="S364" i="6" s="1"/>
  <c r="S546" i="6" s="1"/>
  <c r="AR357" i="6"/>
  <c r="AR539" i="6" s="1"/>
  <c r="AL26" i="32"/>
  <c r="AL28" i="32" s="1"/>
  <c r="AU71" i="3" s="1"/>
  <c r="AU161" i="3" s="1"/>
  <c r="AU251" i="3" s="1"/>
  <c r="BG18" i="32"/>
  <c r="AI26" i="32"/>
  <c r="AI28" i="32" s="1"/>
  <c r="AY37" i="8" s="1"/>
  <c r="T540" i="6"/>
  <c r="BG17" i="32"/>
  <c r="AZ26" i="32"/>
  <c r="BF15" i="32"/>
  <c r="BI15" i="32"/>
  <c r="BI17" i="32"/>
  <c r="BJ17" i="32" s="1"/>
  <c r="BF17" i="32"/>
  <c r="BJ18" i="32"/>
  <c r="BF18" i="32"/>
  <c r="BG15" i="32"/>
  <c r="BJ19" i="32"/>
  <c r="BF19" i="32"/>
  <c r="P135" i="3"/>
  <c r="P225" i="3" s="1"/>
  <c r="BJ20" i="32"/>
  <c r="BF20" i="32"/>
  <c r="BG20" i="32"/>
  <c r="BG16" i="32"/>
  <c r="BI16" i="32"/>
  <c r="BJ16" i="32" s="1"/>
  <c r="BF16" i="32"/>
  <c r="BG19" i="32"/>
  <c r="X340" i="6"/>
  <c r="X522" i="6" s="1"/>
  <c r="Y340" i="6"/>
  <c r="Y522" i="6" s="1"/>
  <c r="L130" i="3"/>
  <c r="AB27" i="9"/>
  <c r="AD27" i="9"/>
  <c r="Y526" i="6"/>
  <c r="X526" i="6"/>
  <c r="R143" i="6"/>
  <c r="R327" i="6" s="1"/>
  <c r="R509" i="6" s="1"/>
  <c r="Y523" i="6"/>
  <c r="X523" i="6"/>
  <c r="AM20" i="9"/>
  <c r="AL20" i="9"/>
  <c r="O250" i="6"/>
  <c r="O251" i="6"/>
  <c r="O435" i="6" s="1"/>
  <c r="R76" i="6"/>
  <c r="R57" i="6" s="1"/>
  <c r="R239" i="6" s="1"/>
  <c r="R423" i="6" s="1"/>
  <c r="U5" i="9"/>
  <c r="N5" i="9"/>
  <c r="O341" i="6"/>
  <c r="O337" i="6" s="1"/>
  <c r="AR340" i="6"/>
  <c r="AR336" i="6" s="1"/>
  <c r="AR341" i="6"/>
  <c r="AR337" i="6" s="1"/>
  <c r="AR339" i="6"/>
  <c r="AR521" i="6" s="1"/>
  <c r="O340" i="6"/>
  <c r="O336" i="6" s="1"/>
  <c r="O339" i="6"/>
  <c r="O521" i="6" s="1"/>
  <c r="W180" i="6"/>
  <c r="W364" i="6" s="1"/>
  <c r="W546" i="6" s="1"/>
  <c r="O154" i="6"/>
  <c r="R149" i="6" s="1"/>
  <c r="X529" i="6"/>
  <c r="X346" i="6"/>
  <c r="X528" i="6" s="1"/>
  <c r="Y529" i="6"/>
  <c r="Y346" i="6"/>
  <c r="W346" i="6"/>
  <c r="W528" i="6" s="1"/>
  <c r="O96" i="3"/>
  <c r="O186" i="3" s="1"/>
  <c r="O141" i="3"/>
  <c r="O231" i="3" s="1"/>
  <c r="AN20" i="9" l="1"/>
  <c r="C6" i="27"/>
  <c r="C22" i="27"/>
  <c r="E37" i="27" s="1"/>
  <c r="AQ39" i="3"/>
  <c r="L9" i="9" s="1"/>
  <c r="AL14" i="9" s="1"/>
  <c r="AW44" i="8"/>
  <c r="AN41" i="8"/>
  <c r="AN36" i="8" s="1"/>
  <c r="AM170" i="3"/>
  <c r="AM260" i="3" s="1"/>
  <c r="AM84" i="3"/>
  <c r="AM174" i="3" s="1"/>
  <c r="AM264" i="3" s="1"/>
  <c r="AX86" i="6"/>
  <c r="BX171" i="6"/>
  <c r="AX171" i="6"/>
  <c r="AW171" i="6"/>
  <c r="BW171" i="6"/>
  <c r="AW86" i="6"/>
  <c r="AW154" i="3"/>
  <c r="AW244" i="3" s="1"/>
  <c r="G9" i="9"/>
  <c r="AN14" i="9" s="1"/>
  <c r="AP591" i="6"/>
  <c r="AH584" i="6" s="1"/>
  <c r="E584" i="6" s="1"/>
  <c r="AP592" i="6"/>
  <c r="BB146" i="6"/>
  <c r="AP595" i="6"/>
  <c r="AH588" i="6" s="1"/>
  <c r="E588" i="6" s="1"/>
  <c r="AP590" i="6"/>
  <c r="AH583" i="6" s="1"/>
  <c r="E583" i="6" s="1"/>
  <c r="AP594" i="6"/>
  <c r="AH587" i="6" s="1"/>
  <c r="E587" i="6" s="1"/>
  <c r="AP593" i="6"/>
  <c r="AH586" i="6" s="1"/>
  <c r="E586" i="6" s="1"/>
  <c r="AP589" i="6"/>
  <c r="AH582" i="6" s="1"/>
  <c r="E582" i="6" s="1"/>
  <c r="AU573" i="6"/>
  <c r="AU574" i="6"/>
  <c r="AU569" i="6"/>
  <c r="AU572" i="6"/>
  <c r="BA149" i="6"/>
  <c r="AU568" i="6"/>
  <c r="AU571" i="6"/>
  <c r="AU570" i="6"/>
  <c r="AT55" i="8"/>
  <c r="AN57" i="8"/>
  <c r="AN61" i="8" s="1"/>
  <c r="AS55" i="8"/>
  <c r="AN56" i="8"/>
  <c r="AN60" i="8" s="1"/>
  <c r="AP563" i="6"/>
  <c r="AP565" i="6"/>
  <c r="BB72" i="6"/>
  <c r="AP564" i="6"/>
  <c r="AP559" i="6"/>
  <c r="BB157" i="6"/>
  <c r="AP560" i="6"/>
  <c r="AP562" i="6"/>
  <c r="AP561" i="6"/>
  <c r="CB157" i="6"/>
  <c r="AH585" i="6"/>
  <c r="E585" i="6" s="1"/>
  <c r="AW144" i="3"/>
  <c r="G15" i="9"/>
  <c r="D7" i="27" s="1"/>
  <c r="D22" i="27" s="1"/>
  <c r="E40" i="27" s="1"/>
  <c r="AW174" i="6"/>
  <c r="AW89" i="6"/>
  <c r="BW174" i="6"/>
  <c r="BW173" i="6" s="1"/>
  <c r="AX173" i="6"/>
  <c r="AV571" i="6"/>
  <c r="AV572" i="6"/>
  <c r="AV570" i="6"/>
  <c r="AV568" i="6"/>
  <c r="AV569" i="6"/>
  <c r="AV574" i="6"/>
  <c r="AV573" i="6"/>
  <c r="AU582" i="6"/>
  <c r="AU586" i="6"/>
  <c r="AU585" i="6"/>
  <c r="AU584" i="6"/>
  <c r="BA160" i="6"/>
  <c r="CA160" i="6"/>
  <c r="AU580" i="6"/>
  <c r="AU583" i="6"/>
  <c r="BA75" i="6"/>
  <c r="AU581" i="6"/>
  <c r="AX41" i="8"/>
  <c r="AN42" i="8"/>
  <c r="AN37" i="8" s="1"/>
  <c r="AZ115" i="6"/>
  <c r="AZ297" i="6" s="1"/>
  <c r="AZ481" i="6" s="1"/>
  <c r="AV171" i="6"/>
  <c r="AV170" i="6" s="1"/>
  <c r="AV354" i="6" s="1"/>
  <c r="AV536" i="6" s="1"/>
  <c r="BV171" i="6"/>
  <c r="BV170" i="6" s="1"/>
  <c r="AZ105" i="6"/>
  <c r="AZ104" i="6" s="1"/>
  <c r="AZ286" i="6" s="1"/>
  <c r="AZ470" i="6" s="1"/>
  <c r="AV269" i="6"/>
  <c r="AV355" i="6" s="1"/>
  <c r="BA204" i="6"/>
  <c r="BA203" i="6" s="1"/>
  <c r="AV410" i="6"/>
  <c r="AW226" i="6"/>
  <c r="AW410" i="6" s="1"/>
  <c r="R118" i="6"/>
  <c r="R300" i="6" s="1"/>
  <c r="R484" i="6" s="1"/>
  <c r="R107" i="6"/>
  <c r="R289" i="6" s="1"/>
  <c r="R473" i="6" s="1"/>
  <c r="AZ80" i="6"/>
  <c r="BZ164" i="6" s="1"/>
  <c r="AZ107" i="6"/>
  <c r="AZ289" i="6" s="1"/>
  <c r="AZ473" i="6" s="1"/>
  <c r="AZ290" i="6"/>
  <c r="AZ474" i="6" s="1"/>
  <c r="AW314" i="6"/>
  <c r="AW413" i="6"/>
  <c r="AW228" i="6"/>
  <c r="AW412" i="6" s="1"/>
  <c r="L5" i="9"/>
  <c r="M15" i="9" s="1"/>
  <c r="AZ117" i="6"/>
  <c r="AZ299" i="6" s="1"/>
  <c r="AZ483" i="6" s="1"/>
  <c r="AZ300" i="6"/>
  <c r="AZ484" i="6" s="1"/>
  <c r="BA217" i="6"/>
  <c r="BB374" i="6"/>
  <c r="BB189" i="6"/>
  <c r="AX314" i="6"/>
  <c r="AX228" i="6"/>
  <c r="AX412" i="6" s="1"/>
  <c r="AX413" i="6"/>
  <c r="BB216" i="6"/>
  <c r="BB401" i="6"/>
  <c r="BB400" i="6" s="1"/>
  <c r="AV201" i="3"/>
  <c r="E5" i="9"/>
  <c r="F15" i="9" s="1"/>
  <c r="AV114" i="3"/>
  <c r="D15" i="27"/>
  <c r="AZ524" i="6"/>
  <c r="BB342" i="6"/>
  <c r="BB524" i="6" s="1"/>
  <c r="BA342" i="6"/>
  <c r="BA524" i="6" s="1"/>
  <c r="D21" i="27"/>
  <c r="D25" i="27"/>
  <c r="C41" i="27" s="1"/>
  <c r="D10" i="27"/>
  <c r="D26" i="27" s="1"/>
  <c r="D41" i="27" s="1"/>
  <c r="D14" i="27"/>
  <c r="AV99" i="3"/>
  <c r="D9" i="27" s="1"/>
  <c r="AV111" i="3"/>
  <c r="BA258" i="6"/>
  <c r="AZ442" i="6"/>
  <c r="AZ344" i="6"/>
  <c r="BB331" i="6"/>
  <c r="BA331" i="6"/>
  <c r="AZ513" i="6"/>
  <c r="AX311" i="6"/>
  <c r="AX225" i="6"/>
  <c r="AX409" i="6" s="1"/>
  <c r="AX410" i="6"/>
  <c r="AR127" i="3"/>
  <c r="AQ126" i="3"/>
  <c r="AQ217" i="3"/>
  <c r="AQ216" i="3" s="1"/>
  <c r="AS127" i="3"/>
  <c r="BA428" i="6"/>
  <c r="BA243" i="6"/>
  <c r="BA427" i="6" s="1"/>
  <c r="BA246" i="6"/>
  <c r="BA430" i="6" s="1"/>
  <c r="BA431" i="6"/>
  <c r="AW201" i="3"/>
  <c r="D13" i="27"/>
  <c r="AW114" i="3"/>
  <c r="C25" i="27"/>
  <c r="C38" i="27" s="1"/>
  <c r="C21" i="27"/>
  <c r="C29" i="27" s="1"/>
  <c r="C39" i="27" s="1"/>
  <c r="C10" i="27"/>
  <c r="C26" i="27" s="1"/>
  <c r="D38" i="27" s="1"/>
  <c r="AW111" i="3"/>
  <c r="AV456" i="6"/>
  <c r="AW272" i="6"/>
  <c r="AV358" i="6"/>
  <c r="AX272" i="6"/>
  <c r="AR130" i="3"/>
  <c r="AS130" i="3"/>
  <c r="AQ129" i="3"/>
  <c r="AQ220" i="3"/>
  <c r="AQ219" i="3" s="1"/>
  <c r="AZ527" i="6"/>
  <c r="BB345" i="6"/>
  <c r="BB527" i="6" s="1"/>
  <c r="BA345" i="6"/>
  <c r="BA527" i="6" s="1"/>
  <c r="AV192" i="3"/>
  <c r="C13" i="27" s="1"/>
  <c r="AV204" i="3"/>
  <c r="BB334" i="6"/>
  <c r="BA334" i="6"/>
  <c r="AZ516" i="6"/>
  <c r="AZ341" i="6"/>
  <c r="AZ439" i="6"/>
  <c r="BA255" i="6"/>
  <c r="AW192" i="3"/>
  <c r="C15" i="27" s="1"/>
  <c r="AW204" i="3"/>
  <c r="BB431" i="6"/>
  <c r="BB246" i="6"/>
  <c r="AW311" i="6"/>
  <c r="BB428" i="6"/>
  <c r="BB243" i="6"/>
  <c r="AP66" i="3"/>
  <c r="AP67" i="3" s="1"/>
  <c r="BF26" i="32"/>
  <c r="BF28" i="32" s="1"/>
  <c r="BJ15" i="32"/>
  <c r="BJ26" i="32" s="1"/>
  <c r="BJ28" i="32" s="1"/>
  <c r="AZ25" i="6" s="1"/>
  <c r="BI26" i="32"/>
  <c r="BI28" i="32" s="1"/>
  <c r="AY36" i="8"/>
  <c r="AU34" i="8"/>
  <c r="AU33" i="8" s="1"/>
  <c r="BG26" i="32"/>
  <c r="BG28" i="32" s="1"/>
  <c r="AV28" i="3" s="1"/>
  <c r="V15" i="9"/>
  <c r="AD22" i="9"/>
  <c r="O14" i="9"/>
  <c r="O15" i="9"/>
  <c r="C14" i="27"/>
  <c r="R258" i="6"/>
  <c r="R442" i="6" s="1"/>
  <c r="V14" i="9"/>
  <c r="O338" i="6"/>
  <c r="O520" i="6" s="1"/>
  <c r="R160" i="6"/>
  <c r="R344" i="6" s="1"/>
  <c r="R526" i="6" s="1"/>
  <c r="Y528" i="6"/>
  <c r="R333" i="6"/>
  <c r="R515" i="6" s="1"/>
  <c r="I399" i="6"/>
  <c r="L227" i="6"/>
  <c r="I406" i="6"/>
  <c r="I400" i="6"/>
  <c r="I408" i="6"/>
  <c r="I403" i="6"/>
  <c r="I407" i="6"/>
  <c r="I402" i="6"/>
  <c r="I409" i="6"/>
  <c r="I404" i="6"/>
  <c r="I401" i="6"/>
  <c r="I405" i="6"/>
  <c r="G8" i="9" l="1"/>
  <c r="G5" i="9" s="1"/>
  <c r="H15" i="9" s="1"/>
  <c r="AZ114" i="6"/>
  <c r="AZ296" i="6" s="1"/>
  <c r="AZ480" i="6" s="1"/>
  <c r="D24" i="27"/>
  <c r="E41" i="27" s="1"/>
  <c r="CA159" i="6"/>
  <c r="BR156" i="6"/>
  <c r="BR152" i="6" s="1"/>
  <c r="BW170" i="6"/>
  <c r="BR171" i="6"/>
  <c r="BR175" i="6" s="1"/>
  <c r="BR172" i="6"/>
  <c r="BR176" i="6" s="1"/>
  <c r="BX170" i="6"/>
  <c r="BA159" i="6"/>
  <c r="AR156" i="6"/>
  <c r="AR152" i="6" s="1"/>
  <c r="AU589" i="6"/>
  <c r="AU590" i="6"/>
  <c r="AU593" i="6"/>
  <c r="AU595" i="6"/>
  <c r="AU594" i="6"/>
  <c r="AW173" i="6"/>
  <c r="AU592" i="6"/>
  <c r="AU591" i="6"/>
  <c r="AN13" i="9"/>
  <c r="AO593" i="6"/>
  <c r="AO595" i="6"/>
  <c r="AO592" i="6"/>
  <c r="AO594" i="6"/>
  <c r="AO591" i="6"/>
  <c r="AO590" i="6"/>
  <c r="AO589" i="6"/>
  <c r="AW170" i="6"/>
  <c r="AR171" i="6"/>
  <c r="AR175" i="6" s="1"/>
  <c r="H14" i="9"/>
  <c r="AN21" i="9"/>
  <c r="BR157" i="6"/>
  <c r="BR153" i="6" s="1"/>
  <c r="CB156" i="6"/>
  <c r="AR157" i="6"/>
  <c r="AR153" i="6" s="1"/>
  <c r="BB156" i="6"/>
  <c r="AP571" i="6"/>
  <c r="AP570" i="6"/>
  <c r="AR172" i="6"/>
  <c r="AR176" i="6" s="1"/>
  <c r="AP569" i="6"/>
  <c r="AP572" i="6"/>
  <c r="AP573" i="6"/>
  <c r="AP568" i="6"/>
  <c r="AP574" i="6"/>
  <c r="AX170" i="6"/>
  <c r="AW225" i="6"/>
  <c r="AW409" i="6" s="1"/>
  <c r="AZ287" i="6"/>
  <c r="AZ471" i="6" s="1"/>
  <c r="AW269" i="6"/>
  <c r="AW453" i="6" s="1"/>
  <c r="AX269" i="6"/>
  <c r="AX268" i="6" s="1"/>
  <c r="AX452" i="6" s="1"/>
  <c r="AZ164" i="6"/>
  <c r="AZ262" i="6"/>
  <c r="BB262" i="6" s="1"/>
  <c r="BB446" i="6" s="1"/>
  <c r="AV453" i="6"/>
  <c r="R100" i="6"/>
  <c r="R282" i="6" s="1"/>
  <c r="R466" i="6" s="1"/>
  <c r="M14" i="9"/>
  <c r="AX498" i="6"/>
  <c r="AX313" i="6"/>
  <c r="AX497" i="6" s="1"/>
  <c r="AW313" i="6"/>
  <c r="AW497" i="6" s="1"/>
  <c r="AW498" i="6"/>
  <c r="BA401" i="6"/>
  <c r="BA400" i="6" s="1"/>
  <c r="BA216" i="6"/>
  <c r="F14" i="9"/>
  <c r="C24" i="27"/>
  <c r="E38" i="27" s="1"/>
  <c r="D30" i="27"/>
  <c r="D42" i="27" s="1"/>
  <c r="D28" i="27"/>
  <c r="E42" i="27" s="1"/>
  <c r="C28" i="27"/>
  <c r="E39" i="27" s="1"/>
  <c r="AS129" i="3"/>
  <c r="AS219" i="3" s="1"/>
  <c r="AS220" i="3"/>
  <c r="AW456" i="6"/>
  <c r="AW271" i="6"/>
  <c r="AW455" i="6" s="1"/>
  <c r="BB330" i="6"/>
  <c r="BB512" i="6" s="1"/>
  <c r="BB513" i="6"/>
  <c r="AZ523" i="6"/>
  <c r="BB341" i="6"/>
  <c r="BA341" i="6"/>
  <c r="AR220" i="3"/>
  <c r="AR129" i="3"/>
  <c r="AR219" i="3" s="1"/>
  <c r="AX310" i="6"/>
  <c r="AX494" i="6" s="1"/>
  <c r="AX495" i="6"/>
  <c r="AZ526" i="6"/>
  <c r="BA344" i="6"/>
  <c r="BB344" i="6"/>
  <c r="BB427" i="6"/>
  <c r="AW495" i="6"/>
  <c r="AW310" i="6"/>
  <c r="AW494" i="6" s="1"/>
  <c r="AW355" i="6"/>
  <c r="AX355" i="6"/>
  <c r="AV537" i="6"/>
  <c r="AX271" i="6"/>
  <c r="AX455" i="6" s="1"/>
  <c r="AX456" i="6"/>
  <c r="AR217" i="3"/>
  <c r="AR126" i="3"/>
  <c r="AR216" i="3" s="1"/>
  <c r="D29" i="27"/>
  <c r="C42" i="27" s="1"/>
  <c r="C40" i="27"/>
  <c r="BB333" i="6"/>
  <c r="BB515" i="6" s="1"/>
  <c r="BB516" i="6"/>
  <c r="C37" i="27"/>
  <c r="BB430" i="6"/>
  <c r="C11" i="29"/>
  <c r="BA254" i="6"/>
  <c r="BA438" i="6" s="1"/>
  <c r="BA439" i="6"/>
  <c r="BB255" i="6"/>
  <c r="BA333" i="6"/>
  <c r="BA515" i="6" s="1"/>
  <c r="BA516" i="6"/>
  <c r="AV540" i="6"/>
  <c r="AW358" i="6"/>
  <c r="AX358" i="6"/>
  <c r="AS217" i="3"/>
  <c r="AS126" i="3"/>
  <c r="AS216" i="3" s="1"/>
  <c r="BA330" i="6"/>
  <c r="BA512" i="6" s="1"/>
  <c r="BA513" i="6"/>
  <c r="BB258" i="6"/>
  <c r="BA257" i="6"/>
  <c r="BA441" i="6" s="1"/>
  <c r="BA442" i="6"/>
  <c r="BG29" i="32"/>
  <c r="AV16" i="3"/>
  <c r="BA14" i="6"/>
  <c r="BJ29" i="32"/>
  <c r="AV50" i="6" s="1"/>
  <c r="AU118" i="3"/>
  <c r="AU208" i="3"/>
  <c r="AP23" i="3"/>
  <c r="AP24" i="3" s="1"/>
  <c r="AZ24" i="6"/>
  <c r="AV21" i="6"/>
  <c r="AV203" i="6" s="1"/>
  <c r="AV387" i="6" s="1"/>
  <c r="AZ207" i="6"/>
  <c r="AZ446" i="6"/>
  <c r="C30" i="27"/>
  <c r="D39" i="27" s="1"/>
  <c r="O143" i="6"/>
  <c r="O327" i="6" s="1"/>
  <c r="O509" i="6" s="1"/>
  <c r="T228" i="6"/>
  <c r="T412" i="6" s="1"/>
  <c r="O230" i="6"/>
  <c r="T225" i="6"/>
  <c r="T409" i="6" s="1"/>
  <c r="T231" i="6"/>
  <c r="T415" i="6" s="1"/>
  <c r="L204" i="6"/>
  <c r="AX453" i="6" l="1"/>
  <c r="AW268" i="6"/>
  <c r="AW452" i="6" s="1"/>
  <c r="BA262" i="6"/>
  <c r="BA446" i="6" s="1"/>
  <c r="AZ348" i="6"/>
  <c r="AZ530" i="6" s="1"/>
  <c r="D11" i="29"/>
  <c r="AX354" i="6"/>
  <c r="AX536" i="6" s="1"/>
  <c r="AX537" i="6"/>
  <c r="BB340" i="6"/>
  <c r="BB522" i="6" s="1"/>
  <c r="BB523" i="6"/>
  <c r="BB257" i="6"/>
  <c r="BB441" i="6" s="1"/>
  <c r="BB442" i="6"/>
  <c r="BB254" i="6"/>
  <c r="BB438" i="6" s="1"/>
  <c r="BB439" i="6"/>
  <c r="AW354" i="6"/>
  <c r="AW536" i="6" s="1"/>
  <c r="AW537" i="6"/>
  <c r="AX357" i="6"/>
  <c r="AX539" i="6" s="1"/>
  <c r="AX540" i="6"/>
  <c r="BB343" i="6"/>
  <c r="BB525" i="6" s="1"/>
  <c r="BB526" i="6"/>
  <c r="AW357" i="6"/>
  <c r="AW539" i="6" s="1"/>
  <c r="AW540" i="6"/>
  <c r="BA343" i="6"/>
  <c r="BA525" i="6" s="1"/>
  <c r="BA526" i="6"/>
  <c r="BA340" i="6"/>
  <c r="BA522" i="6" s="1"/>
  <c r="BA523" i="6"/>
  <c r="BA196" i="6"/>
  <c r="AZ41" i="6"/>
  <c r="AV11" i="6"/>
  <c r="BA13" i="6"/>
  <c r="AV135" i="6"/>
  <c r="AV49" i="6"/>
  <c r="AR46" i="6"/>
  <c r="AR228" i="6" s="1"/>
  <c r="AR412" i="6" s="1"/>
  <c r="AV232" i="6"/>
  <c r="BB207" i="6"/>
  <c r="BA207" i="6"/>
  <c r="AZ391" i="6"/>
  <c r="AW208" i="3"/>
  <c r="AV208" i="3"/>
  <c r="AS13" i="3"/>
  <c r="AS12" i="3" s="1"/>
  <c r="AV15" i="3"/>
  <c r="AV6" i="3" s="1"/>
  <c r="AU96" i="3" s="1"/>
  <c r="AU186" i="3" s="1"/>
  <c r="AU106" i="3"/>
  <c r="AV27" i="3"/>
  <c r="AU45" i="3" s="1"/>
  <c r="AU196" i="3"/>
  <c r="BA348" i="6"/>
  <c r="BA530" i="6" s="1"/>
  <c r="AV118" i="3"/>
  <c r="AW118" i="3"/>
  <c r="AO14" i="8"/>
  <c r="AQ43" i="3"/>
  <c r="X203" i="6"/>
  <c r="X206" i="6"/>
  <c r="X200" i="6"/>
  <c r="N218" i="6"/>
  <c r="N196" i="6"/>
  <c r="BB348" i="6" l="1"/>
  <c r="BB530" i="6" s="1"/>
  <c r="AO13" i="8"/>
  <c r="AK10" i="8"/>
  <c r="AK11" i="8" s="1"/>
  <c r="AU117" i="3"/>
  <c r="AU135" i="3" s="1"/>
  <c r="AU225" i="3" s="1"/>
  <c r="AU105" i="3"/>
  <c r="AV106" i="3"/>
  <c r="AW106" i="3"/>
  <c r="AV416" i="6"/>
  <c r="AX232" i="6"/>
  <c r="AW232" i="6"/>
  <c r="AV317" i="6"/>
  <c r="AV501" i="6" s="1"/>
  <c r="AU207" i="3"/>
  <c r="AW196" i="3"/>
  <c r="AV196" i="3"/>
  <c r="AU195" i="3"/>
  <c r="BA206" i="6"/>
  <c r="AV201" i="6"/>
  <c r="AZ40" i="6"/>
  <c r="AV37" i="6"/>
  <c r="AV219" i="6" s="1"/>
  <c r="AV403" i="6" s="1"/>
  <c r="AQ133" i="3"/>
  <c r="AM39" i="3"/>
  <c r="AM40" i="3" s="1"/>
  <c r="AQ42" i="3"/>
  <c r="AQ45" i="3" s="1"/>
  <c r="BB206" i="6"/>
  <c r="AV202" i="6"/>
  <c r="AZ121" i="6"/>
  <c r="AZ111" i="6"/>
  <c r="AV134" i="6"/>
  <c r="AR131" i="6"/>
  <c r="AR132" i="6" s="1"/>
  <c r="AR314" i="6" s="1"/>
  <c r="AR498" i="6" s="1"/>
  <c r="BA380" i="6"/>
  <c r="BC196" i="6"/>
  <c r="BB196" i="6"/>
  <c r="AZ223" i="6"/>
  <c r="AZ407" i="6" s="1"/>
  <c r="Y195" i="6"/>
  <c r="Y192" i="6"/>
  <c r="C9" i="29" s="1"/>
  <c r="S190" i="6"/>
  <c r="Y189" i="6"/>
  <c r="D9" i="29" s="1"/>
  <c r="S206" i="6"/>
  <c r="X216" i="6"/>
  <c r="S221" i="6"/>
  <c r="X219" i="6"/>
  <c r="X222" i="6"/>
  <c r="AV207" i="6" l="1"/>
  <c r="AV386" i="6"/>
  <c r="AR133" i="3"/>
  <c r="AQ132" i="3"/>
  <c r="AQ135" i="3" s="1"/>
  <c r="AQ225" i="3" s="1"/>
  <c r="AS133" i="3"/>
  <c r="AM129" i="3"/>
  <c r="AQ223" i="3"/>
  <c r="AQ222" i="3" s="1"/>
  <c r="AZ120" i="6"/>
  <c r="AR113" i="6"/>
  <c r="AZ303" i="6"/>
  <c r="AZ487" i="6" s="1"/>
  <c r="AV385" i="6"/>
  <c r="AV206" i="6"/>
  <c r="AW195" i="3"/>
  <c r="AW207" i="3"/>
  <c r="BA223" i="6"/>
  <c r="BB195" i="6"/>
  <c r="BB380" i="6"/>
  <c r="AV316" i="6"/>
  <c r="AV500" i="6" s="1"/>
  <c r="AV137" i="6"/>
  <c r="AV319" i="6" s="1"/>
  <c r="AV503" i="6" s="1"/>
  <c r="AW117" i="3"/>
  <c r="AW105" i="3"/>
  <c r="AX317" i="6"/>
  <c r="AX231" i="6"/>
  <c r="AX415" i="6" s="1"/>
  <c r="AX416" i="6"/>
  <c r="AR227" i="6"/>
  <c r="AR231" i="6" s="1"/>
  <c r="BB223" i="6"/>
  <c r="BC195" i="6"/>
  <c r="BC380" i="6"/>
  <c r="AZ293" i="6"/>
  <c r="AZ477" i="6" s="1"/>
  <c r="AZ110" i="6"/>
  <c r="AV195" i="3"/>
  <c r="AV207" i="3"/>
  <c r="AW317" i="6"/>
  <c r="AW231" i="6"/>
  <c r="AW415" i="6" s="1"/>
  <c r="AW416" i="6"/>
  <c r="AR226" i="6"/>
  <c r="AR230" i="6" s="1"/>
  <c r="AV117" i="3"/>
  <c r="AV105" i="3"/>
  <c r="AK16" i="8"/>
  <c r="AO16" i="8"/>
  <c r="CD22" i="21"/>
  <c r="CC22" i="21"/>
  <c r="M9" i="33" s="1"/>
  <c r="CC45" i="21"/>
  <c r="CD45" i="21"/>
  <c r="CC68" i="21"/>
  <c r="CD68" i="21"/>
  <c r="M30" i="33" l="1"/>
  <c r="AV34" i="33" s="1"/>
  <c r="AS40" i="33"/>
  <c r="BA40" i="33"/>
  <c r="BA42" i="33"/>
  <c r="AU43" i="33"/>
  <c r="BA44" i="33"/>
  <c r="AR41" i="33"/>
  <c r="BB34" i="33"/>
  <c r="AV35" i="33"/>
  <c r="BB36" i="33"/>
  <c r="AV37" i="33"/>
  <c r="AT38" i="33"/>
  <c r="AX38" i="33"/>
  <c r="BB38" i="33"/>
  <c r="AZ39" i="33"/>
  <c r="AT40" i="33"/>
  <c r="AX40" i="33"/>
  <c r="AV41" i="33"/>
  <c r="AZ41" i="33"/>
  <c r="AT42" i="33"/>
  <c r="BB42" i="33"/>
  <c r="AV43" i="33"/>
  <c r="AZ43" i="33"/>
  <c r="AX44" i="33"/>
  <c r="BB44" i="33"/>
  <c r="AR38" i="33"/>
  <c r="AU34" i="33"/>
  <c r="BA35" i="33"/>
  <c r="AW37" i="33"/>
  <c r="AS39" i="33"/>
  <c r="AY40" i="33"/>
  <c r="AU42" i="33"/>
  <c r="BA43" i="33"/>
  <c r="AR39" i="33"/>
  <c r="AU36" i="33"/>
  <c r="AU38" i="33"/>
  <c r="AU40" i="33"/>
  <c r="AY42" i="33"/>
  <c r="AY44" i="33"/>
  <c r="AY34" i="33"/>
  <c r="AY36" i="33"/>
  <c r="AY38" i="33"/>
  <c r="AS41" i="33"/>
  <c r="AS43" i="33"/>
  <c r="AR35" i="33"/>
  <c r="AS35" i="33"/>
  <c r="AS37" i="33"/>
  <c r="AW39" i="33"/>
  <c r="AW41" i="33"/>
  <c r="AW43" i="33"/>
  <c r="AR43" i="33"/>
  <c r="BA41" i="33"/>
  <c r="AW35" i="33"/>
  <c r="AU44" i="33"/>
  <c r="BA37" i="33"/>
  <c r="BA39" i="33"/>
  <c r="AV13" i="33"/>
  <c r="AZ13" i="33"/>
  <c r="AT14" i="33"/>
  <c r="AX14" i="33"/>
  <c r="BB14" i="33"/>
  <c r="AV15" i="33"/>
  <c r="AZ15" i="33"/>
  <c r="AT16" i="33"/>
  <c r="AX16" i="33"/>
  <c r="BB16" i="33"/>
  <c r="AV17" i="33"/>
  <c r="AZ17" i="33"/>
  <c r="AT18" i="33"/>
  <c r="AX18" i="33"/>
  <c r="BB18" i="33"/>
  <c r="AV19" i="33"/>
  <c r="AZ19" i="33"/>
  <c r="AT20" i="33"/>
  <c r="AX20" i="33"/>
  <c r="AS13" i="33"/>
  <c r="AW13" i="33"/>
  <c r="BA13" i="33"/>
  <c r="AU14" i="33"/>
  <c r="AY14" i="33"/>
  <c r="AS15" i="33"/>
  <c r="AW15" i="33"/>
  <c r="BA15" i="33"/>
  <c r="AU16" i="33"/>
  <c r="AY16" i="33"/>
  <c r="AS17" i="33"/>
  <c r="AW17" i="33"/>
  <c r="BA17" i="33"/>
  <c r="AU18" i="33"/>
  <c r="AY18" i="33"/>
  <c r="AS19" i="33"/>
  <c r="AW19" i="33"/>
  <c r="BA19" i="33"/>
  <c r="AU20" i="33"/>
  <c r="AY20" i="33"/>
  <c r="AS21" i="33"/>
  <c r="AT13" i="33"/>
  <c r="AX13" i="33"/>
  <c r="BB13" i="33"/>
  <c r="AV14" i="33"/>
  <c r="AZ14" i="33"/>
  <c r="AT15" i="33"/>
  <c r="AX15" i="33"/>
  <c r="BB15" i="33"/>
  <c r="AV16" i="33"/>
  <c r="AZ16" i="33"/>
  <c r="AT17" i="33"/>
  <c r="AX17" i="33"/>
  <c r="BB17" i="33"/>
  <c r="AV18" i="33"/>
  <c r="AZ18" i="33"/>
  <c r="AT19" i="33"/>
  <c r="AX19" i="33"/>
  <c r="BB19" i="33"/>
  <c r="AV20" i="33"/>
  <c r="AZ20" i="33"/>
  <c r="AT21" i="33"/>
  <c r="AY13" i="33"/>
  <c r="AU15" i="33"/>
  <c r="BA16" i="33"/>
  <c r="AW18" i="33"/>
  <c r="AS20" i="33"/>
  <c r="AU21" i="33"/>
  <c r="AY21" i="33"/>
  <c r="AS22" i="33"/>
  <c r="AW22" i="33"/>
  <c r="BA22" i="33"/>
  <c r="AU23" i="33"/>
  <c r="AY23" i="33"/>
  <c r="AR14" i="33"/>
  <c r="AR18" i="33"/>
  <c r="AR22" i="33"/>
  <c r="AS14" i="33"/>
  <c r="AY15" i="33"/>
  <c r="AU17" i="33"/>
  <c r="BA18" i="33"/>
  <c r="AW20" i="33"/>
  <c r="AV21" i="33"/>
  <c r="AZ21" i="33"/>
  <c r="AT22" i="33"/>
  <c r="AX22" i="33"/>
  <c r="BB22" i="33"/>
  <c r="AV23" i="33"/>
  <c r="AZ23" i="33"/>
  <c r="AR15" i="33"/>
  <c r="AR19" i="33"/>
  <c r="AR23" i="33"/>
  <c r="AW14" i="33"/>
  <c r="AS16" i="33"/>
  <c r="AY17" i="33"/>
  <c r="AU19" i="33"/>
  <c r="BA20" i="33"/>
  <c r="AW21" i="33"/>
  <c r="BA21" i="33"/>
  <c r="AU22" i="33"/>
  <c r="AY22" i="33"/>
  <c r="AS23" i="33"/>
  <c r="AW23" i="33"/>
  <c r="BA23" i="33"/>
  <c r="AR16" i="33"/>
  <c r="BI18" i="33" s="1"/>
  <c r="AR20" i="33"/>
  <c r="AR13" i="33"/>
  <c r="AU13" i="33"/>
  <c r="BA14" i="33"/>
  <c r="AW16" i="33"/>
  <c r="AS18" i="33"/>
  <c r="AY19" i="33"/>
  <c r="BB20" i="33"/>
  <c r="AX21" i="33"/>
  <c r="BB21" i="33"/>
  <c r="AV22" i="33"/>
  <c r="AZ22" i="33"/>
  <c r="AT23" i="33"/>
  <c r="AX23" i="33"/>
  <c r="BB23" i="33"/>
  <c r="AR17" i="33"/>
  <c r="AR21" i="33"/>
  <c r="M53" i="33"/>
  <c r="CD70" i="21"/>
  <c r="BT71" i="21" s="1"/>
  <c r="V22" i="3" s="1"/>
  <c r="CC70" i="21"/>
  <c r="BT70" i="21" s="1"/>
  <c r="V10" i="3" s="1"/>
  <c r="CC47" i="21"/>
  <c r="BT47" i="21" s="1"/>
  <c r="V13" i="3" s="1"/>
  <c r="CD47" i="21"/>
  <c r="BT48" i="21" s="1"/>
  <c r="V25" i="3" s="1"/>
  <c r="CC24" i="21"/>
  <c r="BT24" i="21" s="1"/>
  <c r="V16" i="3" s="1"/>
  <c r="CD24" i="21"/>
  <c r="AZ292" i="6"/>
  <c r="AZ476" i="6" s="1"/>
  <c r="AZ100" i="6"/>
  <c r="AZ282" i="6" s="1"/>
  <c r="AZ466" i="6" s="1"/>
  <c r="BB222" i="6"/>
  <c r="BB407" i="6"/>
  <c r="BB406" i="6" s="1"/>
  <c r="AV218" i="6"/>
  <c r="AX316" i="6"/>
  <c r="AX500" i="6" s="1"/>
  <c r="AX501" i="6"/>
  <c r="AM219" i="3"/>
  <c r="AM220" i="3" s="1"/>
  <c r="AM130" i="3"/>
  <c r="AW316" i="6"/>
  <c r="AW500" i="6" s="1"/>
  <c r="AW501" i="6"/>
  <c r="AZ302" i="6"/>
  <c r="AZ486" i="6" s="1"/>
  <c r="AZ101" i="6"/>
  <c r="AZ283" i="6" s="1"/>
  <c r="AZ467" i="6" s="1"/>
  <c r="AR295" i="6"/>
  <c r="AR479" i="6" s="1"/>
  <c r="AR112" i="6"/>
  <c r="AS132" i="3"/>
  <c r="AS222" i="3" s="1"/>
  <c r="AS223" i="3"/>
  <c r="AM128" i="3"/>
  <c r="AM132" i="3" s="1"/>
  <c r="BA407" i="6"/>
  <c r="BA406" i="6" s="1"/>
  <c r="AV217" i="6"/>
  <c r="BA222" i="6"/>
  <c r="AM127" i="3"/>
  <c r="AM131" i="3" s="1"/>
  <c r="AR132" i="3"/>
  <c r="AR222" i="3" s="1"/>
  <c r="AR223" i="3"/>
  <c r="AX36" i="33" l="1"/>
  <c r="AT34" i="33"/>
  <c r="AW44" i="33"/>
  <c r="AW42" i="33"/>
  <c r="AY39" i="33"/>
  <c r="AR42" i="33"/>
  <c r="AT44" i="33"/>
  <c r="AX42" i="33"/>
  <c r="BB40" i="33"/>
  <c r="AV39" i="33"/>
  <c r="AZ37" i="33"/>
  <c r="AZ35" i="33"/>
  <c r="AR34" i="33"/>
  <c r="AS44" i="33"/>
  <c r="AY41" i="33"/>
  <c r="AY37" i="33"/>
  <c r="AS36" i="33"/>
  <c r="AU41" i="33"/>
  <c r="AU39" i="33"/>
  <c r="AU35" i="33"/>
  <c r="AW38" i="33"/>
  <c r="AW34" i="33"/>
  <c r="BA36" i="33"/>
  <c r="AR36" i="33"/>
  <c r="AV44" i="33"/>
  <c r="AZ42" i="33"/>
  <c r="AR44" i="33"/>
  <c r="AV40" i="33"/>
  <c r="AS38" i="33"/>
  <c r="AW36" i="33"/>
  <c r="BA34" i="33"/>
  <c r="AR40" i="33"/>
  <c r="BB43" i="33"/>
  <c r="AV42" i="33"/>
  <c r="BB39" i="33"/>
  <c r="AX43" i="33"/>
  <c r="BB41" i="33"/>
  <c r="AT39" i="33"/>
  <c r="AT36" i="33"/>
  <c r="AX34" i="33"/>
  <c r="AR37" i="33"/>
  <c r="BI39" i="33" s="1"/>
  <c r="AY43" i="33"/>
  <c r="AS42" i="33"/>
  <c r="AW40" i="33"/>
  <c r="BA38" i="33"/>
  <c r="AU37" i="33"/>
  <c r="AY35" i="33"/>
  <c r="AS34" i="33"/>
  <c r="AZ44" i="33"/>
  <c r="AT43" i="33"/>
  <c r="AX41" i="33"/>
  <c r="AV38" i="33"/>
  <c r="AT37" i="33"/>
  <c r="AZ36" i="33"/>
  <c r="AZ40" i="33"/>
  <c r="AZ38" i="33"/>
  <c r="AX35" i="33"/>
  <c r="AT35" i="33"/>
  <c r="BF37" i="33" s="1"/>
  <c r="AT41" i="33"/>
  <c r="AX39" i="33"/>
  <c r="BG41" i="33" s="1"/>
  <c r="BB37" i="33"/>
  <c r="AV36" i="33"/>
  <c r="BF38" i="33" s="1"/>
  <c r="AZ34" i="33"/>
  <c r="BG36" i="33" s="1"/>
  <c r="AX37" i="33"/>
  <c r="BB35" i="33"/>
  <c r="BG16" i="33"/>
  <c r="BI36" i="33"/>
  <c r="BJ36" i="33" s="1"/>
  <c r="BF36" i="33"/>
  <c r="BJ20" i="33"/>
  <c r="BF20" i="33"/>
  <c r="BG19" i="33"/>
  <c r="BI38" i="33"/>
  <c r="AS57" i="33"/>
  <c r="AW57" i="33"/>
  <c r="BA57" i="33"/>
  <c r="AU58" i="33"/>
  <c r="AY58" i="33"/>
  <c r="AS59" i="33"/>
  <c r="AW59" i="33"/>
  <c r="BA59" i="33"/>
  <c r="AU60" i="33"/>
  <c r="AY60" i="33"/>
  <c r="AS61" i="33"/>
  <c r="AW61" i="33"/>
  <c r="BA61" i="33"/>
  <c r="AU62" i="33"/>
  <c r="AY62" i="33"/>
  <c r="AS63" i="33"/>
  <c r="AW63" i="33"/>
  <c r="BA63" i="33"/>
  <c r="AU64" i="33"/>
  <c r="AY64" i="33"/>
  <c r="AS65" i="33"/>
  <c r="AW65" i="33"/>
  <c r="BA65" i="33"/>
  <c r="AU66" i="33"/>
  <c r="AY66" i="33"/>
  <c r="AS67" i="33"/>
  <c r="AW67" i="33"/>
  <c r="BA67" i="33"/>
  <c r="AR60" i="33"/>
  <c r="BI62" i="33" s="1"/>
  <c r="AR64" i="33"/>
  <c r="AR57" i="33"/>
  <c r="AT57" i="33"/>
  <c r="AX57" i="33"/>
  <c r="BB57" i="33"/>
  <c r="AV58" i="33"/>
  <c r="AZ58" i="33"/>
  <c r="AT59" i="33"/>
  <c r="AX59" i="33"/>
  <c r="BB59" i="33"/>
  <c r="AV60" i="33"/>
  <c r="AZ60" i="33"/>
  <c r="AT61" i="33"/>
  <c r="AX61" i="33"/>
  <c r="BB61" i="33"/>
  <c r="AV62" i="33"/>
  <c r="AZ62" i="33"/>
  <c r="AT63" i="33"/>
  <c r="AX63" i="33"/>
  <c r="BB63" i="33"/>
  <c r="AV64" i="33"/>
  <c r="AZ64" i="33"/>
  <c r="AT65" i="33"/>
  <c r="AX65" i="33"/>
  <c r="BB65" i="33"/>
  <c r="AV66" i="33"/>
  <c r="AZ66" i="33"/>
  <c r="AT67" i="33"/>
  <c r="AX67" i="33"/>
  <c r="BB67" i="33"/>
  <c r="AR61" i="33"/>
  <c r="AR65" i="33"/>
  <c r="AU57" i="33"/>
  <c r="AY57" i="33"/>
  <c r="AS58" i="33"/>
  <c r="AW58" i="33"/>
  <c r="BA58" i="33"/>
  <c r="AU59" i="33"/>
  <c r="AY59" i="33"/>
  <c r="AS60" i="33"/>
  <c r="AW60" i="33"/>
  <c r="BA60" i="33"/>
  <c r="AU61" i="33"/>
  <c r="AY61" i="33"/>
  <c r="AS62" i="33"/>
  <c r="AW62" i="33"/>
  <c r="BA62" i="33"/>
  <c r="AU63" i="33"/>
  <c r="AY63" i="33"/>
  <c r="AS64" i="33"/>
  <c r="AW64" i="33"/>
  <c r="BA64" i="33"/>
  <c r="AU65" i="33"/>
  <c r="AY65" i="33"/>
  <c r="AS66" i="33"/>
  <c r="AW66" i="33"/>
  <c r="BA66" i="33"/>
  <c r="AU67" i="33"/>
  <c r="AY67" i="33"/>
  <c r="AR58" i="33"/>
  <c r="AR62" i="33"/>
  <c r="AR66" i="33"/>
  <c r="AV57" i="33"/>
  <c r="AZ57" i="33"/>
  <c r="AT58" i="33"/>
  <c r="AZ59" i="33"/>
  <c r="AV61" i="33"/>
  <c r="BB62" i="33"/>
  <c r="AX64" i="33"/>
  <c r="AT66" i="33"/>
  <c r="AZ67" i="33"/>
  <c r="AX58" i="33"/>
  <c r="AX60" i="33"/>
  <c r="AX62" i="33"/>
  <c r="BB64" i="33"/>
  <c r="BB66" i="33"/>
  <c r="AR67" i="33"/>
  <c r="BB58" i="33"/>
  <c r="BB60" i="33"/>
  <c r="AV63" i="33"/>
  <c r="AV65" i="33"/>
  <c r="AV67" i="33"/>
  <c r="AV59" i="33"/>
  <c r="AZ61" i="33"/>
  <c r="AZ63" i="33"/>
  <c r="AZ65" i="33"/>
  <c r="AR59" i="33"/>
  <c r="AT60" i="33"/>
  <c r="AR63" i="33"/>
  <c r="AT62" i="33"/>
  <c r="AT64" i="33"/>
  <c r="AX66" i="33"/>
  <c r="BF15" i="33"/>
  <c r="BI15" i="33"/>
  <c r="BJ15" i="33" s="1"/>
  <c r="BI16" i="33"/>
  <c r="BJ16" i="33" s="1"/>
  <c r="BF16" i="33"/>
  <c r="BG17" i="33"/>
  <c r="BG20" i="33"/>
  <c r="BI17" i="33"/>
  <c r="BJ17" i="33" s="1"/>
  <c r="BF17" i="33"/>
  <c r="BG18" i="33"/>
  <c r="BG15" i="33"/>
  <c r="BI37" i="33"/>
  <c r="BF19" i="33"/>
  <c r="BJ19" i="33"/>
  <c r="BF18" i="33"/>
  <c r="BJ18" i="33"/>
  <c r="CD25" i="21"/>
  <c r="T135" i="6" s="1"/>
  <c r="U589" i="6" s="1"/>
  <c r="CD71" i="21"/>
  <c r="T129" i="6" s="1"/>
  <c r="I589" i="6" s="1"/>
  <c r="CD48" i="21"/>
  <c r="T132" i="6" s="1"/>
  <c r="O589" i="6" s="1"/>
  <c r="BT25" i="21"/>
  <c r="V28" i="3" s="1"/>
  <c r="AV402" i="6"/>
  <c r="AV222" i="6"/>
  <c r="AV401" i="6"/>
  <c r="AV221" i="6"/>
  <c r="AU107" i="6"/>
  <c r="AR294" i="6"/>
  <c r="AR478" i="6" s="1"/>
  <c r="AU118" i="6"/>
  <c r="AU300" i="6" s="1"/>
  <c r="AU484" i="6" s="1"/>
  <c r="U284" i="3"/>
  <c r="U281" i="3"/>
  <c r="U285" i="3"/>
  <c r="U279" i="3"/>
  <c r="U280" i="3"/>
  <c r="U283" i="3"/>
  <c r="U282" i="3"/>
  <c r="O280" i="3"/>
  <c r="O281" i="3"/>
  <c r="O285" i="3"/>
  <c r="O279" i="3"/>
  <c r="O284" i="3"/>
  <c r="O283" i="3"/>
  <c r="O282" i="3"/>
  <c r="I279" i="3"/>
  <c r="I283" i="3"/>
  <c r="I284" i="3"/>
  <c r="I282" i="3"/>
  <c r="I280" i="3"/>
  <c r="I281" i="3"/>
  <c r="I285" i="3"/>
  <c r="U592" i="6"/>
  <c r="I593" i="6"/>
  <c r="V12" i="3"/>
  <c r="V24" i="3"/>
  <c r="V27" i="3"/>
  <c r="V15" i="3"/>
  <c r="V9" i="3"/>
  <c r="R14" i="3"/>
  <c r="R9" i="3" s="1"/>
  <c r="V21" i="3"/>
  <c r="BF40" i="33" l="1"/>
  <c r="BJ41" i="33"/>
  <c r="I591" i="6"/>
  <c r="BG38" i="33"/>
  <c r="X121" i="6"/>
  <c r="X303" i="6" s="1"/>
  <c r="X487" i="6" s="1"/>
  <c r="BF41" i="33"/>
  <c r="Q43" i="3"/>
  <c r="Q42" i="3" s="1"/>
  <c r="U590" i="6"/>
  <c r="O14" i="8"/>
  <c r="O13" i="8" s="1"/>
  <c r="U593" i="6"/>
  <c r="Q37" i="3"/>
  <c r="U595" i="6"/>
  <c r="Q40" i="3"/>
  <c r="X118" i="6"/>
  <c r="X300" i="6" s="1"/>
  <c r="X484" i="6" s="1"/>
  <c r="O593" i="6"/>
  <c r="O592" i="6"/>
  <c r="BJ37" i="33"/>
  <c r="BF39" i="33"/>
  <c r="BF47" i="33" s="1"/>
  <c r="BF49" i="33" s="1"/>
  <c r="X105" i="6"/>
  <c r="O595" i="6"/>
  <c r="T47" i="6"/>
  <c r="O580" i="6" s="1"/>
  <c r="BJ38" i="33"/>
  <c r="BJ39" i="33"/>
  <c r="O594" i="6"/>
  <c r="O8" i="8"/>
  <c r="O7" i="8" s="1"/>
  <c r="T128" i="6"/>
  <c r="X108" i="6"/>
  <c r="T131" i="6"/>
  <c r="BG40" i="33"/>
  <c r="BG39" i="33"/>
  <c r="BJ40" i="33"/>
  <c r="O11" i="8"/>
  <c r="O10" i="8" s="1"/>
  <c r="I592" i="6"/>
  <c r="U591" i="6"/>
  <c r="U594" i="6"/>
  <c r="O591" i="6"/>
  <c r="O590" i="6"/>
  <c r="BG37" i="33"/>
  <c r="BG61" i="33"/>
  <c r="BG63" i="33"/>
  <c r="BG59" i="33"/>
  <c r="T50" i="6"/>
  <c r="U580" i="6" s="1"/>
  <c r="O129" i="6"/>
  <c r="O133" i="6" s="1"/>
  <c r="T134" i="6"/>
  <c r="X111" i="6"/>
  <c r="X110" i="6" s="1"/>
  <c r="BI60" i="33"/>
  <c r="BJ60" i="33" s="1"/>
  <c r="BF60" i="33"/>
  <c r="BG64" i="33"/>
  <c r="BF62" i="33"/>
  <c r="BJ62" i="33"/>
  <c r="BJ26" i="33"/>
  <c r="BJ28" i="33" s="1"/>
  <c r="BA25" i="6" s="1"/>
  <c r="BA24" i="6" s="1"/>
  <c r="BI61" i="33"/>
  <c r="BJ61" i="33" s="1"/>
  <c r="BF61" i="33"/>
  <c r="BJ63" i="33"/>
  <c r="BF63" i="33"/>
  <c r="BG62" i="33"/>
  <c r="BG26" i="33"/>
  <c r="BG28" i="33" s="1"/>
  <c r="AW28" i="3" s="1"/>
  <c r="BI26" i="33"/>
  <c r="BI28" i="33" s="1"/>
  <c r="BG60" i="33"/>
  <c r="BI59" i="33"/>
  <c r="BF59" i="33"/>
  <c r="BI47" i="33"/>
  <c r="BI49" i="33" s="1"/>
  <c r="BF26" i="33"/>
  <c r="BF28" i="33" s="1"/>
  <c r="BF64" i="33"/>
  <c r="BJ64" i="33"/>
  <c r="I595" i="6"/>
  <c r="I594" i="6"/>
  <c r="T44" i="6"/>
  <c r="I580" i="6" s="1"/>
  <c r="I590" i="6"/>
  <c r="X115" i="6"/>
  <c r="X297" i="6" s="1"/>
  <c r="X481" i="6" s="1"/>
  <c r="AU289" i="6"/>
  <c r="AU473" i="6" s="1"/>
  <c r="AU100" i="6"/>
  <c r="AU282" i="6" s="1"/>
  <c r="AU466" i="6" s="1"/>
  <c r="U584" i="6"/>
  <c r="X290" i="6"/>
  <c r="X474" i="6" s="1"/>
  <c r="X107" i="6"/>
  <c r="X117" i="6"/>
  <c r="X299" i="6" s="1"/>
  <c r="X483" i="6" s="1"/>
  <c r="X104" i="6"/>
  <c r="X287" i="6"/>
  <c r="X471" i="6" s="1"/>
  <c r="X120" i="6"/>
  <c r="X302" i="6" s="1"/>
  <c r="X486" i="6" s="1"/>
  <c r="O582" i="6"/>
  <c r="Q39" i="3"/>
  <c r="Q36" i="3"/>
  <c r="O585" i="6" l="1"/>
  <c r="O584" i="6"/>
  <c r="O581" i="6"/>
  <c r="O586" i="6"/>
  <c r="X293" i="6"/>
  <c r="X477" i="6" s="1"/>
  <c r="BG70" i="33"/>
  <c r="BG72" i="33" s="1"/>
  <c r="AW22" i="3" s="1"/>
  <c r="O583" i="6"/>
  <c r="BG47" i="33"/>
  <c r="BG49" i="33" s="1"/>
  <c r="AW25" i="3" s="1"/>
  <c r="U586" i="6"/>
  <c r="U583" i="6"/>
  <c r="U581" i="6"/>
  <c r="U582" i="6"/>
  <c r="U585" i="6"/>
  <c r="L37" i="3"/>
  <c r="L41" i="3" s="1"/>
  <c r="J8" i="8"/>
  <c r="J12" i="8" s="1"/>
  <c r="BJ47" i="33"/>
  <c r="BJ49" i="33" s="1"/>
  <c r="BA22" i="6" s="1"/>
  <c r="BA21" i="6" s="1"/>
  <c r="X114" i="6"/>
  <c r="X296" i="6" s="1"/>
  <c r="X480" i="6" s="1"/>
  <c r="O114" i="6"/>
  <c r="O110" i="6" s="1"/>
  <c r="O292" i="6" s="1"/>
  <c r="O476" i="6" s="1"/>
  <c r="O44" i="6"/>
  <c r="BI70" i="33"/>
  <c r="BI72" i="33" s="1"/>
  <c r="BB8" i="6" s="1"/>
  <c r="AW16" i="3"/>
  <c r="BG29" i="33"/>
  <c r="BB11" i="6"/>
  <c r="BJ59" i="33"/>
  <c r="BJ70" i="33" s="1"/>
  <c r="BJ72" i="33" s="1"/>
  <c r="BA19" i="6" s="1"/>
  <c r="BB14" i="6"/>
  <c r="BJ29" i="33"/>
  <c r="AW50" i="6" s="1"/>
  <c r="BF70" i="33"/>
  <c r="BF72" i="33" s="1"/>
  <c r="AW13" i="3"/>
  <c r="I585" i="6"/>
  <c r="I582" i="6"/>
  <c r="I584" i="6"/>
  <c r="I586" i="6"/>
  <c r="I581" i="6"/>
  <c r="I583" i="6"/>
  <c r="E592" i="6"/>
  <c r="AA36" i="25"/>
  <c r="X286" i="6"/>
  <c r="X470" i="6" s="1"/>
  <c r="X292" i="6"/>
  <c r="X476" i="6" s="1"/>
  <c r="X289" i="6"/>
  <c r="X473" i="6" s="1"/>
  <c r="BG50" i="33" l="1"/>
  <c r="BJ50" i="33"/>
  <c r="AW47" i="6" s="1"/>
  <c r="AW46" i="6" s="1"/>
  <c r="O296" i="6"/>
  <c r="O480" i="6" s="1"/>
  <c r="AP11" i="8"/>
  <c r="AP10" i="8" s="1"/>
  <c r="AR40" i="3"/>
  <c r="AR39" i="3" s="1"/>
  <c r="AW135" i="6"/>
  <c r="AW49" i="6"/>
  <c r="AW132" i="6"/>
  <c r="AP283" i="3"/>
  <c r="AD306" i="3" s="1"/>
  <c r="C306" i="3" s="1"/>
  <c r="AP284" i="3"/>
  <c r="AD307" i="3" s="1"/>
  <c r="C307" i="3" s="1"/>
  <c r="AW24" i="3"/>
  <c r="AP280" i="3"/>
  <c r="AD303" i="3" s="1"/>
  <c r="C303" i="3" s="1"/>
  <c r="AP282" i="3"/>
  <c r="AD305" i="3" s="1"/>
  <c r="C305" i="3" s="1"/>
  <c r="AP285" i="3"/>
  <c r="AD308" i="3" s="1"/>
  <c r="C308" i="3" s="1"/>
  <c r="AP279" i="3"/>
  <c r="AD302" i="3" s="1"/>
  <c r="C302" i="3" s="1"/>
  <c r="AW12" i="3"/>
  <c r="J15" i="9" s="1"/>
  <c r="AP281" i="3"/>
  <c r="AD304" i="3" s="1"/>
  <c r="C304" i="3" s="1"/>
  <c r="AX562" i="6"/>
  <c r="AG585" i="6" s="1"/>
  <c r="D585" i="6" s="1"/>
  <c r="BA41" i="6"/>
  <c r="AX563" i="6"/>
  <c r="AG586" i="6" s="1"/>
  <c r="D586" i="6" s="1"/>
  <c r="AX560" i="6"/>
  <c r="AG583" i="6" s="1"/>
  <c r="D583" i="6" s="1"/>
  <c r="AX561" i="6"/>
  <c r="AG584" i="6" s="1"/>
  <c r="D584" i="6" s="1"/>
  <c r="AX559" i="6"/>
  <c r="AG582" i="6" s="1"/>
  <c r="D582" i="6" s="1"/>
  <c r="AX565" i="6"/>
  <c r="AG588" i="6" s="1"/>
  <c r="D588" i="6" s="1"/>
  <c r="AX564" i="6"/>
  <c r="AG587" i="6" s="1"/>
  <c r="D587" i="6" s="1"/>
  <c r="BB13" i="6"/>
  <c r="AR561" i="6"/>
  <c r="AF584" i="6" s="1"/>
  <c r="C584" i="6" s="1"/>
  <c r="BA38" i="6"/>
  <c r="AR560" i="6"/>
  <c r="AF583" i="6" s="1"/>
  <c r="C583" i="6" s="1"/>
  <c r="AR565" i="6"/>
  <c r="AF588" i="6" s="1"/>
  <c r="C588" i="6" s="1"/>
  <c r="BB10" i="6"/>
  <c r="AR564" i="6"/>
  <c r="AF587" i="6" s="1"/>
  <c r="C587" i="6" s="1"/>
  <c r="AR559" i="6"/>
  <c r="AF582" i="6" s="1"/>
  <c r="C582" i="6" s="1"/>
  <c r="AR563" i="6"/>
  <c r="AF586" i="6" s="1"/>
  <c r="C586" i="6" s="1"/>
  <c r="AR562" i="6"/>
  <c r="AF585" i="6" s="1"/>
  <c r="C585" i="6" s="1"/>
  <c r="BJ73" i="33"/>
  <c r="AW44" i="6" s="1"/>
  <c r="AW10" i="3"/>
  <c r="BG73" i="33"/>
  <c r="AV19" i="6"/>
  <c r="BA18" i="6"/>
  <c r="AP14" i="8"/>
  <c r="AP13" i="8" s="1"/>
  <c r="Q8" i="9" s="1"/>
  <c r="Q5" i="9" s="1"/>
  <c r="AB22" i="9" s="1"/>
  <c r="AR43" i="3"/>
  <c r="AR42" i="3" s="1"/>
  <c r="AL564" i="6"/>
  <c r="AE587" i="6" s="1"/>
  <c r="B587" i="6" s="1"/>
  <c r="AL559" i="6"/>
  <c r="AE582" i="6" s="1"/>
  <c r="B582" i="6" s="1"/>
  <c r="AL562" i="6"/>
  <c r="AE585" i="6" s="1"/>
  <c r="B585" i="6" s="1"/>
  <c r="AL563" i="6"/>
  <c r="AE586" i="6" s="1"/>
  <c r="B586" i="6" s="1"/>
  <c r="AL565" i="6"/>
  <c r="AE588" i="6" s="1"/>
  <c r="B588" i="6" s="1"/>
  <c r="BB7" i="6"/>
  <c r="AL561" i="6"/>
  <c r="AE584" i="6" s="1"/>
  <c r="B584" i="6" s="1"/>
  <c r="AV12" i="6"/>
  <c r="BA35" i="6"/>
  <c r="AL560" i="6"/>
  <c r="AE583" i="6" s="1"/>
  <c r="B583" i="6" s="1"/>
  <c r="AV280" i="3"/>
  <c r="AE303" i="3" s="1"/>
  <c r="D303" i="3" s="1"/>
  <c r="AW27" i="3"/>
  <c r="Q9" i="9" s="1"/>
  <c r="AV281" i="3"/>
  <c r="AE304" i="3" s="1"/>
  <c r="D304" i="3" s="1"/>
  <c r="AW15" i="3"/>
  <c r="Q15" i="9" s="1"/>
  <c r="AV283" i="3"/>
  <c r="AE306" i="3" s="1"/>
  <c r="D306" i="3" s="1"/>
  <c r="AV282" i="3"/>
  <c r="AE305" i="3" s="1"/>
  <c r="D305" i="3" s="1"/>
  <c r="AV285" i="3"/>
  <c r="AE308" i="3" s="1"/>
  <c r="D308" i="3" s="1"/>
  <c r="AV284" i="3"/>
  <c r="AE307" i="3" s="1"/>
  <c r="D307" i="3" s="1"/>
  <c r="AV279" i="3"/>
  <c r="AE302" i="3" s="1"/>
  <c r="D302" i="3" s="1"/>
  <c r="G592" i="6"/>
  <c r="AA37" i="28" s="1"/>
  <c r="AA33" i="28"/>
  <c r="F592" i="6"/>
  <c r="AA35" i="28" s="1"/>
  <c r="AA34" i="25"/>
  <c r="AA32" i="25"/>
  <c r="BO180" i="6"/>
  <c r="BL180" i="6"/>
  <c r="I214" i="6"/>
  <c r="I398" i="6" s="1"/>
  <c r="L44" i="6"/>
  <c r="I95" i="6"/>
  <c r="I277" i="6" s="1"/>
  <c r="I461" i="6" s="1"/>
  <c r="L24" i="6"/>
  <c r="R14" i="9" l="1"/>
  <c r="R15" i="9"/>
  <c r="J9" i="9"/>
  <c r="AK14" i="9" s="1"/>
  <c r="D592" i="6"/>
  <c r="Y37" i="28" s="1"/>
  <c r="B592" i="6"/>
  <c r="Y33" i="28" s="1"/>
  <c r="AP8" i="8"/>
  <c r="AR37" i="3"/>
  <c r="C592" i="6"/>
  <c r="Y35" i="28" s="1"/>
  <c r="C312" i="3"/>
  <c r="Y34" i="25" s="1"/>
  <c r="AS14" i="3"/>
  <c r="AS9" i="3" s="1"/>
  <c r="AJ284" i="3"/>
  <c r="AC307" i="3" s="1"/>
  <c r="B307" i="3" s="1"/>
  <c r="AW21" i="3"/>
  <c r="AW9" i="3"/>
  <c r="C15" i="9" s="1"/>
  <c r="AJ280" i="3"/>
  <c r="AC303" i="3" s="1"/>
  <c r="B303" i="3" s="1"/>
  <c r="AJ281" i="3"/>
  <c r="AC304" i="3" s="1"/>
  <c r="B304" i="3" s="1"/>
  <c r="AJ283" i="3"/>
  <c r="AC306" i="3" s="1"/>
  <c r="B306" i="3" s="1"/>
  <c r="AJ282" i="3"/>
  <c r="AC305" i="3" s="1"/>
  <c r="B305" i="3" s="1"/>
  <c r="AJ279" i="3"/>
  <c r="AC302" i="3" s="1"/>
  <c r="B302" i="3" s="1"/>
  <c r="AJ285" i="3"/>
  <c r="AC308" i="3" s="1"/>
  <c r="B308" i="3" s="1"/>
  <c r="AX594" i="6"/>
  <c r="AX592" i="6"/>
  <c r="BA121" i="6"/>
  <c r="AX591" i="6"/>
  <c r="AX595" i="6"/>
  <c r="AW134" i="6"/>
  <c r="AX590" i="6"/>
  <c r="AX593" i="6"/>
  <c r="BA111" i="6"/>
  <c r="AX589" i="6"/>
  <c r="B5" i="27"/>
  <c r="AB28" i="9"/>
  <c r="AW43" i="6"/>
  <c r="AR44" i="6"/>
  <c r="AR48" i="6" s="1"/>
  <c r="AW129" i="6"/>
  <c r="BA37" i="6"/>
  <c r="AR585" i="6"/>
  <c r="AR580" i="6"/>
  <c r="AR586" i="6"/>
  <c r="AR583" i="6"/>
  <c r="AR582" i="6"/>
  <c r="AR581" i="6"/>
  <c r="AR584" i="6"/>
  <c r="C5" i="27"/>
  <c r="C20" i="27" s="1"/>
  <c r="D37" i="27" s="1"/>
  <c r="AK21" i="9"/>
  <c r="D312" i="3"/>
  <c r="Y36" i="25" s="1"/>
  <c r="AL586" i="6"/>
  <c r="AV35" i="6"/>
  <c r="BA34" i="6"/>
  <c r="AL581" i="6"/>
  <c r="AL582" i="6"/>
  <c r="AL585" i="6"/>
  <c r="AL584" i="6"/>
  <c r="AL583" i="6"/>
  <c r="AL580" i="6"/>
  <c r="BA40" i="6"/>
  <c r="AX584" i="6"/>
  <c r="AX585" i="6"/>
  <c r="AX586" i="6"/>
  <c r="AX580" i="6"/>
  <c r="AX582" i="6"/>
  <c r="AX581" i="6"/>
  <c r="AX583" i="6"/>
  <c r="AR595" i="6"/>
  <c r="AR592" i="6"/>
  <c r="BA108" i="6"/>
  <c r="AR594" i="6"/>
  <c r="AR589" i="6"/>
  <c r="BA118" i="6"/>
  <c r="AR593" i="6"/>
  <c r="AR591" i="6"/>
  <c r="AR590" i="6"/>
  <c r="AW131" i="6"/>
  <c r="J5" i="8"/>
  <c r="J8" i="9"/>
  <c r="S43" i="6"/>
  <c r="AR47" i="6"/>
  <c r="AR229" i="6" s="1"/>
  <c r="AR413" i="6" s="1"/>
  <c r="AV228" i="6"/>
  <c r="AV412" i="6" s="1"/>
  <c r="AR49" i="6"/>
  <c r="AV231" i="6"/>
  <c r="AV415" i="6" s="1"/>
  <c r="W24" i="6"/>
  <c r="AZ206" i="6"/>
  <c r="AZ390" i="6" s="1"/>
  <c r="AZ203" i="6"/>
  <c r="AZ387" i="6" s="1"/>
  <c r="U43" i="6"/>
  <c r="O48" i="6"/>
  <c r="L57" i="6"/>
  <c r="L239" i="6" s="1"/>
  <c r="L423" i="6" s="1"/>
  <c r="T43" i="6"/>
  <c r="Y24" i="6"/>
  <c r="N16" i="6"/>
  <c r="S49" i="6"/>
  <c r="S231" i="6" s="1"/>
  <c r="S415" i="6" s="1"/>
  <c r="X21" i="6"/>
  <c r="X18" i="6"/>
  <c r="X24" i="6"/>
  <c r="U49" i="6"/>
  <c r="T49" i="6"/>
  <c r="N35" i="6"/>
  <c r="L226" i="6"/>
  <c r="L410" i="6" s="1"/>
  <c r="S46" i="6"/>
  <c r="S228" i="6" s="1"/>
  <c r="S412" i="6" s="1"/>
  <c r="L206" i="6"/>
  <c r="U46" i="6"/>
  <c r="T46" i="6"/>
  <c r="W18" i="6"/>
  <c r="Y21" i="6"/>
  <c r="W21" i="6"/>
  <c r="Y18" i="6"/>
  <c r="O47" i="6"/>
  <c r="O229" i="6" s="1"/>
  <c r="O413" i="6" s="1"/>
  <c r="O49" i="6"/>
  <c r="B312" i="3" l="1"/>
  <c r="Y32" i="25" s="1"/>
  <c r="BA107" i="6"/>
  <c r="BA289" i="6" s="1"/>
  <c r="BA473" i="6" s="1"/>
  <c r="BA290" i="6"/>
  <c r="BA474" i="6" s="1"/>
  <c r="D5" i="27"/>
  <c r="D20" i="27" s="1"/>
  <c r="D40" i="27" s="1"/>
  <c r="AM21" i="9"/>
  <c r="BA300" i="6"/>
  <c r="BA484" i="6" s="1"/>
  <c r="BA117" i="6"/>
  <c r="BA299" i="6" s="1"/>
  <c r="BA483" i="6" s="1"/>
  <c r="BA293" i="6"/>
  <c r="BA477" i="6" s="1"/>
  <c r="BA110" i="6"/>
  <c r="BA292" i="6" s="1"/>
  <c r="BA476" i="6" s="1"/>
  <c r="AR36" i="3"/>
  <c r="C9" i="9" s="1"/>
  <c r="AM14" i="9" s="1"/>
  <c r="AM37" i="3"/>
  <c r="AM41" i="3" s="1"/>
  <c r="J5" i="9"/>
  <c r="AK13" i="9"/>
  <c r="BA105" i="6"/>
  <c r="AL592" i="6"/>
  <c r="AL594" i="6"/>
  <c r="AL595" i="6"/>
  <c r="BA115" i="6"/>
  <c r="AL591" i="6"/>
  <c r="AW128" i="6"/>
  <c r="AL593" i="6"/>
  <c r="AL590" i="6"/>
  <c r="AL589" i="6"/>
  <c r="AR129" i="6"/>
  <c r="AR133" i="6" s="1"/>
  <c r="BA303" i="6"/>
  <c r="BA487" i="6" s="1"/>
  <c r="BA120" i="6"/>
  <c r="BA302" i="6" s="1"/>
  <c r="BA486" i="6" s="1"/>
  <c r="AK8" i="8"/>
  <c r="AK12" i="8" s="1"/>
  <c r="AP7" i="8"/>
  <c r="C8" i="9" s="1"/>
  <c r="W206" i="6"/>
  <c r="W390" i="6" s="1"/>
  <c r="AZ222" i="6"/>
  <c r="AZ406" i="6" s="1"/>
  <c r="AV40" i="6"/>
  <c r="AZ219" i="6"/>
  <c r="AZ403" i="6" s="1"/>
  <c r="AV39" i="6"/>
  <c r="AV38" i="6"/>
  <c r="AV220" i="6" s="1"/>
  <c r="AV404" i="6" s="1"/>
  <c r="BA192" i="6"/>
  <c r="BA376" i="6" s="1"/>
  <c r="AV22" i="6"/>
  <c r="AV204" i="6" s="1"/>
  <c r="AV388" i="6" s="1"/>
  <c r="AV25" i="6"/>
  <c r="AV10" i="6"/>
  <c r="BA195" i="6"/>
  <c r="BA379" i="6" s="1"/>
  <c r="AV24" i="6"/>
  <c r="AV9" i="6"/>
  <c r="AV8" i="6"/>
  <c r="AZ28" i="6"/>
  <c r="AZ210" i="6" s="1"/>
  <c r="AZ394" i="6" s="1"/>
  <c r="AZ200" i="6"/>
  <c r="AZ384" i="6" s="1"/>
  <c r="AV52" i="6"/>
  <c r="AV234" i="6" s="1"/>
  <c r="AV418" i="6" s="1"/>
  <c r="AV225" i="6"/>
  <c r="AV409" i="6" s="1"/>
  <c r="N198" i="6"/>
  <c r="N382" i="6" s="1"/>
  <c r="L390" i="6"/>
  <c r="X37" i="6"/>
  <c r="X40" i="6"/>
  <c r="Q10" i="9" s="1"/>
  <c r="N217" i="6"/>
  <c r="N401" i="6" s="1"/>
  <c r="W40" i="6"/>
  <c r="Y40" i="6"/>
  <c r="U10" i="9" s="1"/>
  <c r="Y34" i="6"/>
  <c r="G10" i="9" s="1"/>
  <c r="S38" i="6"/>
  <c r="S220" i="6" s="1"/>
  <c r="S404" i="6" s="1"/>
  <c r="Y37" i="6"/>
  <c r="N10" i="9" s="1"/>
  <c r="S40" i="6"/>
  <c r="W34" i="6"/>
  <c r="E10" i="9" s="1"/>
  <c r="W37" i="6"/>
  <c r="W219" i="6" s="1"/>
  <c r="W403" i="6" s="1"/>
  <c r="S39" i="6"/>
  <c r="X34" i="6"/>
  <c r="W28" i="6"/>
  <c r="W210" i="6" s="1"/>
  <c r="W394" i="6" s="1"/>
  <c r="W200" i="6"/>
  <c r="W384" i="6" s="1"/>
  <c r="W203" i="6"/>
  <c r="W387" i="6" s="1"/>
  <c r="S52" i="6"/>
  <c r="S234" i="6" s="1"/>
  <c r="S418" i="6" s="1"/>
  <c r="S225" i="6"/>
  <c r="S409" i="6" s="1"/>
  <c r="S9" i="6"/>
  <c r="Z13" i="6"/>
  <c r="U16" i="9" s="1"/>
  <c r="B7" i="29" s="1"/>
  <c r="X7" i="6"/>
  <c r="E16" i="9" s="1"/>
  <c r="D6" i="29" s="1"/>
  <c r="D21" i="29" s="1"/>
  <c r="Z10" i="6"/>
  <c r="N16" i="9" s="1"/>
  <c r="X13" i="6"/>
  <c r="Y7" i="6"/>
  <c r="N4" i="6"/>
  <c r="N186" i="6" s="1"/>
  <c r="N370" i="6" s="1"/>
  <c r="Z7" i="6"/>
  <c r="G16" i="9" s="1"/>
  <c r="D7" i="29" s="1"/>
  <c r="S8" i="6"/>
  <c r="S10" i="6"/>
  <c r="S25" i="6"/>
  <c r="Y13" i="6"/>
  <c r="Q16" i="9" s="1"/>
  <c r="B5" i="29" s="1"/>
  <c r="X10" i="6"/>
  <c r="L16" i="9" s="1"/>
  <c r="C6" i="29" s="1"/>
  <c r="C21" i="29" s="1"/>
  <c r="S24" i="6"/>
  <c r="Y10" i="6"/>
  <c r="S22" i="6"/>
  <c r="S204" i="6" s="1"/>
  <c r="S388" i="6" s="1"/>
  <c r="C10" i="9" l="1"/>
  <c r="AM15" i="9" s="1"/>
  <c r="BA297" i="6"/>
  <c r="BA481" i="6" s="1"/>
  <c r="BA114" i="6"/>
  <c r="BA296" i="6" s="1"/>
  <c r="BA480" i="6" s="1"/>
  <c r="AR114" i="6"/>
  <c r="BA287" i="6"/>
  <c r="BA471" i="6" s="1"/>
  <c r="BA104" i="6"/>
  <c r="BA286" i="6" s="1"/>
  <c r="BA470" i="6" s="1"/>
  <c r="AM13" i="9"/>
  <c r="C5" i="9"/>
  <c r="K14" i="9"/>
  <c r="K15" i="9"/>
  <c r="O16" i="9"/>
  <c r="C7" i="29"/>
  <c r="AD29" i="9"/>
  <c r="R16" i="9"/>
  <c r="AB29" i="9"/>
  <c r="H16" i="9"/>
  <c r="AN22" i="9"/>
  <c r="V16" i="9"/>
  <c r="M16" i="9"/>
  <c r="AN15" i="9"/>
  <c r="AL22" i="9"/>
  <c r="F16" i="9"/>
  <c r="C16" i="9"/>
  <c r="D5" i="29" s="1"/>
  <c r="L10" i="9"/>
  <c r="J16" i="9"/>
  <c r="C5" i="29" s="1"/>
  <c r="J10" i="9"/>
  <c r="BA189" i="6"/>
  <c r="BA373" i="6" s="1"/>
  <c r="BA4" i="6"/>
  <c r="BA186" i="6" s="1"/>
  <c r="BA370" i="6" s="1"/>
  <c r="AV406" i="6"/>
  <c r="AV405" i="6"/>
  <c r="AZ29" i="6"/>
  <c r="AZ211" i="6" s="1"/>
  <c r="AZ395" i="6" s="1"/>
  <c r="AZ216" i="6"/>
  <c r="AZ400" i="6" s="1"/>
  <c r="AZ52" i="6"/>
  <c r="AZ234" i="6" s="1"/>
  <c r="AZ418" i="6" s="1"/>
  <c r="AV4" i="6"/>
  <c r="AV186" i="6" s="1"/>
  <c r="AV370" i="6" s="1"/>
  <c r="AV192" i="6"/>
  <c r="AV376" i="6" s="1"/>
  <c r="X189" i="6"/>
  <c r="X373" i="6" s="1"/>
  <c r="X4" i="6"/>
  <c r="X186" i="6" s="1"/>
  <c r="X370" i="6" s="1"/>
  <c r="W222" i="6"/>
  <c r="W406" i="6" s="1"/>
  <c r="N380" i="6"/>
  <c r="N403" i="6"/>
  <c r="N381" i="6"/>
  <c r="N402" i="6"/>
  <c r="X192" i="6"/>
  <c r="X376" i="6" s="1"/>
  <c r="X195" i="6"/>
  <c r="X379" i="6" s="1"/>
  <c r="S192" i="6"/>
  <c r="S376" i="6" s="1"/>
  <c r="S4" i="6"/>
  <c r="S186" i="6" s="1"/>
  <c r="S370" i="6" s="1"/>
  <c r="W216" i="6"/>
  <c r="W400" i="6" s="1"/>
  <c r="W52" i="6"/>
  <c r="W234" i="6" s="1"/>
  <c r="W418" i="6" s="1"/>
  <c r="W29" i="6"/>
  <c r="W211" i="6" s="1"/>
  <c r="W395" i="6" s="1"/>
  <c r="D14" i="9" l="1"/>
  <c r="D15" i="9"/>
  <c r="AR110" i="6"/>
  <c r="AR292" i="6" s="1"/>
  <c r="AR476" i="6" s="1"/>
  <c r="AR296" i="6"/>
  <c r="AR480" i="6" s="1"/>
  <c r="D16" i="9"/>
  <c r="K16" i="9"/>
  <c r="AM22" i="9"/>
  <c r="AK22" i="9"/>
  <c r="AK15" i="9"/>
  <c r="AL15" i="9"/>
  <c r="BC373" i="6"/>
  <c r="BC379" i="6"/>
  <c r="BC376" i="6"/>
  <c r="BB376" i="6"/>
  <c r="BB379" i="6"/>
  <c r="BB373" i="6"/>
  <c r="AV390" i="6"/>
  <c r="AV374" i="6"/>
  <c r="AV391" i="6"/>
  <c r="AV375" i="6"/>
  <c r="C10" i="29"/>
  <c r="D22" i="29"/>
  <c r="E40" i="29" s="1"/>
  <c r="Y400" i="6"/>
  <c r="Y406" i="6"/>
  <c r="S406" i="6"/>
  <c r="Y403" i="6"/>
  <c r="S374" i="6"/>
  <c r="Y373" i="6"/>
  <c r="D13" i="29" s="1"/>
  <c r="Y376" i="6"/>
  <c r="Y379" i="6"/>
  <c r="S390" i="6"/>
  <c r="D10" i="29"/>
  <c r="D20" i="29"/>
  <c r="D40" i="29" s="1"/>
  <c r="D14" i="29"/>
  <c r="D29" i="29" s="1"/>
  <c r="C42" i="29" s="1"/>
  <c r="X403" i="6"/>
  <c r="X400" i="6"/>
  <c r="S405" i="6"/>
  <c r="X406" i="6"/>
  <c r="C40" i="29"/>
  <c r="Z376" i="6"/>
  <c r="S375" i="6"/>
  <c r="S391" i="6"/>
  <c r="Z373" i="6"/>
  <c r="Z379" i="6"/>
  <c r="C15" i="29" l="1"/>
  <c r="D15" i="29"/>
  <c r="D30" i="29" s="1"/>
  <c r="D42" i="29" s="1"/>
  <c r="C13" i="29"/>
  <c r="D26" i="29"/>
  <c r="D41" i="29" s="1"/>
  <c r="D25" i="29"/>
  <c r="C41" i="29" s="1"/>
  <c r="C26" i="29"/>
  <c r="D38" i="29" s="1"/>
  <c r="C25" i="29"/>
  <c r="C24" i="29" s="1"/>
  <c r="E38" i="29" s="1"/>
  <c r="D28" i="29"/>
  <c r="E42" i="29" s="1"/>
  <c r="C22" i="29"/>
  <c r="E37" i="29" s="1"/>
  <c r="C37" i="29"/>
  <c r="C20" i="29"/>
  <c r="D37" i="29" s="1"/>
  <c r="C14" i="29"/>
  <c r="D24" i="29" l="1"/>
  <c r="E41" i="29" s="1"/>
  <c r="C38" i="29"/>
  <c r="C30" i="29"/>
  <c r="D39" i="29" s="1"/>
  <c r="C29" i="29"/>
  <c r="C39" i="29" s="1"/>
  <c r="C28" i="29"/>
  <c r="E39" i="29" s="1"/>
  <c r="X25" i="32"/>
  <c r="AH15" i="32" l="1"/>
  <c r="AH26" i="32" s="1"/>
  <c r="AH28" i="32" s="1"/>
  <c r="AI29" i="32" s="1"/>
  <c r="AK15" i="32"/>
  <c r="AK26" i="32" s="1"/>
  <c r="AK28" i="32" s="1"/>
  <c r="AL29" i="32" s="1"/>
  <c r="AQ85" i="3" s="1"/>
  <c r="AZ68" i="6" l="1"/>
  <c r="AZ250" i="6" s="1"/>
  <c r="AY26" i="8"/>
  <c r="AV48" i="8" s="1"/>
  <c r="AU61" i="3"/>
  <c r="AU60" i="3" s="1"/>
  <c r="AR62" i="8"/>
  <c r="AV93" i="6"/>
  <c r="AM81" i="3"/>
  <c r="AQ175" i="3"/>
  <c r="AQ265" i="3" s="1"/>
  <c r="AQ84" i="3"/>
  <c r="AZ153" i="6" l="1"/>
  <c r="AZ152" i="6" s="1"/>
  <c r="BZ153" i="6"/>
  <c r="BZ152" i="6" s="1"/>
  <c r="BZ143" i="6" s="1"/>
  <c r="AZ79" i="6"/>
  <c r="AZ261" i="6" s="1"/>
  <c r="AU23" i="8"/>
  <c r="AU22" i="8" s="1"/>
  <c r="AZ67" i="6"/>
  <c r="AZ57" i="6" s="1"/>
  <c r="AZ239" i="6" s="1"/>
  <c r="AZ423" i="6" s="1"/>
  <c r="AY25" i="8"/>
  <c r="AV17" i="8" s="1"/>
  <c r="AU151" i="3"/>
  <c r="AW241" i="3" s="1"/>
  <c r="AW240" i="3" s="1"/>
  <c r="B15" i="27" s="1"/>
  <c r="AU70" i="3"/>
  <c r="S9" i="9" s="1"/>
  <c r="AQ89" i="3"/>
  <c r="AQ179" i="3" s="1"/>
  <c r="AQ269" i="3" s="1"/>
  <c r="AQ174" i="3"/>
  <c r="AQ264" i="3" s="1"/>
  <c r="BA250" i="6"/>
  <c r="BB250" i="6"/>
  <c r="AZ434" i="6"/>
  <c r="AZ337" i="6"/>
  <c r="AU241" i="3"/>
  <c r="AU240" i="3" s="1"/>
  <c r="AV241" i="3"/>
  <c r="AV240" i="3" s="1"/>
  <c r="B13" i="27" s="1"/>
  <c r="AU51" i="3"/>
  <c r="AU141" i="3" s="1"/>
  <c r="AU231" i="3" s="1"/>
  <c r="S15" i="9"/>
  <c r="AU150" i="3"/>
  <c r="BZ163" i="6"/>
  <c r="AM171" i="3"/>
  <c r="AM261" i="3" s="1"/>
  <c r="AM82" i="3"/>
  <c r="AM172" i="3" s="1"/>
  <c r="AM262" i="3" s="1"/>
  <c r="AN40" i="8"/>
  <c r="AN39" i="8" s="1"/>
  <c r="AV47" i="8"/>
  <c r="AZ336" i="6"/>
  <c r="AZ518" i="6" s="1"/>
  <c r="AZ143" i="6"/>
  <c r="AZ327" i="6" s="1"/>
  <c r="AZ509" i="6" s="1"/>
  <c r="AV275" i="6"/>
  <c r="AV92" i="6"/>
  <c r="BV177" i="6"/>
  <c r="AV177" i="6"/>
  <c r="AR61" i="8"/>
  <c r="AR65" i="8" s="1"/>
  <c r="AN58" i="8"/>
  <c r="AN59" i="8" s="1"/>
  <c r="S16" i="9" l="1"/>
  <c r="AC29" i="9" s="1"/>
  <c r="AZ78" i="6"/>
  <c r="AZ260" i="6" s="1"/>
  <c r="AZ444" i="6" s="1"/>
  <c r="AZ163" i="6"/>
  <c r="AR155" i="6" s="1"/>
  <c r="AR154" i="6" s="1"/>
  <c r="AZ249" i="6"/>
  <c r="AZ433" i="6" s="1"/>
  <c r="B15" i="29" s="1"/>
  <c r="S14" i="9"/>
  <c r="AC27" i="9" s="1"/>
  <c r="AU160" i="3"/>
  <c r="AU250" i="3" s="1"/>
  <c r="AU89" i="3"/>
  <c r="AU179" i="3" s="1"/>
  <c r="AU269" i="3" s="1"/>
  <c r="AW275" i="6"/>
  <c r="AV361" i="6"/>
  <c r="AV459" i="6"/>
  <c r="AX275" i="6"/>
  <c r="AQ45" i="8"/>
  <c r="AQ28" i="8"/>
  <c r="AJ21" i="9"/>
  <c r="AC28" i="9"/>
  <c r="B6" i="27"/>
  <c r="AI21" i="9"/>
  <c r="BA434" i="6"/>
  <c r="BA249" i="6"/>
  <c r="AZ445" i="6"/>
  <c r="BA261" i="6"/>
  <c r="AZ347" i="6"/>
  <c r="AI14" i="9"/>
  <c r="AJ14" i="9"/>
  <c r="BR173" i="6"/>
  <c r="BR174" i="6" s="1"/>
  <c r="BV176" i="6"/>
  <c r="BV180" i="6" s="1"/>
  <c r="BR155" i="6"/>
  <c r="BR154" i="6" s="1"/>
  <c r="BZ162" i="6"/>
  <c r="AV176" i="6"/>
  <c r="AR173" i="6"/>
  <c r="AR174" i="6" s="1"/>
  <c r="AR358" i="6" s="1"/>
  <c r="AR540" i="6" s="1"/>
  <c r="BA337" i="6"/>
  <c r="AZ519" i="6"/>
  <c r="BB337" i="6"/>
  <c r="AV274" i="6"/>
  <c r="AV458" i="6" s="1"/>
  <c r="AV95" i="6"/>
  <c r="AV277" i="6" s="1"/>
  <c r="AV461" i="6" s="1"/>
  <c r="S8" i="9"/>
  <c r="AV65" i="8"/>
  <c r="B9" i="27"/>
  <c r="B11" i="27"/>
  <c r="BB249" i="6"/>
  <c r="BB434" i="6"/>
  <c r="AJ20" i="9" l="1"/>
  <c r="AZ162" i="6"/>
  <c r="S10" i="9" s="1"/>
  <c r="AJ15" i="9" s="1"/>
  <c r="B6" i="29"/>
  <c r="B14" i="29" s="1"/>
  <c r="AI22" i="9"/>
  <c r="AJ22" i="9"/>
  <c r="B13" i="29"/>
  <c r="AZ58" i="6"/>
  <c r="AZ240" i="6" s="1"/>
  <c r="AZ424" i="6" s="1"/>
  <c r="AI20" i="9"/>
  <c r="AQ17" i="8"/>
  <c r="BA519" i="6"/>
  <c r="BA336" i="6"/>
  <c r="BA518" i="6" s="1"/>
  <c r="BU160" i="6"/>
  <c r="BU149" i="6"/>
  <c r="AU143" i="6"/>
  <c r="AU327" i="6" s="1"/>
  <c r="AU509" i="6" s="1"/>
  <c r="AX274" i="6"/>
  <c r="AX458" i="6" s="1"/>
  <c r="AX459" i="6"/>
  <c r="BB433" i="6"/>
  <c r="BA433" i="6"/>
  <c r="B20" i="27"/>
  <c r="D34" i="27" s="1"/>
  <c r="B22" i="27"/>
  <c r="E34" i="27" s="1"/>
  <c r="B10" i="27"/>
  <c r="B26" i="27" s="1"/>
  <c r="D35" i="27" s="1"/>
  <c r="B29" i="27"/>
  <c r="C36" i="27" s="1"/>
  <c r="B25" i="27"/>
  <c r="C35" i="27" s="1"/>
  <c r="B21" i="27"/>
  <c r="C34" i="27" s="1"/>
  <c r="B14" i="27"/>
  <c r="AR338" i="6"/>
  <c r="AR520" i="6" s="1"/>
  <c r="AU160" i="6"/>
  <c r="AU344" i="6" s="1"/>
  <c r="AU526" i="6" s="1"/>
  <c r="AU149" i="6"/>
  <c r="AI13" i="9"/>
  <c r="AJ13" i="9"/>
  <c r="S5" i="9"/>
  <c r="BB519" i="6"/>
  <c r="BB336" i="6"/>
  <c r="BB518" i="6" s="1"/>
  <c r="AV180" i="6"/>
  <c r="AV364" i="6" s="1"/>
  <c r="AV546" i="6" s="1"/>
  <c r="AV360" i="6"/>
  <c r="AV542" i="6" s="1"/>
  <c r="BA347" i="6"/>
  <c r="AZ529" i="6"/>
  <c r="BB347" i="6"/>
  <c r="AX361" i="6"/>
  <c r="AW361" i="6"/>
  <c r="AV543" i="6"/>
  <c r="BU143" i="6"/>
  <c r="BZ180" i="6"/>
  <c r="BA260" i="6"/>
  <c r="BA444" i="6" s="1"/>
  <c r="BA445" i="6"/>
  <c r="BB261" i="6"/>
  <c r="AW459" i="6"/>
  <c r="AW274" i="6"/>
  <c r="AW458" i="6" s="1"/>
  <c r="B20" i="29" l="1"/>
  <c r="D34" i="29" s="1"/>
  <c r="B22" i="29"/>
  <c r="E34" i="29" s="1"/>
  <c r="AZ180" i="6"/>
  <c r="AZ364" i="6" s="1"/>
  <c r="AZ546" i="6" s="1"/>
  <c r="AZ346" i="6"/>
  <c r="AZ528" i="6" s="1"/>
  <c r="B10" i="29"/>
  <c r="B25" i="29" s="1"/>
  <c r="C35" i="29" s="1"/>
  <c r="B21" i="29"/>
  <c r="C34" i="29" s="1"/>
  <c r="AI15" i="9"/>
  <c r="BR143" i="6"/>
  <c r="B9" i="29"/>
  <c r="B30" i="27"/>
  <c r="D36" i="27" s="1"/>
  <c r="B28" i="27"/>
  <c r="E36" i="27" s="1"/>
  <c r="BB445" i="6"/>
  <c r="BB260" i="6"/>
  <c r="BB444" i="6" s="1"/>
  <c r="AW543" i="6"/>
  <c r="AW360" i="6"/>
  <c r="AW542" i="6" s="1"/>
  <c r="BA346" i="6"/>
  <c r="BA528" i="6" s="1"/>
  <c r="BA529" i="6"/>
  <c r="AR143" i="6"/>
  <c r="AR327" i="6" s="1"/>
  <c r="AR509" i="6" s="1"/>
  <c r="AU333" i="6"/>
  <c r="AU515" i="6" s="1"/>
  <c r="B30" i="29"/>
  <c r="D36" i="29" s="1"/>
  <c r="B29" i="29"/>
  <c r="C36" i="29" s="1"/>
  <c r="B28" i="29"/>
  <c r="E36" i="29" s="1"/>
  <c r="BB529" i="6"/>
  <c r="BB346" i="6"/>
  <c r="BB528" i="6" s="1"/>
  <c r="AX360" i="6"/>
  <c r="AX542" i="6" s="1"/>
  <c r="AX543" i="6"/>
  <c r="AC22" i="9"/>
  <c r="T14" i="9"/>
  <c r="T16" i="9"/>
  <c r="T15" i="9"/>
  <c r="B11" i="29"/>
  <c r="B24" i="27"/>
  <c r="E35" i="27" s="1"/>
  <c r="B26" i="29" l="1"/>
  <c r="D35" i="29" s="1"/>
  <c r="B24" i="29"/>
  <c r="E35" i="29" s="1"/>
</calcChain>
</file>

<file path=xl/sharedStrings.xml><?xml version="1.0" encoding="utf-8"?>
<sst xmlns="http://schemas.openxmlformats.org/spreadsheetml/2006/main" count="3176" uniqueCount="533">
  <si>
    <t>Low</t>
  </si>
  <si>
    <t>High</t>
  </si>
  <si>
    <t>Low Risk</t>
  </si>
  <si>
    <t>High Risk</t>
  </si>
  <si>
    <t>Efficacy</t>
  </si>
  <si>
    <t>sum check</t>
  </si>
  <si>
    <t>Outpatient</t>
  </si>
  <si>
    <t>ED</t>
  </si>
  <si>
    <t>Hospitalized</t>
  </si>
  <si>
    <t>Not MA for RSV</t>
  </si>
  <si>
    <t>Medically Attended for RSV</t>
  </si>
  <si>
    <t>Bottom Branch:</t>
  </si>
  <si>
    <t>Vaccine Effective</t>
  </si>
  <si>
    <t>Vaccine Failure</t>
  </si>
  <si>
    <t>Age (months)</t>
  </si>
  <si>
    <t>in 1 season</t>
  </si>
  <si>
    <t>BASE DATA</t>
  </si>
  <si>
    <t>month of season</t>
  </si>
  <si>
    <t>ALL INFANTS</t>
  </si>
  <si>
    <t>LOW RISK INFANTS</t>
  </si>
  <si>
    <t>HIGH RISK INFANTS</t>
  </si>
  <si>
    <t>*</t>
  </si>
  <si>
    <t>estimated high risk total</t>
  </si>
  <si>
    <t>estimated low risk total</t>
  </si>
  <si>
    <t>hosp</t>
  </si>
  <si>
    <t># Low Risk Newborns</t>
  </si>
  <si>
    <t># High Risk Newborns</t>
  </si>
  <si>
    <t>p1</t>
  </si>
  <si>
    <t>1-p1</t>
  </si>
  <si>
    <t>p2</t>
  </si>
  <si>
    <t>1-p2</t>
  </si>
  <si>
    <t>% of high risk</t>
  </si>
  <si>
    <t>Expected healthcare visits</t>
  </si>
  <si>
    <t>had palivizumab not been obtained</t>
  </si>
  <si>
    <t>had immunization not been obtained</t>
  </si>
  <si>
    <t>% of low risk</t>
  </si>
  <si>
    <t>Top Branch:</t>
  </si>
  <si>
    <t>unknown</t>
  </si>
  <si>
    <t>p3</t>
  </si>
  <si>
    <t>1-p3</t>
  </si>
  <si>
    <t>p4c</t>
  </si>
  <si>
    <t>p4b</t>
  </si>
  <si>
    <t>sum p4a-c</t>
  </si>
  <si>
    <t>p5c</t>
  </si>
  <si>
    <t>p5b</t>
  </si>
  <si>
    <t>p5a</t>
  </si>
  <si>
    <t>sum p5a-c</t>
  </si>
  <si>
    <t>p6</t>
  </si>
  <si>
    <t>1-p6</t>
  </si>
  <si>
    <t>1-p7</t>
  </si>
  <si>
    <t>p7</t>
  </si>
  <si>
    <t>Do not obtain</t>
  </si>
  <si>
    <t>&lt;28</t>
  </si>
  <si>
    <t>42+</t>
  </si>
  <si>
    <t>* completed weeks gestational age</t>
  </si>
  <si>
    <t>% of births^</t>
  </si>
  <si>
    <t>Full term</t>
  </si>
  <si>
    <t>Preterm</t>
  </si>
  <si>
    <t>additional weeks gestation post immunization</t>
  </si>
  <si>
    <t>sum</t>
  </si>
  <si>
    <r>
      <t>High-risk Birth</t>
    </r>
    <r>
      <rPr>
        <vertAlign val="superscript"/>
        <sz val="11"/>
        <color theme="1"/>
        <rFont val="Calibri"/>
        <family val="2"/>
        <scheme val="minor"/>
      </rPr>
      <t>#</t>
    </r>
  </si>
  <si>
    <t># these births still offered protection with palivizumab</t>
  </si>
  <si>
    <t>Pregnancies reaching 3rd trimester that result in a live birth</t>
  </si>
  <si>
    <t>Proportion of infants to whom antibodies successfully transfer</t>
  </si>
  <si>
    <t>Outpatient visits prevented</t>
  </si>
  <si>
    <t>ED visits prevented</t>
  </si>
  <si>
    <t>Hospitalizations prevented</t>
  </si>
  <si>
    <t>Outpatient visits</t>
  </si>
  <si>
    <t>sum check row</t>
  </si>
  <si>
    <t>obtain palivizumab</t>
  </si>
  <si>
    <t>do not obtain palivizumab</t>
  </si>
  <si>
    <t>obtain palivizumab product</t>
  </si>
  <si>
    <t>do not obtain palivizumab product</t>
  </si>
  <si>
    <t>do not obtain an immunization product</t>
  </si>
  <si>
    <t>antibodies don't transfer before birth</t>
  </si>
  <si>
    <t>p8</t>
  </si>
  <si>
    <t>1-p8</t>
  </si>
  <si>
    <t>p9</t>
  </si>
  <si>
    <t>1-p9</t>
  </si>
  <si>
    <t>Vaccine protective</t>
  </si>
  <si>
    <t>p10a</t>
  </si>
  <si>
    <t>p10b</t>
  </si>
  <si>
    <t>p10c</t>
  </si>
  <si>
    <t>sum p10a-c</t>
  </si>
  <si>
    <t>p11c</t>
  </si>
  <si>
    <t>p11b</t>
  </si>
  <si>
    <t>p11a</t>
  </si>
  <si>
    <t>p11a-c</t>
  </si>
  <si>
    <t>% of immunizations**</t>
  </si>
  <si>
    <t>successful antibody transfer</t>
  </si>
  <si>
    <t>following Tdap</t>
  </si>
  <si>
    <t>Baseline</t>
  </si>
  <si>
    <t>ED Visits</t>
  </si>
  <si>
    <t>Outpatient Visits</t>
  </si>
  <si>
    <t>2.5 percentile</t>
  </si>
  <si>
    <t>97.5 percentile</t>
  </si>
  <si>
    <r>
      <t xml:space="preserve">1 </t>
    </r>
    <r>
      <rPr>
        <sz val="10"/>
        <rFont val="Arial"/>
        <family val="2"/>
      </rPr>
      <t>Health and Economics Modeling Unit (HEMU), U.S. Centers for Disease Control and Prevention (CDC)</t>
    </r>
  </si>
  <si>
    <r>
      <t xml:space="preserve">2 </t>
    </r>
    <r>
      <rPr>
        <sz val="10"/>
        <rFont val="Arial"/>
        <family val="2"/>
      </rPr>
      <t>Respiratory Viruses Branch, U.S. Centers for Disease Control and Prevention (CDC)</t>
    </r>
  </si>
  <si>
    <t>TO START:
 CLICK HERE</t>
  </si>
  <si>
    <t>FIRST TIME USERS:
CLICK HERE</t>
  </si>
  <si>
    <t xml:space="preserve"> the views of the Centers for Disease Control and Prevention (CDC)</t>
  </si>
  <si>
    <t>Population</t>
  </si>
  <si>
    <t>click here for options</t>
  </si>
  <si>
    <t>Birth Cohort</t>
  </si>
  <si>
    <t>INPUT STEP 1: SPECIFY YOUR POPULATION</t>
  </si>
  <si>
    <t>Your estimated birth cohort:</t>
  </si>
  <si>
    <t>Age
(months)</t>
  </si>
  <si>
    <t>95% CI</t>
  </si>
  <si>
    <t>Hospitalizations</t>
  </si>
  <si>
    <t>Rate/
1000</t>
  </si>
  <si>
    <t>Emergency Department Visits</t>
  </si>
  <si>
    <t>Pediatrician Visits</t>
  </si>
  <si>
    <t>BACK to Homepage
&lt;-----</t>
  </si>
  <si>
    <t>BACK
&lt;-----</t>
  </si>
  <si>
    <t>NEXT
-----&gt;</t>
  </si>
  <si>
    <t>Product</t>
  </si>
  <si>
    <t>Eligible Population</t>
  </si>
  <si>
    <t>Palivizumab</t>
  </si>
  <si>
    <t>Notes</t>
  </si>
  <si>
    <t>Palivizumab replacement</t>
  </si>
  <si>
    <t>Maternal vaccine</t>
  </si>
  <si>
    <t>Mothers in 3rd trimester</t>
  </si>
  <si>
    <t>% Uptake</t>
  </si>
  <si>
    <t>Default*:</t>
  </si>
  <si>
    <t>Default^:</t>
  </si>
  <si>
    <t>% Protected</t>
  </si>
  <si>
    <t>VIEW RESULTS
-----&gt;</t>
  </si>
  <si>
    <t>base:</t>
  </si>
  <si>
    <t>low:</t>
  </si>
  <si>
    <t>high:</t>
  </si>
  <si>
    <t>Month of Season</t>
  </si>
  <si>
    <t>for graph offest</t>
  </si>
  <si>
    <t>% cases, Your jurisdiction</t>
  </si>
  <si>
    <t>% cases, US*</t>
  </si>
  <si>
    <t>(for reference only)</t>
  </si>
  <si>
    <r>
      <rPr>
        <b/>
        <sz val="14"/>
        <color theme="1"/>
        <rFont val="Calibri"/>
        <family val="2"/>
        <scheme val="minor"/>
      </rPr>
      <t>1.2</t>
    </r>
    <r>
      <rPr>
        <sz val="14"/>
        <color theme="1"/>
        <rFont val="Calibri"/>
        <family val="2"/>
        <scheme val="minor"/>
      </rPr>
      <t xml:space="preserve"> </t>
    </r>
    <r>
      <rPr>
        <sz val="14"/>
        <color rgb="FFC00000"/>
        <rFont val="Calibri"/>
        <family val="2"/>
        <scheme val="minor"/>
      </rPr>
      <t>Enter a value for the method chosen in step 1.1</t>
    </r>
  </si>
  <si>
    <t>January</t>
  </si>
  <si>
    <t>February</t>
  </si>
  <si>
    <t>March</t>
  </si>
  <si>
    <t>April</t>
  </si>
  <si>
    <t>May</t>
  </si>
  <si>
    <t>June</t>
  </si>
  <si>
    <t>July</t>
  </si>
  <si>
    <t>August</t>
  </si>
  <si>
    <t>September</t>
  </si>
  <si>
    <t>October</t>
  </si>
  <si>
    <t>November</t>
  </si>
  <si>
    <t>December</t>
  </si>
  <si>
    <t>month before</t>
  </si>
  <si>
    <t>month after</t>
  </si>
  <si>
    <t>months sorted</t>
  </si>
  <si>
    <t>Graph</t>
  </si>
  <si>
    <t>pulldown</t>
  </si>
  <si>
    <t>national data</t>
  </si>
  <si>
    <t>within season_a</t>
  </si>
  <si>
    <t>within season_b</t>
  </si>
  <si>
    <t>cohort size of &lt;12 months old:</t>
  </si>
  <si>
    <t>BASE CASE</t>
  </si>
  <si>
    <t>US birth cohort:</t>
  </si>
  <si>
    <t>US population:</t>
  </si>
  <si>
    <t>base</t>
  </si>
  <si>
    <t>low</t>
  </si>
  <si>
    <t>high</t>
  </si>
  <si>
    <t>Expected hlthcare visits had palivizumab not been obtained</t>
  </si>
  <si>
    <t>Expected healthcare visits had palivizumab not been obtained</t>
  </si>
  <si>
    <t>Expected healthcare visits had immunization not been obtained</t>
  </si>
  <si>
    <t>bottom branch:</t>
  </si>
  <si>
    <t>LOW DATA</t>
  </si>
  <si>
    <t>HIGH DATA</t>
  </si>
  <si>
    <t>Data for producing estimate range bars on graph</t>
  </si>
  <si>
    <t>ED visits</t>
  </si>
  <si>
    <t>Uptake</t>
  </si>
  <si>
    <t>Hospitalizations:</t>
  </si>
  <si>
    <t>Emergency Department Visits:</t>
  </si>
  <si>
    <t>Palivizumab:</t>
  </si>
  <si>
    <t>SENSITIVITY ANALYSES
-----&gt;</t>
  </si>
  <si>
    <r>
      <t>Product</t>
    </r>
    <r>
      <rPr>
        <u/>
        <sz val="11"/>
        <color theme="1"/>
        <rFont val="Calibri"/>
        <family val="2"/>
        <scheme val="minor"/>
      </rPr>
      <t>_____________________</t>
    </r>
  </si>
  <si>
    <t>UPTAKE SENSITIVITY</t>
  </si>
  <si>
    <t>LOW</t>
  </si>
  <si>
    <t>HIGH</t>
  </si>
  <si>
    <t>DON'T OBTAIN</t>
  </si>
  <si>
    <t>UPTAKE</t>
  </si>
  <si>
    <t>rsv RATES</t>
  </si>
  <si>
    <t>EFFICACY SENSITIVITY</t>
  </si>
  <si>
    <t>EFFICACY</t>
  </si>
  <si>
    <t>BASE</t>
  </si>
  <si>
    <t>median</t>
  </si>
  <si>
    <t>RSV Rates</t>
  </si>
  <si>
    <t>ALL PARAMETERS SENSITIVITY (i.e. lowest possible low and highest possible high)</t>
  </si>
  <si>
    <t>RSV Rates Uncertainty*</t>
  </si>
  <si>
    <t>Uptake Uncertainty^</t>
  </si>
  <si>
    <t>Efficacy Uncertainty°</t>
  </si>
  <si>
    <t>^ Uptake range:</t>
  </si>
  <si>
    <t>High:</t>
  </si>
  <si>
    <t>Low:</t>
  </si>
  <si>
    <t>° Efficacy range:</t>
  </si>
  <si>
    <t>* See RSV Rates Input screen for range values</t>
  </si>
  <si>
    <t>Individual Parameter Estimates</t>
  </si>
  <si>
    <t>total birth cohort</t>
  </si>
  <si>
    <t>High risk births</t>
  </si>
  <si>
    <t>Low risk births</t>
  </si>
  <si>
    <t>Prop Uptake</t>
  </si>
  <si>
    <t>Low RSV rates</t>
  </si>
  <si>
    <t>High RSV rate</t>
  </si>
  <si>
    <t>OUTPATIENT - LOW EFFICACY</t>
  </si>
  <si>
    <t>OUTPATIENT - HIGH EFFICACY</t>
  </si>
  <si>
    <t>ED - LOW EFFICACY</t>
  </si>
  <si>
    <t>ED - HIGH EFFICACY</t>
  </si>
  <si>
    <t>HOSPITALIZED - LOW EFFICACY</t>
  </si>
  <si>
    <t>HOSPITALIZED - HIGH EFFICACY</t>
  </si>
  <si>
    <t>Hospital</t>
  </si>
  <si>
    <t>RESULTS - ALL WAY SENSITIVITY ANALYSIS</t>
  </si>
  <si>
    <t>See RSV Rates Input screen for range values</t>
  </si>
  <si>
    <t>Summary of your inputs</t>
  </si>
  <si>
    <t>START OVER
&lt;-----</t>
  </si>
  <si>
    <t>Click here to change your inputs</t>
  </si>
  <si>
    <t>Antibody Candidate</t>
  </si>
  <si>
    <t>Maternal Vaccine Candidate</t>
  </si>
  <si>
    <t>Maternal Vaccine
Candidate</t>
  </si>
  <si>
    <t>In clinical development, 
not yet available</t>
  </si>
  <si>
    <t>In clinical development, 
not yet avialable</t>
  </si>
  <si>
    <t xml:space="preserve">Currently available. </t>
  </si>
  <si>
    <t>Antibody Candidate:</t>
  </si>
  <si>
    <t>Outpatient Clinic Visits</t>
  </si>
  <si>
    <t>Emergency Department (ED) Visits</t>
  </si>
  <si>
    <t>Out of the population eligible to receive an immunization product, what proportion actually receives it? Entering "0" removes a product from consideration (i.e. results will not be generated for it).</t>
  </si>
  <si>
    <t>Maternal Candidate</t>
  </si>
  <si>
    <t>Outpatient Clinic Visits:</t>
  </si>
  <si>
    <t>Uptake, Low risk</t>
  </si>
  <si>
    <t>Uptake, High risk</t>
  </si>
  <si>
    <t>Prop w/out Uptake, low risk</t>
  </si>
  <si>
    <t>Prop w/out Uptake, high risk</t>
  </si>
  <si>
    <t>BACK TO MAIN RESULTS
&lt;-----</t>
  </si>
  <si>
    <r>
      <t xml:space="preserve">Sensitivity Analyses: </t>
    </r>
    <r>
      <rPr>
        <b/>
        <u/>
        <sz val="16"/>
        <color rgb="FFC00000"/>
        <rFont val="Calibri"/>
        <family val="2"/>
        <scheme val="minor"/>
      </rPr>
      <t>Antibody Candidate</t>
    </r>
  </si>
  <si>
    <t>SENSITIVITY ANALYSES: ANTIBODY CANDIDATE
&lt;------</t>
  </si>
  <si>
    <t>SENSITIVITY ANALYSES: MATERNAL VACCINE
------&gt;</t>
  </si>
  <si>
    <t>MAIN RESULTS
&lt;-----</t>
  </si>
  <si>
    <t>Go back to Main Result screen</t>
  </si>
  <si>
    <t>Low income</t>
  </si>
  <si>
    <t>Lower/Upper-middle income</t>
  </si>
  <si>
    <t>Developing</t>
  </si>
  <si>
    <t>Industrialized</t>
  </si>
  <si>
    <t>Your value</t>
  </si>
  <si>
    <t>0-5 months hCFR (%):</t>
  </si>
  <si>
    <t>5-11 months hCFR (%):</t>
  </si>
  <si>
    <t>High income</t>
  </si>
  <si>
    <t>DO NOT EDIT THE 3 TABLES BELOW: They are provided for pasting back in above if you've made changes and want to return to the original/preset values.</t>
  </si>
  <si>
    <t>Hosp</t>
  </si>
  <si>
    <t>0-5 mon %</t>
  </si>
  <si>
    <t>5-11 mon %</t>
  </si>
  <si>
    <t>CFR weight</t>
  </si>
  <si>
    <t>% of live births^</t>
  </si>
  <si>
    <t>% hospitalized in 1st RSV season**</t>
  </si>
  <si>
    <t>NEXT Input Screen -----&gt;</t>
  </si>
  <si>
    <t>Medically Attended for RSV after Maternal Candidate</t>
  </si>
  <si>
    <t>Obtain Maternal Candidate</t>
  </si>
  <si>
    <t>Forced to zero in Maternal Candidate model</t>
  </si>
  <si>
    <t>obtain NEW Antibody Candidate product</t>
  </si>
  <si>
    <t>do not obtain NEW Antibody Candidate product</t>
  </si>
  <si>
    <t>obtain Antibody Candidate product</t>
  </si>
  <si>
    <t>do not obtain Antibody Candidate product</t>
  </si>
  <si>
    <t>b/c assumed to GO un-immunized</t>
  </si>
  <si>
    <t>GREYED OUT LOW/HIGH VALUES IDENTIFY WHERE THE BASELINE VALUE FOR RSV CASES IS USED IN SENSITIVITY ANALYSIS (VS LOW/HIGH) B/C UPTAKE DOESN'T VARY FOR THESE BRANCHES</t>
  </si>
  <si>
    <t>low uptake</t>
  </si>
  <si>
    <t>high uptake</t>
  </si>
  <si>
    <t>Default^^:</t>
  </si>
  <si>
    <t>2) Chronic Lung Disease of Prematurity (CLD)</t>
  </si>
  <si>
    <t>GREYED OUT LOW/HIGH VALUES IDENTIFY WHERE THE BASELINE VALUE FOR RSV CASES IS USED IN SENSITIVITY ANALYSIS (VS LOW/HIGH) B/C EFFICACY DOESN'T VARY FOR THESE BRANCHES</t>
  </si>
  <si>
    <t>low efficacy</t>
  </si>
  <si>
    <t>high efficacy</t>
  </si>
  <si>
    <t>All-newborns 
(high &amp; low RSV risk)</t>
  </si>
  <si>
    <t>Duration</t>
  </si>
  <si>
    <t>What proportion of those receiving an immunization are protected and for how long? If you entered 0% uptake for a product on the prior screen, entries for that product will appear grey and can be ignored.</t>
  </si>
  <si>
    <t>Default* --&gt;</t>
  </si>
  <si>
    <t>Default^ --&gt;</t>
  </si>
  <si>
    <t>% that are high risk</t>
  </si>
  <si>
    <t>days</t>
  </si>
  <si>
    <t>Maternal Candidate Duration</t>
  </si>
  <si>
    <t>Baseline 90</t>
  </si>
  <si>
    <t>Low 60</t>
  </si>
  <si>
    <t>High 120</t>
  </si>
  <si>
    <t>protected</t>
  </si>
  <si>
    <t>protection has waned</t>
  </si>
  <si>
    <t>Anti Cand</t>
  </si>
  <si>
    <t>Mat Vac</t>
  </si>
  <si>
    <r>
      <t xml:space="preserve">Days </t>
    </r>
    <r>
      <rPr>
        <b/>
        <u/>
        <sz val="14"/>
        <color theme="1"/>
        <rFont val="Calibri"/>
        <family val="2"/>
        <scheme val="minor"/>
      </rPr>
      <t>protected</t>
    </r>
  </si>
  <si>
    <t>% of low risk when protected</t>
  </si>
  <si>
    <t>% of low risk when unprotected</t>
  </si>
  <si>
    <t>(older than age at which immunization is no longer protective)</t>
  </si>
  <si>
    <t>Expected healthcare visits (during period maternal cand is protective) that would have occurred had Maternal Candidate not been obtained</t>
  </si>
  <si>
    <t>RSV % of low risk</t>
  </si>
  <si>
    <t>% of high risk when protected</t>
  </si>
  <si>
    <t>% of high risk when unprotected</t>
  </si>
  <si>
    <t>HIGH RISK</t>
  </si>
  <si>
    <t>Medically Attended for RSV after Palivizumab</t>
  </si>
  <si>
    <t>Expected healthcare visits (during period Palivizumab is protective) that would have occurred had Palivizumab not been obtained</t>
  </si>
  <si>
    <t>Maternal Vaccine Candidate:</t>
  </si>
  <si>
    <t>MA attended for RSV due to Vaccine Failure &amp;</t>
  </si>
  <si>
    <t>post-immun. protection period</t>
  </si>
  <si>
    <t>p10</t>
  </si>
  <si>
    <t>LOW RISK</t>
  </si>
  <si>
    <t>Medically attended for RSV due to Vaccine Failure &amp;</t>
  </si>
  <si>
    <t>(1-p8) +p10</t>
  </si>
  <si>
    <t>averted w/ immun.</t>
  </si>
  <si>
    <t>p11</t>
  </si>
  <si>
    <t>(1-p7) +p11</t>
  </si>
  <si>
    <t>View Antibody Transfer Calculations</t>
  </si>
  <si>
    <t>Your RSV season length (months):</t>
  </si>
  <si>
    <t>Month immunization starts</t>
  </si>
  <si>
    <t>Month immunization ends</t>
  </si>
  <si>
    <t>Months of immunization:</t>
  </si>
  <si>
    <t>Within Season (WiS)</t>
  </si>
  <si>
    <t>W/in protection window</t>
  </si>
  <si>
    <t>Past protection window</t>
  </si>
  <si>
    <t>WiS</t>
  </si>
  <si>
    <t>OoS</t>
  </si>
  <si>
    <t>Calculations to determine % eligible for protection and % beyond protection duration</t>
  </si>
  <si>
    <t>mo. #</t>
  </si>
  <si>
    <t>cohort size WiS</t>
  </si>
  <si>
    <t>cohort size OoS</t>
  </si>
  <si>
    <t>Age (months) season start</t>
  </si>
  <si>
    <t>duration marker</t>
  </si>
  <si>
    <t>paliviz.</t>
  </si>
  <si>
    <t>Antib. Cand.</t>
  </si>
  <si>
    <t>Take Palivizumab</t>
  </si>
  <si>
    <t>Take Antibody Candidate</t>
  </si>
  <si>
    <t>no uptake:</t>
  </si>
  <si>
    <t>HIGH RSV RATES</t>
  </si>
  <si>
    <t>LOW RSV RATES</t>
  </si>
  <si>
    <t>THIS SHEET CALCULATES WITHIN EACH RISK/SETTING COMBINAITON 1) THE PERCENTAGE OF MEDICALLY ATTENDED VISITS FOR INFANTS BORN BETWEEN SEASONS (OoS) AT THEIR NEXT (I.E. 1ST) RSV SEASON , 2) THE PERCENT WITHIN THE DURATION OF PROTECTION WHEN GIVEN AN IMMUNIZATION PRODUCT AT START OF THE NEXT RSV SEASON (I.E. THE PERCENT ELIGIBLE TO BE AVERTED), AND 3) THE PERCENT PAST THE DURATION OF PROTECTION (CAN'T BE AVERTED)</t>
  </si>
  <si>
    <t>THESE COLUMNS CALCULATE WITHIN EACH RISK/SETTING COMBINAITON 1) THE PERCENTAGE OF MEDICALLY ATTENDED VISITS FOR INFANTS BORN DURING THE RSV SEASON (WiS), 2) THE PERCENT WITHIN THE DURATION OF PROTECTION WHEN GIVEN AN IMMUNIZATION PRODUCT AT THEIR BIRTH (I.E. THE PERCENT ELIGIBLE TO BE AVERTED), AND 3) THE PERCENT PAST THE DURATION OF PROTECTION (CAN'T BE AVERTED)</t>
  </si>
  <si>
    <t>OoS Birth Cohort</t>
  </si>
  <si>
    <t>WiS Birth cohort</t>
  </si>
  <si>
    <t>Out of Season (OoS)</t>
  </si>
  <si>
    <t>OoS Birth cohort</t>
  </si>
  <si>
    <t>1yr. Birth Cohort</t>
  </si>
  <si>
    <t>WiS birth cohort</t>
  </si>
  <si>
    <t>no uptake</t>
  </si>
  <si>
    <t>Antibody
Candidate</t>
  </si>
  <si>
    <r>
      <t>Default</t>
    </r>
    <r>
      <rPr>
        <sz val="10"/>
        <color theme="1"/>
        <rFont val="Calibri"/>
        <family val="2"/>
      </rPr>
      <t>°</t>
    </r>
    <r>
      <rPr>
        <sz val="10"/>
        <color theme="1"/>
        <rFont val="Calibri"/>
        <family val="2"/>
        <scheme val="minor"/>
      </rPr>
      <t>:</t>
    </r>
  </si>
  <si>
    <t>WiS high-risk births</t>
  </si>
  <si>
    <t>OoS high-risk births</t>
  </si>
  <si>
    <t>Annual high risk births obtaining Mat Cand.</t>
  </si>
  <si>
    <t>Annual high risk births that don't obtain Mat Cand.</t>
  </si>
  <si>
    <t>Annual low risk births obtaining Mat Cand.</t>
  </si>
  <si>
    <t>Maternal Vac Candidate</t>
  </si>
  <si>
    <t>Mat Vac Cand*</t>
  </si>
  <si>
    <t>* subtract 1 in this formula b/c the duration is reduced by a month because these kids are born OoS (i.e. at least 1 month prior) to season start so at least a month of the duration of protection is lost prior to season starting</t>
  </si>
  <si>
    <t>Note: different formulas in 1st 4 cells below of "w/in window of protection column"</t>
  </si>
  <si>
    <t>BASE CASE (Within Season)</t>
  </si>
  <si>
    <t>BASE CASE (Out of Season)</t>
  </si>
  <si>
    <t>OoS low risk birth</t>
  </si>
  <si>
    <t>WiS low risk births that do not obtain Mat Cand</t>
  </si>
  <si>
    <t>Annual WiS low births that do not obtain Mat Cand</t>
  </si>
  <si>
    <t>OoS low risk births that do not obtain Mat Cand</t>
  </si>
  <si>
    <t>OoS high-risk births that don't obtain Mat Cand.</t>
  </si>
  <si>
    <t>OoS high-risk births obtaining Mat Cand.</t>
  </si>
  <si>
    <t>WiS high-risk births obtaining Mat Cand.</t>
  </si>
  <si>
    <t>WiS low risk birth obtaining Mat Cand.</t>
  </si>
  <si>
    <t>WiS low uptake</t>
  </si>
  <si>
    <t>WiS high uptake</t>
  </si>
  <si>
    <t>OoS low uptake</t>
  </si>
  <si>
    <t>OoS high uptake</t>
  </si>
  <si>
    <t>Click here to go back through the input screens and update any values</t>
  </si>
  <si>
    <t>Click here to view the relative influence of specific inputs on results</t>
  </si>
  <si>
    <t>Click here to see the same results as shown here, but for the Antibody Candidate</t>
  </si>
  <si>
    <t>Return to Main Results</t>
  </si>
  <si>
    <t>OoS birth cohort</t>
  </si>
  <si>
    <t>Estimated visits Prevented per percentage point increases in uptake</t>
  </si>
  <si>
    <t>Slope calculations</t>
  </si>
  <si>
    <t>Click here to see the same results as shown here, but for the Maternal Vaccine</t>
  </si>
  <si>
    <t>to</t>
  </si>
  <si>
    <r>
      <rPr>
        <b/>
        <sz val="14"/>
        <color theme="1"/>
        <rFont val="Calibri"/>
        <family val="2"/>
        <scheme val="minor"/>
      </rPr>
      <t>1.1</t>
    </r>
    <r>
      <rPr>
        <sz val="14"/>
        <color theme="1"/>
        <rFont val="Calibri"/>
        <family val="2"/>
        <scheme val="minor"/>
      </rPr>
      <t xml:space="preserve"> </t>
    </r>
    <r>
      <rPr>
        <sz val="14"/>
        <color rgb="FFC00000"/>
        <rFont val="Calibri"/>
        <family val="2"/>
        <scheme val="minor"/>
      </rPr>
      <t>Select a method for determining the number of births eligible for immunization</t>
    </r>
  </si>
  <si>
    <t>The default is "birth cohort". However, if you do not know the number of annual live births you can input your jurisdiction's population and the model will estimate this based on the per capita birth rate in the US.</t>
  </si>
  <si>
    <t>1) Congenital Heart Disease (CHD) (hemodynamically significant)</t>
  </si>
  <si>
    <t>4) Other/optional category &lt;write in here&gt;</t>
  </si>
  <si>
    <t>Total Risk</t>
  </si>
  <si>
    <t>known (hr1)</t>
  </si>
  <si>
    <t>?  (hr2)</t>
  </si>
  <si>
    <t>?  (hr3)</t>
  </si>
  <si>
    <t>known (tr1)</t>
  </si>
  <si>
    <t>known (tr2)</t>
  </si>
  <si>
    <t>known (tr3)</t>
  </si>
  <si>
    <t>? (lr1)</t>
  </si>
  <si>
    <t>? (lr2)</t>
  </si>
  <si>
    <t>? (lr3)</t>
  </si>
  <si>
    <t>hr1</t>
  </si>
  <si>
    <t>Feltes/Impact Papers</t>
  </si>
  <si>
    <t>tr1-tr3</t>
  </si>
  <si>
    <t>assume ratio low to high risk visits is the same in ED/Outpatient as in Hospitalized</t>
  </si>
  <si>
    <t>User's Cohort</t>
  </si>
  <si>
    <t>THIS SHEET IS USED TO OBTAIN THE RATIOS OF MEDICALLY ATTENDED VISITS OF LOW RISK TO HIGH RISK INFANTS</t>
  </si>
  <si>
    <t>Weighted % high risk births hospitalized among all births w/out palivizumab use</t>
  </si>
  <si>
    <t>High Risk (hr)</t>
  </si>
  <si>
    <t>Low Risk (lr)</t>
  </si>
  <si>
    <t>Total Risk (tr)</t>
  </si>
  <si>
    <t>provided by user (default is NVSN data from US) based on w/ or w/out paliv use</t>
  </si>
  <si>
    <t>No</t>
  </si>
  <si>
    <t>Yes</t>
  </si>
  <si>
    <t>Expected Hospitalized</t>
  </si>
  <si>
    <t>Expected ED</t>
  </si>
  <si>
    <t>Expected Outpatient</t>
  </si>
  <si>
    <t>Did user specify Paliv is used?:</t>
  </si>
  <si>
    <t>n/a</t>
  </si>
  <si>
    <t>Ratio Total-risk to High Risk</t>
  </si>
  <si>
    <t>Multiplier for adding Paliv-Prevented visits back to observed rate</t>
  </si>
  <si>
    <t>% of all Births that are Hi-Risk w/ setting visit</t>
  </si>
  <si>
    <t>% of all Births that are Lo-Risk w/ setting visit</t>
  </si>
  <si>
    <t>In absence of Palivizumab</t>
  </si>
  <si>
    <t>Immun Start</t>
  </si>
  <si>
    <t>Immun End</t>
  </si>
  <si>
    <t>Length of Season</t>
  </si>
  <si>
    <t>INPUT STEP 2: PROVIDE POPULATION-BASED RATES FOR MEDICALLY ATTENDED RSV INFECTIONS</t>
  </si>
  <si>
    <r>
      <t>Births at</t>
    </r>
    <r>
      <rPr>
        <b/>
        <sz val="11"/>
        <color theme="1"/>
        <rFont val="Calibri"/>
        <family val="2"/>
        <scheme val="minor"/>
      </rPr>
      <t xml:space="preserve"> high</t>
    </r>
    <r>
      <rPr>
        <sz val="11"/>
        <color theme="1"/>
        <rFont val="Calibri"/>
        <family val="2"/>
        <scheme val="minor"/>
      </rPr>
      <t xml:space="preserve">-risk for severe RSV infections </t>
    </r>
  </si>
  <si>
    <r>
      <t xml:space="preserve">Births at </t>
    </r>
    <r>
      <rPr>
        <b/>
        <sz val="11"/>
        <color theme="1"/>
        <rFont val="Calibri"/>
        <family val="2"/>
        <scheme val="minor"/>
      </rPr>
      <t>low</t>
    </r>
    <r>
      <rPr>
        <sz val="11"/>
        <color theme="1"/>
        <rFont val="Calibri"/>
        <family val="2"/>
        <scheme val="minor"/>
      </rPr>
      <t>-risk for severe RSV infection</t>
    </r>
  </si>
  <si>
    <r>
      <t xml:space="preserve">Births at </t>
    </r>
    <r>
      <rPr>
        <b/>
        <sz val="11"/>
        <color theme="1"/>
        <rFont val="Calibri"/>
        <family val="2"/>
        <scheme val="minor"/>
      </rPr>
      <t>high</t>
    </r>
    <r>
      <rPr>
        <sz val="11"/>
        <color theme="1"/>
        <rFont val="Calibri"/>
        <family val="2"/>
        <scheme val="minor"/>
      </rPr>
      <t xml:space="preserve">-risk for severe RSV infections </t>
    </r>
  </si>
  <si>
    <t>Currently available.</t>
  </si>
  <si>
    <t>Births at high-risk for severe RSV infections</t>
  </si>
  <si>
    <t>Infants born during the season are given Palivizumab and Antibody Candidate products at birth, and those born out of season are given these products at the start of the next RSV season.</t>
  </si>
  <si>
    <t>Provide intervention*</t>
  </si>
  <si>
    <r>
      <rPr>
        <sz val="10"/>
        <color theme="1"/>
        <rFont val="Calibri"/>
        <family val="2"/>
        <scheme val="minor"/>
      </rPr>
      <t>*</t>
    </r>
    <r>
      <rPr>
        <sz val="8.5"/>
        <color theme="1"/>
        <rFont val="Calibri"/>
        <family val="2"/>
        <scheme val="minor"/>
      </rPr>
      <t xml:space="preserve"> </t>
    </r>
    <r>
      <rPr>
        <sz val="8"/>
        <color theme="1"/>
        <rFont val="Calibri"/>
        <family val="2"/>
        <scheme val="minor"/>
      </rPr>
      <t>Relates to Palivizumab and Antibody Candidate products only. Maternal Vaccine is offered year-round.</t>
    </r>
  </si>
  <si>
    <t>Outpatient Clinics</t>
  </si>
  <si>
    <t>0-5 months LRTIs (%):</t>
  </si>
  <si>
    <t>5-11 months LRTIs (%):</t>
  </si>
  <si>
    <t>Emergency Department</t>
  </si>
  <si>
    <r>
      <t xml:space="preserve">3.2 </t>
    </r>
    <r>
      <rPr>
        <sz val="14"/>
        <color rgb="FFC00000"/>
        <rFont val="Calibri"/>
        <family val="2"/>
        <scheme val="minor"/>
      </rPr>
      <t>Enter Hospitalized Case Fatality Rates (hCFR). hCFRs by country income/development status are provided^.</t>
    </r>
  </si>
  <si>
    <t>BACK to Input
Step 6</t>
  </si>
  <si>
    <t>INPUT STEP 4: PROVIDE INFORMATION ON WHEN YOU WILL PROVIDE INTERVENTION AND TIMING OF YOUR RSV SEASON</t>
  </si>
  <si>
    <r>
      <rPr>
        <b/>
        <sz val="14"/>
        <rFont val="Calibri"/>
        <family val="2"/>
        <scheme val="minor"/>
      </rPr>
      <t>4.1</t>
    </r>
    <r>
      <rPr>
        <sz val="14"/>
        <color rgb="FFC00000"/>
        <rFont val="Calibri"/>
        <family val="2"/>
        <scheme val="minor"/>
      </rPr>
      <t xml:space="preserve"> When does your RSV season begin?</t>
    </r>
  </si>
  <si>
    <t>INPUT STEP 5: PROVIDE INFORMATION ON IMMUNIZATION UPTAKE</t>
  </si>
  <si>
    <t>INPUT STEP 6: PROVIDE INFORMATION ON IMMUNIZATION EFFICACY</t>
  </si>
  <si>
    <t>Sources for known values in the above table:</t>
  </si>
  <si>
    <t>Total % births eligible for palivizumab (sum of elevated-risk conditions):</t>
  </si>
  <si>
    <t>Mean LRTI Visit Rate by Setting (per 1000 births)</t>
  </si>
  <si>
    <t>+ Palivizumab</t>
  </si>
  <si>
    <t>ESTIMATED LRTI VISITS WITH IMMUNIZATION</t>
  </si>
  <si>
    <t>ESTIMATED LRTI VISITS PREVENTED BY IMMUNIZATION (% PREVENTED)</t>
  </si>
  <si>
    <r>
      <rPr>
        <b/>
        <sz val="14"/>
        <rFont val="Calibri"/>
        <family val="2"/>
        <scheme val="minor"/>
      </rPr>
      <t>4.2</t>
    </r>
    <r>
      <rPr>
        <sz val="14"/>
        <color rgb="FFC00000"/>
        <rFont val="Calibri"/>
        <family val="2"/>
        <scheme val="minor"/>
      </rPr>
      <t xml:space="preserve"> Enter below the % of Medically-attended RSV occuring within each month of the year. Entries must total 100.0%. The graph will update as you make entries.</t>
    </r>
  </si>
  <si>
    <t xml:space="preserve">For more information or technical assistance contact Gabriel Rainisch, Grainisch@cdc.gov </t>
  </si>
  <si>
    <t>ESTIMATED DEATHS WITHOUT IMMUNIZATION (AMONG HOSPITALIZED)</t>
  </si>
  <si>
    <t>ESTIMATED DEATHS PREVENTED WITH IMMUNIZATION (AMONG HOSPITALIZED)</t>
  </si>
  <si>
    <r>
      <rPr>
        <b/>
        <sz val="14"/>
        <rFont val="Calibri"/>
        <family val="2"/>
        <scheme val="minor"/>
      </rPr>
      <t xml:space="preserve">3.1 </t>
    </r>
    <r>
      <rPr>
        <sz val="14"/>
        <color rgb="FFC00000"/>
        <rFont val="Calibri"/>
        <family val="2"/>
        <scheme val="minor"/>
      </rPr>
      <t>Input the percentage of visits with Lower Respiratory Tract Infections (LRTIs) for each healthcare setting by 6-month age groupings.</t>
    </r>
  </si>
  <si>
    <t>default uptake</t>
  </si>
  <si>
    <t>Influence of uncertainty in each input on the estimated number of Medically Attended LRTIs prevented by immunization</t>
  </si>
  <si>
    <t>For reference/entries for 1.2*</t>
  </si>
  <si>
    <t>DO NOT EDIT THE TABLES AT RIGHT: They are provided for pasting back into 1.3 above if you've made changes and want to return to the original/preset values.</t>
  </si>
  <si>
    <t>^</t>
  </si>
  <si>
    <t>**</t>
  </si>
  <si>
    <t>CDC's National Vital Statistics Reports, Vol. 67, No. 1, p.44 (accessed January 31, 2018)</t>
  </si>
  <si>
    <t>Pavilack M, Clifford RA, Gonzales T, Kong AM, Wade S, McLaurin KK. Trends in Utilization of Outpatient Respiratory Syncytial Virus Prophylaxis with Palivizumab among Medicaid- and Commercially Insured Infants. Infect Dis Ther. 2017.</t>
  </si>
  <si>
    <t>CHD: Feltes TF, Cabalka AK, Meissner HC, et al. Palivizumab prophylaxis reduces hospitalization due to respiratory syncytial virus in young children with hemodynamically significant congenital heart disease. J Pediatr. 2003;143(4):532-540.</t>
  </si>
  <si>
    <t>CLD/prematurity: IMpact. The IMpact-RSV Study Group. Palivizumab, a humanized respiratory syncytial virus monoclonal antibody, reduces hospitalization from respiratory syncytial virus infection in high-risk infants. Pediatrics. 1998;102(3 Pt 1):531-537.</t>
  </si>
  <si>
    <r>
      <rPr>
        <b/>
        <sz val="14"/>
        <rFont val="Calibri"/>
        <family val="2"/>
        <scheme val="minor"/>
      </rPr>
      <t xml:space="preserve">2.1 </t>
    </r>
    <r>
      <rPr>
        <sz val="14"/>
        <color rgb="FFC00000"/>
        <rFont val="Calibri"/>
        <family val="2"/>
        <scheme val="minor"/>
      </rPr>
      <t>Input rates for Medically-attended RSV infections for each healthcare setting by month-of-age. Entering 95% CI values is optional. Default values are for the US population* and are also listed at the bottom of the page.</t>
    </r>
  </si>
  <si>
    <t>Default*</t>
  </si>
  <si>
    <t>The reference values are based on a 2017 meta analysis of Case Fatility Rates conducted by Shi et al (2017), below. We adjusted values by 1) combining the Lower and Upper middle income categories into one category and present the average of both values, and 2) taking the midpoint of the 95% CI ragne for the hCFR for 0-5 months in Industrialized countries (versus the "0.0" median value in the published table).
Shi T, McAllister DA, O'Brien KL, et al. Global, regional, and national disease burden estimates of acute lower respiratory infections due to respiratory syncytial virus in young children in 2015: a systematic review and modelling study. Lancet. 2017;390(10098):946-958.</t>
  </si>
  <si>
    <t>Based on getting all (up to 5) recommended doses on time. Source: Stewart DL, Ryan KJ, Seare JG, Pinsky B, Becker L, Frogel M. Association of RSV-related hospitalization and non-compliance with palivizumab among commercially insured infants: a retrospective claims analysis. BMC Infect Dis. 2013;13:334.</t>
  </si>
  <si>
    <t>^^</t>
  </si>
  <si>
    <t>°</t>
  </si>
  <si>
    <t xml:space="preserve">Baseline based on average Tdap uptake among pregnant women during a 15 month period from Apr 2013 - June 2014 and low/high are -/+ 5%.
Healy CM, Ng N, Taylor RS, Rench MA, Swaim LS. Tetanus and diphtheria toxoids and acellular pertussis vaccine uptake during pregnancy in a metropolitan tertiary care center. Vaccine. 2015 Sep 11;33(38):4983-7.
 </t>
  </si>
  <si>
    <t>Based on the percent of eligible births that obtained the 1st palivizumab injection. Source: Pavilack M, Clifford RA, Gonzales T, Kong AM, Wade S, McLaurin KK. Trends in Utilization of Outpatient Respiratory Syncytial Virus Prophylaxis with Palivizumab among Medicaid- and Commercially Insured Infants. Infect Dis Ther. 2017.</t>
  </si>
  <si>
    <t>^  CDC's National Vital Statistics Reports, Vol. 67, No. 1, p.44 (accessed January 31, 2018)</t>
  </si>
  <si>
    <t>** Based on timing of when mothers receive Tdap immunization. Source: CDC, unpublished data.</t>
  </si>
  <si>
    <t>Results</t>
  </si>
  <si>
    <r>
      <t>Created by: Gabriel Rainisch</t>
    </r>
    <r>
      <rPr>
        <b/>
        <vertAlign val="superscript"/>
        <sz val="11"/>
        <rFont val="Arial"/>
        <family val="2"/>
      </rPr>
      <t>1</t>
    </r>
    <r>
      <rPr>
        <b/>
        <sz val="11"/>
        <rFont val="Arial"/>
        <family val="2"/>
      </rPr>
      <t>, Bishwa Adhikari</t>
    </r>
    <r>
      <rPr>
        <b/>
        <vertAlign val="superscript"/>
        <sz val="11"/>
        <rFont val="Arial"/>
        <family val="2"/>
      </rPr>
      <t>1</t>
    </r>
    <r>
      <rPr>
        <b/>
        <sz val="11"/>
        <rFont val="Arial"/>
        <family val="2"/>
      </rPr>
      <t>, Martin I. Meltzer</t>
    </r>
    <r>
      <rPr>
        <b/>
        <vertAlign val="superscript"/>
        <sz val="11"/>
        <rFont val="Arial"/>
        <family val="2"/>
      </rPr>
      <t>1</t>
    </r>
    <r>
      <rPr>
        <b/>
        <sz val="11"/>
        <rFont val="Arial"/>
        <family val="2"/>
      </rPr>
      <t>, Gayle Langley</t>
    </r>
    <r>
      <rPr>
        <b/>
        <vertAlign val="superscript"/>
        <sz val="11"/>
        <rFont val="Arial"/>
        <family val="2"/>
      </rPr>
      <t>2</t>
    </r>
  </si>
  <si>
    <t xml:space="preserve"> Disclaimer: Authors are responsible for the methodology and content of this tool and do not necessarily represent</t>
  </si>
  <si>
    <t>Table of Contents:</t>
  </si>
  <si>
    <t>Tool Purpose</t>
  </si>
  <si>
    <t>Using the Tool</t>
  </si>
  <si>
    <r>
      <t>RSV I</t>
    </r>
    <r>
      <rPr>
        <vertAlign val="superscript"/>
        <sz val="12"/>
        <color theme="1"/>
        <rFont val="Calibri"/>
        <family val="2"/>
        <scheme val="minor"/>
      </rPr>
      <t>2</t>
    </r>
    <r>
      <rPr>
        <sz val="12"/>
        <color theme="1"/>
        <rFont val="Calibri"/>
        <family val="2"/>
        <scheme val="minor"/>
      </rPr>
      <t>M is designed to estimate the direct impact of RSV immunization strategies on RSV-associated medically-attended (MA) LRTIs in various healthcare settings among infants &lt;12 months. Users input RSV burden and seasonality and examine the influence of altering immunization products' uptake, efficacy, and duration assumptions.</t>
    </r>
  </si>
  <si>
    <t>Tool Purpose:</t>
  </si>
  <si>
    <t>Candidate products evaluated in the tool were in clinical development at the time this model was produced. Since publication of this model some of the products may have been approved for use in some countries. For further details on the strategies evaluated, critical assumptions, and limitations, please review the associated mansucript.</t>
  </si>
  <si>
    <r>
      <rPr>
        <u/>
        <sz val="12"/>
        <color theme="1"/>
        <rFont val="Calibri"/>
        <family val="2"/>
        <scheme val="minor"/>
      </rPr>
      <t>Navigating between screens</t>
    </r>
    <r>
      <rPr>
        <sz val="12"/>
        <color theme="1"/>
        <rFont val="Calibri"/>
        <family val="2"/>
        <scheme val="minor"/>
      </rPr>
      <t>: Click on the colored boxes (containing arrows) to move back and forth. They are located at the bottom of each input screen (example at right) or at the top right of the results screens and on this screen.</t>
    </r>
  </si>
  <si>
    <r>
      <rPr>
        <u/>
        <sz val="12"/>
        <color theme="1"/>
        <rFont val="Calibri"/>
        <family val="2"/>
        <scheme val="minor"/>
      </rPr>
      <t>Inputting Values</t>
    </r>
    <r>
      <rPr>
        <sz val="12"/>
        <color theme="1"/>
        <rFont val="Calibri"/>
        <family val="2"/>
        <scheme val="minor"/>
      </rPr>
      <t xml:space="preserve">: Green cells identify where you can type in or select inputs. Default values are already provided in these cells, but may be overwritten by clicking in the cell and typing in a new value. Advance to the next screen after you're satisfied with all inputs. </t>
    </r>
  </si>
  <si>
    <t>The main results page displays the impact of your strategies as a table (top of screen) and graphically (below the table) - both reflect the same data. Similarly, the Low and High values in the table and the error bars on the graphs both reflect uncertainty in the rates you entered for medically-attended RSV on screen 2. To view the influence of uncertainty due to other parameter values on your results (like uptake and efficacy), go to the Sensitivity Analyses Results screens for each candidate product by clicking on the appropriate navigation box at the top right of the results screen. All results are also rounded to the nearest 10 visits.</t>
  </si>
  <si>
    <t>Results:</t>
  </si>
  <si>
    <t>Advanced Use: accessing calculations</t>
  </si>
  <si>
    <t>2. Type "unlock" (all lowercase) to unlock the screen.</t>
  </si>
  <si>
    <t>3. Repeat steps 1-2 for any other input screens you wish to edit.</t>
  </si>
  <si>
    <t>Using the Tool:</t>
  </si>
  <si>
    <t>Back to top</t>
  </si>
  <si>
    <r>
      <t>This page provides assistance with using RSV I</t>
    </r>
    <r>
      <rPr>
        <vertAlign val="superscript"/>
        <sz val="14"/>
        <color rgb="FFC00000"/>
        <rFont val="Calibri"/>
        <family val="2"/>
        <scheme val="minor"/>
      </rPr>
      <t>2</t>
    </r>
    <r>
      <rPr>
        <sz val="14"/>
        <color rgb="FFC00000"/>
        <rFont val="Calibri"/>
        <family val="2"/>
        <scheme val="minor"/>
      </rPr>
      <t>M, interpreting results, and how to access calculations. Click on any of the topics in the Table of Contents below to go to that section or scroll up and down this page.</t>
    </r>
  </si>
  <si>
    <t>Proportion of antibodies successfully transferred over the population</t>
  </si>
  <si>
    <t>Estimated proportion of antibodies successfully transferred across the population based on timing of immunization uptake and gestational age at birth*</t>
  </si>
  <si>
    <t>Estimating the Impact of Immunization Products on Medically-</t>
  </si>
  <si>
    <t xml:space="preserve"> Attended Respiratory Syncytial Virus (RSV) Infections in Infants</t>
  </si>
  <si>
    <r>
      <rPr>
        <u/>
        <sz val="12"/>
        <color theme="1"/>
        <rFont val="Calibri"/>
        <family val="2"/>
        <scheme val="minor"/>
      </rPr>
      <t>Limiting results to fewer strategies or settings</t>
    </r>
    <r>
      <rPr>
        <sz val="12"/>
        <color theme="1"/>
        <rFont val="Calibri"/>
        <family val="2"/>
        <scheme val="minor"/>
      </rPr>
      <t>: You can use the model to just examine the impact of a single or two products and in fewer settings as follows:</t>
    </r>
  </si>
  <si>
    <t>- Fewer settings: enter zeros into the rate tables on Input screen 2 for the settings you wish to omit from the analysis.</t>
  </si>
  <si>
    <t>3) Born premature (&lt;29 weeks gestation), without CHD or CLD</t>
  </si>
  <si>
    <r>
      <rPr>
        <b/>
        <sz val="14"/>
        <rFont val="Calibri"/>
        <family val="2"/>
        <scheme val="minor"/>
      </rPr>
      <t>1.3</t>
    </r>
    <r>
      <rPr>
        <sz val="14"/>
        <rFont val="Calibri"/>
        <family val="2"/>
        <scheme val="minor"/>
      </rPr>
      <t xml:space="preserve"> </t>
    </r>
    <r>
      <rPr>
        <sz val="14"/>
        <color rgb="FFC00000"/>
        <rFont val="Calibri"/>
        <family val="2"/>
        <scheme val="minor"/>
      </rPr>
      <t>Enter the percent of births with "high-risk" conditions (and hospitalization frequency) that put infants at an elevated risk for RSV. These births may be eligible for palivizumab.</t>
    </r>
  </si>
  <si>
    <t>Hospitalizations Source: Hall CB, Weinberg GA, Blumkin AK, et al. Respiratory syncytial virus-associated hospitalizations among children less than 24 months of age. Pediatrics. 2013;132(2):e341-348. doi: 310.1542/peds.2013-0303. Epub 2013 Jul 1522.</t>
  </si>
  <si>
    <t>Outpatient and ED Source: CDC, Accepted for publication and in-press with the Journal of the Pediatric Infectious Disease Society (as of February 2, 2019). Working Title: Respiratory Syncytial Virus-Associated Outpatient Visits among Children Less than 24 Months of Age.</t>
  </si>
  <si>
    <t>INPUT STEP 3: CLINICAL SEVERITY OF MEDICALLY-ATTENDED RSV VISITS</t>
  </si>
  <si>
    <t>Based on the average number of lab-confirmed RSV-associated visits that had any of the following diagnoses: croup, bronchiolitis, bronchitis, pneumonia or asthma. Source: CDC, New Vaccine Surveillance Network (NVSN), 2002-2009, unpublished</t>
  </si>
  <si>
    <t xml:space="preserve">US Season starts in October (month 1) and goes through March (month 6). Source: CDC, unpublished </t>
  </si>
  <si>
    <r>
      <t>Maternal Vaccine efficacy assumes maximal antibody transfer from the mother to the infant. The maximal amount of antibody transfer depends on 1) timing of birth relative to vaccination, and 2) gestational age at birth. Our model uses the value at right as the default maximal proportion</t>
    </r>
    <r>
      <rPr>
        <i/>
        <sz val="11"/>
        <rFont val="Calibri"/>
        <family val="2"/>
        <scheme val="minor"/>
      </rPr>
      <t xml:space="preserve">of antibodies that </t>
    </r>
    <r>
      <rPr>
        <i/>
        <sz val="11"/>
        <color theme="1"/>
        <rFont val="Calibri"/>
        <family val="2"/>
        <scheme val="minor"/>
      </rPr>
      <t>successfully transfer. Users interested in viewing the methods used to determine this proportion or who wish to change it may do so by clicking on the "View Antibody Transfer Calculations" link at right.</t>
    </r>
  </si>
  <si>
    <t>ROWS BELOW ARE ALTERNATIVE INPUTS FOR PASTING INTO THE "% OF IMMUNIZATIONS" (GREEN ROW IN TABLE ABOVE)</t>
  </si>
  <si>
    <t>Maximum antibody transfer</t>
  </si>
  <si>
    <t>Association between Immunization Uptake and Maximal and Minimal* Estimates of Prevented Medically-Attended LRTIs</t>
  </si>
  <si>
    <t>Maternal Vaccine Candidate + Palivizumab</t>
  </si>
  <si>
    <t>Warning: Accessing and manipulating the spreadsheet via the instructions below may result in the tool producing incorrect or inappropriate results or prevent the tool from working at all.</t>
  </si>
  <si>
    <t>Low Efficacy, Low RSV Rates</t>
  </si>
  <si>
    <t>MINIMUM PREVENTED VISITS</t>
  </si>
  <si>
    <t>MAXIMUM PREVENTED VISITS</t>
  </si>
  <si>
    <t>High Efficacy, High RSV Rates</t>
  </si>
  <si>
    <t>RSV Visits prevented per uptake cohort and HEALTHCARE SETTING</t>
  </si>
  <si>
    <t xml:space="preserve">* Maximal (dashed line): Combination of High Efficacy Input &amp; High RSV rates (upper 95% CI)     * Minimum (solid line): Combination of Low Efficacy Input &amp; Low RSV rates (lower 95% CI)     </t>
  </si>
  <si>
    <t>Baseline value is based on combining uptakes for Hepatitis B vaccine uptake in neonates (applicable to births within the 6 month US RSV season) and Influenza immunization coverage among 6 month to 4 year olds (applicable to births occurring outside the RSV season). Range is -/+ 5 of baseline in the absence of data. 
Sources: 
Hill HA, Elam-Evans LD, Yankey D, Singleton JA, Kang Y. Vaccination Coverage Among Children Aged 19-35 Months - United States, 2016. MMWR Morb Mortal Wkly Rep. 2017;66(43):1171-1177.
Estimates of Flu Vaccination Coverage among Children — United States, 2017–18 Flu Season, in FluVaxView. 2018, Centers for Disease Control and Prevention (CDC).</t>
  </si>
  <si>
    <t>Based on efficacy in a meta-analysis of clinical trials of palivizumab in high risk infants for infants with compliance to all doses). Source: Andabaka T, Nickerson JW, Rojas-Reyes MX, Rueda JD, Bacic Vrca V, Barsic B. Monoclonal antibody for reducing the risk of respiratory syncytial virus infection in children. Cochrane Database Syst Rev. 2013(4):Cd006602.</t>
  </si>
  <si>
    <t>Based on the average efficacy of a passive immunity product, motavizumab (that is similar to palivizumab) in term infants across all healthcare settings (hospitalizations, ED visits, outpatient visits). O'Brien KL, Chandran A, Weatherholtz R, et al. Efficacy of motavizumab for the prevention of respiratory syncytial virus disease in healthy Native American infants: a phase 3 randomised double-blind placebo-controlled trial. Lancet Infect Dis. 2015;15(12):1398-1408.</t>
  </si>
  <si>
    <r>
      <t>Default^</t>
    </r>
    <r>
      <rPr>
        <sz val="12"/>
        <color theme="1"/>
        <rFont val="Calibri"/>
        <family val="2"/>
      </rPr>
      <t xml:space="preserve"> --&gt;</t>
    </r>
  </si>
  <si>
    <r>
      <t xml:space="preserve">ESTIMATED LOWER RESPIRATORY TRACT INFECTIONS (LRTI) VISITS WITHOUT IMMUNIZATION 
</t>
    </r>
    <r>
      <rPr>
        <sz val="9"/>
        <color theme="1"/>
        <rFont val="Calibri"/>
        <family val="2"/>
        <scheme val="minor"/>
      </rPr>
      <t>(low/high values reflect uncertainty in RSV rate inputs only - to view influence of uncertainty in other parameter inputs click on "Sensitivity Analyses" box at right)</t>
    </r>
  </si>
  <si>
    <t>rate</t>
  </si>
  <si>
    <t>sum:</t>
  </si>
  <si>
    <t>sum hi-risk:</t>
  </si>
  <si>
    <t>cohort size OoS:</t>
  </si>
  <si>
    <t>OoS prop from year:</t>
  </si>
  <si>
    <t>remaining Hi-risk (i.e. expected in OoS):</t>
  </si>
  <si>
    <t>max percent hi-risk possible in OoS:</t>
  </si>
  <si>
    <t>ALL RISK</t>
  </si>
  <si>
    <t>Age (months) at season start</t>
  </si>
  <si>
    <t>remaining Low-risk (i.e. expected in OoS):</t>
  </si>
  <si>
    <t>max percent low-risk possible in OoS:</t>
  </si>
  <si>
    <t>* subtract 1 in this formula b/c the duration is reduced by a month because these kids are born OoS (i.e. at least 1 month prior) to season start so the first month of the duration of protectiton (before season starts) is not calculated here.</t>
  </si>
  <si>
    <t>% of Annual Medically Attended RSV Visits seeking care in each setting, by age and month of season</t>
  </si>
  <si>
    <t>No. RSV visits in the Population at Risk (in absence of palivizumab being provided to High Risk infants), by attended setting, risk status, age &amp; month of season</t>
  </si>
  <si>
    <t>No. of RSV visits in the Population at Risk (in absence of palivizumab provided to High Risk infants), by attended setting, risk status, age &amp; month of season</t>
  </si>
  <si>
    <t>v2.0</t>
  </si>
  <si>
    <t>- Limiting analysis to a specific age group: enter zeros in the Input Screen 2 rate tables for the age groups to exclude from results (both with and without immunization).</t>
  </si>
  <si>
    <t>- Fewer strategies: enter 0% uptake for the products you wish to omit from the analysis on Input screen 5. For example, by entering 0 for palivizumab uptake the results for the strategy lableled as Maternal Vaccine + Palivizumab will only reflect the impact of maternal vaccine.</t>
  </si>
  <si>
    <r>
      <rPr>
        <u/>
        <sz val="12"/>
        <color theme="1"/>
        <rFont val="Calibri"/>
        <family val="2"/>
        <scheme val="minor"/>
      </rPr>
      <t>Accessing calculations</t>
    </r>
    <r>
      <rPr>
        <sz val="12"/>
        <color theme="1"/>
        <rFont val="Calibri"/>
        <family val="2"/>
        <scheme val="minor"/>
      </rPr>
      <t>: All of the calculations in the tool can be accessed by "opposite clicking" on any screen name tab at the bottom of the tool and selecting "Unhide" from the menu that appears.</t>
    </r>
  </si>
  <si>
    <r>
      <rPr>
        <u/>
        <sz val="12"/>
        <color theme="1"/>
        <rFont val="Calibri"/>
        <family val="2"/>
        <scheme val="minor"/>
      </rPr>
      <t>Unlocking cells</t>
    </r>
    <r>
      <rPr>
        <sz val="12"/>
        <color theme="1"/>
        <rFont val="Calibri"/>
        <family val="2"/>
        <scheme val="minor"/>
      </rPr>
      <t>: The input screens are set so that only input cells can be altered. This was done to prevent accidental changes. In order to unlock all cells on these screens follow these steps:</t>
    </r>
  </si>
  <si>
    <t>1. "opposite click" on a tab (i.e. worksheet) name at the bottom of the tool and select "Unprotect Sheet" from the menu that appears.</t>
  </si>
  <si>
    <t>Advanced Use &amp; Accessing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</si>
</sst>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_(* \(#,##0.00\);_(* &quot;-&quot;??_);_(@_)"/>
    <numFmt numFmtId="164" formatCode="0.000"/>
    <numFmt numFmtId="165" formatCode="_(* #,##0_);_(* \(#,##0\);_(* &quot;-&quot;??_);_(@_)"/>
    <numFmt numFmtId="166" formatCode="0.0"/>
    <numFmt numFmtId="167" formatCode="_(* #,##0.0_);_(* \(#,##0.0\);_(* &quot;-&quot;??_);_(@_)"/>
    <numFmt numFmtId="168" formatCode="0.0%"/>
    <numFmt numFmtId="169" formatCode="0.000%"/>
    <numFmt numFmtId="170" formatCode="0.0000%"/>
    <numFmt numFmtId="171" formatCode="0.0000000%"/>
    <numFmt numFmtId="172" formatCode="_(* #,##0.000000_);_(* \(#,##0.000000\);_(* &quot;-&quot;??_);_(@_)"/>
    <numFmt numFmtId="173" formatCode="_(* #,##0.000_);_(* \(#,##0.000\);_(* &quot;-&quot;??_);_(@_)"/>
    <numFmt numFmtId="174" formatCode="_(* #,##0.00000_);_(* \(#,##0.00000\);_(* &quot;-&quot;??_);_(@_)"/>
    <numFmt numFmtId="175" formatCode="mmmm"/>
    <numFmt numFmtId="176" formatCode="_(* #,##0.0_);_(* \(#,##0.0\);_(* &quot;-&quot;?_);_(@_)"/>
    <numFmt numFmtId="177" formatCode="_(* #,##0.0000_);_(* \(#,##0.0000\);_(* &quot;-&quot;??_);_(@_)"/>
    <numFmt numFmtId="178" formatCode="[$-409]mmmm\-yy;@"/>
  </numFmts>
  <fonts count="82"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sz val="11"/>
      <name val="Calibri"/>
      <family val="2"/>
      <scheme val="minor"/>
    </font>
    <font>
      <sz val="11"/>
      <color rgb="FFC00000"/>
      <name val="Calibri"/>
      <family val="2"/>
      <scheme val="minor"/>
    </font>
    <font>
      <b/>
      <sz val="12"/>
      <color rgb="FFC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
      <b/>
      <sz val="14"/>
      <color rgb="FFFF0000"/>
      <name val="Calibri"/>
      <family val="2"/>
      <scheme val="minor"/>
    </font>
    <font>
      <b/>
      <sz val="11"/>
      <color rgb="FFC00000"/>
      <name val="Calibri"/>
      <family val="2"/>
      <scheme val="minor"/>
    </font>
    <font>
      <vertAlign val="superscript"/>
      <sz val="11"/>
      <color theme="1"/>
      <name val="Calibri"/>
      <family val="2"/>
      <scheme val="minor"/>
    </font>
    <font>
      <b/>
      <sz val="11"/>
      <color rgb="FFFF0000"/>
      <name val="Calibri"/>
      <family val="2"/>
      <scheme val="minor"/>
    </font>
    <font>
      <sz val="10"/>
      <name val="Arial"/>
      <family val="2"/>
    </font>
    <font>
      <sz val="12"/>
      <name val="Arial"/>
      <family val="2"/>
    </font>
    <font>
      <u/>
      <sz val="13"/>
      <color theme="10"/>
      <name val="Arial"/>
      <family val="2"/>
    </font>
    <font>
      <b/>
      <sz val="10"/>
      <name val="Arial"/>
      <family val="2"/>
    </font>
    <font>
      <vertAlign val="superscript"/>
      <sz val="10"/>
      <name val="Arial"/>
      <family val="2"/>
    </font>
    <font>
      <sz val="20"/>
      <name val="Arial"/>
      <family val="2"/>
    </font>
    <font>
      <b/>
      <vertAlign val="superscript"/>
      <sz val="10"/>
      <name val="Arial"/>
      <family val="2"/>
    </font>
    <font>
      <b/>
      <sz val="11"/>
      <name val="Arial"/>
      <family val="2"/>
    </font>
    <font>
      <b/>
      <vertAlign val="superscript"/>
      <sz val="11"/>
      <name val="Arial"/>
      <family val="2"/>
    </font>
    <font>
      <b/>
      <sz val="14"/>
      <color rgb="FFC00000"/>
      <name val="Calibri"/>
      <family val="2"/>
      <scheme val="minor"/>
    </font>
    <font>
      <sz val="12"/>
      <name val="Times New Roman"/>
      <family val="1"/>
    </font>
    <font>
      <sz val="12"/>
      <color theme="1"/>
      <name val="Calibri"/>
      <family val="2"/>
      <scheme val="minor"/>
    </font>
    <font>
      <sz val="14"/>
      <color theme="1"/>
      <name val="Calibri"/>
      <family val="2"/>
      <scheme val="minor"/>
    </font>
    <font>
      <b/>
      <sz val="14"/>
      <color theme="1"/>
      <name val="Calibri"/>
      <family val="2"/>
      <scheme val="minor"/>
    </font>
    <font>
      <i/>
      <sz val="11"/>
      <color theme="1"/>
      <name val="Calibri"/>
      <family val="2"/>
      <scheme val="minor"/>
    </font>
    <font>
      <i/>
      <sz val="12"/>
      <color theme="1"/>
      <name val="Calibri"/>
      <family val="2"/>
      <scheme val="minor"/>
    </font>
    <font>
      <i/>
      <sz val="10"/>
      <color theme="1"/>
      <name val="Calibri"/>
      <family val="2"/>
      <scheme val="minor"/>
    </font>
    <font>
      <b/>
      <sz val="12"/>
      <color theme="1"/>
      <name val="Calibri"/>
      <family val="2"/>
      <scheme val="minor"/>
    </font>
    <font>
      <sz val="14"/>
      <color rgb="FFFF0000"/>
      <name val="Calibri"/>
      <family val="2"/>
      <scheme val="minor"/>
    </font>
    <font>
      <b/>
      <u/>
      <sz val="14"/>
      <color theme="1"/>
      <name val="Calibri"/>
      <family val="2"/>
      <scheme val="minor"/>
    </font>
    <font>
      <sz val="12"/>
      <color theme="1"/>
      <name val="Calibri"/>
      <family val="2"/>
    </font>
    <font>
      <sz val="14"/>
      <color rgb="FFC00000"/>
      <name val="Calibri"/>
      <family val="2"/>
      <scheme val="minor"/>
    </font>
    <font>
      <b/>
      <sz val="12"/>
      <color theme="10"/>
      <name val="Calibri"/>
      <family val="2"/>
      <scheme val="minor"/>
    </font>
    <font>
      <b/>
      <sz val="11"/>
      <color theme="5" tint="-0.249977111117893"/>
      <name val="Calibri"/>
      <family val="2"/>
      <scheme val="minor"/>
    </font>
    <font>
      <b/>
      <sz val="11"/>
      <color rgb="FF00B050"/>
      <name val="Calibri"/>
      <family val="2"/>
      <scheme val="minor"/>
    </font>
    <font>
      <b/>
      <sz val="11"/>
      <color theme="8" tint="-0.249977111117893"/>
      <name val="Calibri"/>
      <family val="2"/>
      <scheme val="minor"/>
    </font>
    <font>
      <b/>
      <sz val="11"/>
      <color rgb="FF7030A0"/>
      <name val="Calibri"/>
      <family val="2"/>
      <scheme val="minor"/>
    </font>
    <font>
      <sz val="14"/>
      <name val="Calibri"/>
      <family val="2"/>
      <scheme val="minor"/>
    </font>
    <font>
      <b/>
      <sz val="14"/>
      <name val="Calibri"/>
      <family val="2"/>
      <scheme val="minor"/>
    </font>
    <font>
      <i/>
      <sz val="12"/>
      <color rgb="FFC00000"/>
      <name val="Calibri"/>
      <family val="2"/>
      <scheme val="minor"/>
    </font>
    <font>
      <i/>
      <sz val="12"/>
      <name val="Calibri"/>
      <family val="2"/>
      <scheme val="minor"/>
    </font>
    <font>
      <b/>
      <u/>
      <sz val="11"/>
      <color theme="1"/>
      <name val="Calibri"/>
      <family val="2"/>
      <scheme val="minor"/>
    </font>
    <font>
      <sz val="11"/>
      <color theme="5" tint="-0.499984740745262"/>
      <name val="Calibri"/>
      <family val="2"/>
      <scheme val="minor"/>
    </font>
    <font>
      <u/>
      <sz val="11"/>
      <color theme="2" tint="-0.499984740745262"/>
      <name val="Calibri"/>
      <family val="2"/>
      <scheme val="minor"/>
    </font>
    <font>
      <sz val="11"/>
      <color theme="2" tint="-0.499984740745262"/>
      <name val="Calibri"/>
      <family val="2"/>
      <scheme val="minor"/>
    </font>
    <font>
      <b/>
      <sz val="11"/>
      <color rgb="FF000000"/>
      <name val="Calibri"/>
      <family val="2"/>
    </font>
    <font>
      <sz val="11"/>
      <color rgb="FF000000"/>
      <name val="Calibri"/>
      <family val="2"/>
    </font>
    <font>
      <b/>
      <sz val="12"/>
      <color rgb="FF000000"/>
      <name val="Calibri"/>
      <family val="2"/>
    </font>
    <font>
      <sz val="12"/>
      <color rgb="FF000000"/>
      <name val="Calibri"/>
      <family val="2"/>
    </font>
    <font>
      <b/>
      <sz val="12"/>
      <color rgb="FFFF0000"/>
      <name val="Calibri"/>
      <family val="2"/>
      <scheme val="minor"/>
    </font>
    <font>
      <b/>
      <sz val="14"/>
      <color theme="1" tint="0.14999847407452621"/>
      <name val="Calibri"/>
      <family val="2"/>
      <scheme val="minor"/>
    </font>
    <font>
      <b/>
      <sz val="16"/>
      <color rgb="FFC00000"/>
      <name val="Calibri"/>
      <family val="2"/>
      <scheme val="minor"/>
    </font>
    <font>
      <b/>
      <u/>
      <sz val="16"/>
      <color rgb="FFC00000"/>
      <name val="Calibri"/>
      <family val="2"/>
      <scheme val="minor"/>
    </font>
    <font>
      <sz val="14"/>
      <color theme="1" tint="0.14999847407452621"/>
      <name val="Calibri"/>
      <family val="2"/>
      <scheme val="minor"/>
    </font>
    <font>
      <u/>
      <sz val="12"/>
      <color theme="1"/>
      <name val="Calibri"/>
      <family val="2"/>
      <scheme val="minor"/>
    </font>
    <font>
      <i/>
      <u/>
      <sz val="10"/>
      <color theme="1"/>
      <name val="Calibri"/>
      <family val="2"/>
      <scheme val="minor"/>
    </font>
    <font>
      <u/>
      <sz val="11"/>
      <name val="Calibri"/>
      <family val="2"/>
      <scheme val="minor"/>
    </font>
    <font>
      <u/>
      <sz val="11"/>
      <color theme="0" tint="-0.34998626667073579"/>
      <name val="Calibri"/>
      <family val="2"/>
      <scheme val="minor"/>
    </font>
    <font>
      <sz val="11"/>
      <color theme="0" tint="-0.34998626667073579"/>
      <name val="Calibri"/>
      <family val="2"/>
      <scheme val="minor"/>
    </font>
    <font>
      <b/>
      <sz val="12"/>
      <name val="Calibri"/>
      <family val="2"/>
      <scheme val="minor"/>
    </font>
    <font>
      <u/>
      <sz val="11"/>
      <color rgb="FFC00000"/>
      <name val="Calibri"/>
      <family val="2"/>
      <scheme val="minor"/>
    </font>
    <font>
      <sz val="12"/>
      <color rgb="FFC00000"/>
      <name val="Calibri"/>
      <family val="2"/>
      <scheme val="minor"/>
    </font>
    <font>
      <sz val="10"/>
      <color theme="1"/>
      <name val="Calibri"/>
      <family val="2"/>
      <scheme val="minor"/>
    </font>
    <font>
      <b/>
      <sz val="10"/>
      <color theme="1"/>
      <name val="Calibri"/>
      <family val="2"/>
      <scheme val="minor"/>
    </font>
    <font>
      <sz val="10"/>
      <color theme="1"/>
      <name val="Calibri"/>
      <family val="2"/>
    </font>
    <font>
      <sz val="12"/>
      <name val="Calibri"/>
      <family val="2"/>
    </font>
    <font>
      <b/>
      <sz val="20"/>
      <color rgb="FFC00000"/>
      <name val="Arial"/>
      <family val="2"/>
    </font>
    <font>
      <sz val="9"/>
      <color theme="1"/>
      <name val="Calibri"/>
      <family val="2"/>
      <scheme val="minor"/>
    </font>
    <font>
      <sz val="8"/>
      <color theme="1"/>
      <name val="Calibri"/>
      <family val="2"/>
      <scheme val="minor"/>
    </font>
    <font>
      <sz val="8.5"/>
      <color theme="1"/>
      <name val="Calibri"/>
      <family val="2"/>
      <scheme val="minor"/>
    </font>
    <font>
      <sz val="10"/>
      <color rgb="FFFF0000"/>
      <name val="Calibri"/>
      <family val="2"/>
      <scheme val="minor"/>
    </font>
    <font>
      <vertAlign val="superscript"/>
      <sz val="14"/>
      <color rgb="FFC00000"/>
      <name val="Calibri"/>
      <family val="2"/>
      <scheme val="minor"/>
    </font>
    <font>
      <vertAlign val="superscript"/>
      <sz val="12"/>
      <color theme="1"/>
      <name val="Calibri"/>
      <family val="2"/>
      <scheme val="minor"/>
    </font>
    <font>
      <u/>
      <sz val="14"/>
      <color theme="10"/>
      <name val="Calibri"/>
      <family val="2"/>
      <scheme val="minor"/>
    </font>
    <font>
      <b/>
      <u/>
      <sz val="11"/>
      <color theme="10"/>
      <name val="Calibri"/>
      <family val="2"/>
      <scheme val="minor"/>
    </font>
    <font>
      <b/>
      <sz val="18"/>
      <name val="Arial"/>
      <family val="2"/>
    </font>
    <font>
      <i/>
      <sz val="11"/>
      <name val="Calibri"/>
      <family val="2"/>
      <scheme val="minor"/>
    </font>
    <font>
      <b/>
      <sz val="12"/>
      <name val="Arial"/>
      <family val="2"/>
    </font>
  </fonts>
  <fills count="16">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2"/>
        <bgColor indexed="64"/>
      </patternFill>
    </fill>
    <fill>
      <patternFill patternType="solid">
        <fgColor theme="7" tint="0.79998168889431442"/>
        <bgColor indexed="64"/>
      </patternFill>
    </fill>
    <fill>
      <patternFill patternType="solid">
        <fgColor rgb="FFEBF7FF"/>
        <bgColor indexed="64"/>
      </patternFill>
    </fill>
    <fill>
      <patternFill patternType="solid">
        <fgColor rgb="FFF7FCFF"/>
        <bgColor indexed="64"/>
      </patternFill>
    </fill>
    <fill>
      <patternFill patternType="solid">
        <fgColor theme="2" tint="-0.499984740745262"/>
        <bgColor indexed="64"/>
      </patternFill>
    </fill>
    <fill>
      <patternFill patternType="solid">
        <fgColor theme="5" tint="0.59999389629810485"/>
        <bgColor indexed="64"/>
      </patternFill>
    </fill>
    <fill>
      <patternFill patternType="solid">
        <fgColor theme="2" tint="-0.249977111117893"/>
        <bgColor indexed="64"/>
      </patternFill>
    </fill>
  </fills>
  <borders count="108">
    <border>
      <left/>
      <right/>
      <top/>
      <bottom/>
      <diagonal/>
    </border>
    <border>
      <left/>
      <right/>
      <top style="thin">
        <color indexed="64"/>
      </top>
      <bottom style="medium">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auto="1"/>
      </right>
      <top/>
      <bottom style="medium">
        <color auto="1"/>
      </bottom>
      <diagonal/>
    </border>
    <border>
      <left/>
      <right/>
      <top/>
      <bottom style="medium">
        <color auto="1"/>
      </bottom>
      <diagonal/>
    </border>
    <border>
      <left style="medium">
        <color indexed="64"/>
      </left>
      <right/>
      <top/>
      <bottom style="medium">
        <color indexed="64"/>
      </bottom>
      <diagonal/>
    </border>
    <border>
      <left/>
      <right style="medium">
        <color auto="1"/>
      </right>
      <top style="medium">
        <color auto="1"/>
      </top>
      <bottom/>
      <diagonal/>
    </border>
    <border>
      <left/>
      <right/>
      <top style="medium">
        <color auto="1"/>
      </top>
      <bottom/>
      <diagonal/>
    </border>
    <border>
      <left style="medium">
        <color indexed="64"/>
      </left>
      <right/>
      <top style="medium">
        <color indexed="64"/>
      </top>
      <bottom/>
      <diagonal/>
    </border>
    <border>
      <left/>
      <right/>
      <top/>
      <bottom style="thick">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auto="1"/>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auto="1"/>
      </right>
      <top style="hair">
        <color indexed="64"/>
      </top>
      <bottom style="hair">
        <color indexed="64"/>
      </bottom>
      <diagonal/>
    </border>
    <border>
      <left style="medium">
        <color indexed="64"/>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ck">
        <color theme="4" tint="-0.499984740745262"/>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style="thick">
        <color theme="4" tint="-0.499984740745262"/>
      </top>
      <bottom/>
      <diagonal/>
    </border>
    <border>
      <left/>
      <right/>
      <top/>
      <bottom style="thick">
        <color theme="4" tint="-0.499984740745262"/>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ck">
        <color rgb="FFFFC000"/>
      </left>
      <right/>
      <top style="thick">
        <color rgb="FFFFC000"/>
      </top>
      <bottom/>
      <diagonal/>
    </border>
    <border>
      <left/>
      <right/>
      <top style="thick">
        <color rgb="FFFFC000"/>
      </top>
      <bottom/>
      <diagonal/>
    </border>
    <border>
      <left/>
      <right style="thick">
        <color rgb="FFFFC000"/>
      </right>
      <top style="thick">
        <color rgb="FFFFC000"/>
      </top>
      <bottom/>
      <diagonal/>
    </border>
    <border>
      <left style="thick">
        <color rgb="FFFFC000"/>
      </left>
      <right/>
      <top/>
      <bottom style="thick">
        <color rgb="FFFFC000"/>
      </bottom>
      <diagonal/>
    </border>
    <border>
      <left/>
      <right/>
      <top/>
      <bottom style="thick">
        <color rgb="FFFFC000"/>
      </bottom>
      <diagonal/>
    </border>
    <border>
      <left/>
      <right style="thick">
        <color rgb="FFFFC000"/>
      </right>
      <top/>
      <bottom style="thick">
        <color rgb="FFFFC00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theme="4" tint="-0.499984740745262"/>
      </right>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right/>
      <top style="thin">
        <color theme="4" tint="-0.499984740745262"/>
      </top>
      <bottom/>
      <diagonal/>
    </border>
    <border>
      <left style="thin">
        <color theme="4" tint="-0.499984740745262"/>
      </left>
      <right/>
      <top/>
      <bottom/>
      <diagonal/>
    </border>
    <border>
      <left/>
      <right style="thin">
        <color theme="4" tint="-0.499984740745262"/>
      </right>
      <top/>
      <bottom style="thin">
        <color theme="4" tint="-0.499984740745262"/>
      </bottom>
      <diagonal/>
    </border>
    <border>
      <left style="thick">
        <color rgb="FFFFC000"/>
      </left>
      <right/>
      <top/>
      <bottom/>
      <diagonal/>
    </border>
    <border>
      <left/>
      <right style="thick">
        <color rgb="FFFFC000"/>
      </right>
      <top/>
      <bottom/>
      <diagonal/>
    </border>
    <border>
      <left style="thick">
        <color theme="3"/>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style="thick">
        <color theme="3"/>
      </left>
      <right/>
      <top/>
      <bottom style="thick">
        <color theme="3"/>
      </bottom>
      <diagonal/>
    </border>
    <border>
      <left/>
      <right style="thick">
        <color theme="3"/>
      </right>
      <top/>
      <bottom style="thick">
        <color theme="3"/>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auto="1"/>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ck">
        <color rgb="FF002060"/>
      </left>
      <right/>
      <top style="thick">
        <color rgb="FF002060"/>
      </top>
      <bottom/>
      <diagonal/>
    </border>
    <border>
      <left/>
      <right/>
      <top style="thick">
        <color rgb="FF002060"/>
      </top>
      <bottom/>
      <diagonal/>
    </border>
    <border>
      <left/>
      <right style="thick">
        <color rgb="FF002060"/>
      </right>
      <top style="thick">
        <color rgb="FF002060"/>
      </top>
      <bottom/>
      <diagonal/>
    </border>
    <border>
      <left style="thick">
        <color rgb="FF002060"/>
      </left>
      <right/>
      <top/>
      <bottom/>
      <diagonal/>
    </border>
    <border>
      <left/>
      <right style="thick">
        <color rgb="FF002060"/>
      </right>
      <top/>
      <bottom/>
      <diagonal/>
    </border>
    <border>
      <left style="thick">
        <color rgb="FF002060"/>
      </left>
      <right/>
      <top/>
      <bottom style="thick">
        <color rgb="FF002060"/>
      </bottom>
      <diagonal/>
    </border>
    <border>
      <left/>
      <right/>
      <top/>
      <bottom style="thick">
        <color rgb="FF002060"/>
      </bottom>
      <diagonal/>
    </border>
    <border>
      <left/>
      <right style="thick">
        <color rgb="FF002060"/>
      </right>
      <top/>
      <bottom style="thick">
        <color rgb="FF002060"/>
      </bottom>
      <diagonal/>
    </border>
    <border>
      <left style="thick">
        <color theme="9" tint="-0.24994659260841701"/>
      </left>
      <right/>
      <top style="thick">
        <color theme="9" tint="-0.24994659260841701"/>
      </top>
      <bottom/>
      <diagonal/>
    </border>
    <border>
      <left/>
      <right/>
      <top style="thick">
        <color theme="9" tint="-0.24994659260841701"/>
      </top>
      <bottom/>
      <diagonal/>
    </border>
    <border>
      <left/>
      <right style="thick">
        <color theme="9" tint="-0.24994659260841701"/>
      </right>
      <top style="thick">
        <color theme="9" tint="-0.24994659260841701"/>
      </top>
      <bottom/>
      <diagonal/>
    </border>
    <border>
      <left style="thick">
        <color theme="9" tint="-0.24994659260841701"/>
      </left>
      <right/>
      <top/>
      <bottom/>
      <diagonal/>
    </border>
    <border>
      <left/>
      <right style="thick">
        <color theme="9" tint="-0.24994659260841701"/>
      </right>
      <top/>
      <bottom/>
      <diagonal/>
    </border>
    <border>
      <left style="thick">
        <color theme="9" tint="-0.24994659260841701"/>
      </left>
      <right/>
      <top/>
      <bottom style="thick">
        <color theme="9" tint="-0.24994659260841701"/>
      </bottom>
      <diagonal/>
    </border>
    <border>
      <left/>
      <right/>
      <top/>
      <bottom style="thick">
        <color theme="9" tint="-0.24994659260841701"/>
      </bottom>
      <diagonal/>
    </border>
    <border>
      <left/>
      <right style="thick">
        <color theme="9" tint="-0.24994659260841701"/>
      </right>
      <top/>
      <bottom style="thick">
        <color theme="9" tint="-0.24994659260841701"/>
      </bottom>
      <diagonal/>
    </border>
  </borders>
  <cellStyleXfs count="6">
    <xf numFmtId="0" fontId="0" fillId="0" borderId="0"/>
    <xf numFmtId="0" fontId="2" fillId="0" borderId="0" applyNumberForma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0"/>
    <xf numFmtId="0" fontId="16" fillId="0" borderId="0" applyNumberFormat="0" applyFill="0" applyBorder="0" applyAlignment="0" applyProtection="0">
      <alignment vertical="top"/>
      <protection locked="0"/>
    </xf>
  </cellStyleXfs>
  <cellXfs count="1191">
    <xf numFmtId="0" fontId="0" fillId="0" borderId="0" xfId="0"/>
    <xf numFmtId="0" fontId="1" fillId="0" borderId="0" xfId="0" applyFont="1"/>
    <xf numFmtId="0" fontId="0" fillId="0" borderId="0" xfId="0" applyAlignment="1">
      <alignment horizontal="right"/>
    </xf>
    <xf numFmtId="0" fontId="0" fillId="0" borderId="0" xfId="0" applyAlignment="1">
      <alignment vertical="top"/>
    </xf>
    <xf numFmtId="0" fontId="0" fillId="0" borderId="0" xfId="0" applyAlignment="1">
      <alignment vertical="top" wrapText="1"/>
    </xf>
    <xf numFmtId="2" fontId="0" fillId="0" borderId="0" xfId="0" applyNumberFormat="1"/>
    <xf numFmtId="0" fontId="0" fillId="0" borderId="0" xfId="0" applyAlignment="1">
      <alignment horizontal="center"/>
    </xf>
    <xf numFmtId="0" fontId="0" fillId="0" borderId="0" xfId="0" applyAlignment="1">
      <alignment wrapText="1"/>
    </xf>
    <xf numFmtId="165" fontId="0" fillId="0" borderId="0" xfId="2" applyNumberFormat="1" applyFont="1"/>
    <xf numFmtId="0" fontId="0" fillId="0" borderId="0" xfId="0" applyAlignment="1">
      <alignment horizontal="left"/>
    </xf>
    <xf numFmtId="0" fontId="0" fillId="0" borderId="2" xfId="0" applyBorder="1"/>
    <xf numFmtId="0" fontId="0" fillId="0" borderId="3" xfId="0" applyBorder="1"/>
    <xf numFmtId="0" fontId="0" fillId="0" borderId="2" xfId="0" applyBorder="1" applyAlignment="1">
      <alignment horizontal="right"/>
    </xf>
    <xf numFmtId="0" fontId="0" fillId="0" borderId="0" xfId="0" applyBorder="1"/>
    <xf numFmtId="0" fontId="0" fillId="0" borderId="0" xfId="0" applyBorder="1" applyAlignment="1">
      <alignment horizontal="right"/>
    </xf>
    <xf numFmtId="0" fontId="0" fillId="0" borderId="4" xfId="0" applyBorder="1" applyAlignment="1">
      <alignment horizontal="right"/>
    </xf>
    <xf numFmtId="0" fontId="0" fillId="0" borderId="5" xfId="0" applyBorder="1"/>
    <xf numFmtId="0" fontId="0" fillId="0" borderId="4" xfId="0" applyBorder="1"/>
    <xf numFmtId="0" fontId="0" fillId="0" borderId="6" xfId="0" applyBorder="1"/>
    <xf numFmtId="166" fontId="0" fillId="0" borderId="0" xfId="0" applyNumberFormat="1" applyAlignment="1">
      <alignment horizontal="center"/>
    </xf>
    <xf numFmtId="10" fontId="0" fillId="0" borderId="0" xfId="3" applyNumberFormat="1" applyFont="1"/>
    <xf numFmtId="165" fontId="0" fillId="0" borderId="0" xfId="2" applyNumberFormat="1" applyFont="1" applyAlignment="1">
      <alignment horizontal="center"/>
    </xf>
    <xf numFmtId="43" fontId="0" fillId="0" borderId="0" xfId="0" applyNumberFormat="1"/>
    <xf numFmtId="43" fontId="0" fillId="0" borderId="0" xfId="2" applyFont="1"/>
    <xf numFmtId="0" fontId="0" fillId="0" borderId="0" xfId="0" applyFill="1"/>
    <xf numFmtId="0" fontId="6" fillId="3" borderId="0" xfId="0" applyFont="1" applyFill="1" applyAlignment="1">
      <alignment horizontal="right"/>
    </xf>
    <xf numFmtId="0" fontId="0" fillId="0" borderId="0" xfId="0" applyFill="1" applyAlignment="1">
      <alignment horizontal="center"/>
    </xf>
    <xf numFmtId="10" fontId="0" fillId="0" borderId="0" xfId="0" applyNumberFormat="1"/>
    <xf numFmtId="165" fontId="0" fillId="0" borderId="0" xfId="0" applyNumberFormat="1"/>
    <xf numFmtId="169" fontId="0" fillId="0" borderId="0" xfId="3" applyNumberFormat="1" applyFont="1"/>
    <xf numFmtId="165" fontId="0" fillId="0" borderId="2" xfId="0" applyNumberFormat="1" applyBorder="1"/>
    <xf numFmtId="0" fontId="7" fillId="0" borderId="0" xfId="0" applyFont="1" applyFill="1" applyAlignment="1">
      <alignment horizontal="center"/>
    </xf>
    <xf numFmtId="167" fontId="0" fillId="0" borderId="0" xfId="0" applyNumberFormat="1"/>
    <xf numFmtId="165" fontId="0" fillId="0" borderId="2" xfId="2" applyNumberFormat="1" applyFont="1" applyBorder="1"/>
    <xf numFmtId="167" fontId="0" fillId="0" borderId="2" xfId="0" applyNumberFormat="1" applyBorder="1"/>
    <xf numFmtId="166" fontId="0" fillId="0" borderId="0" xfId="0" applyNumberFormat="1"/>
    <xf numFmtId="1" fontId="1" fillId="0" borderId="0" xfId="0" applyNumberFormat="1" applyFont="1"/>
    <xf numFmtId="170" fontId="0" fillId="0" borderId="0" xfId="3" applyNumberFormat="1" applyFont="1"/>
    <xf numFmtId="171" fontId="0" fillId="0" borderId="0" xfId="3" applyNumberFormat="1" applyFont="1"/>
    <xf numFmtId="170" fontId="0" fillId="0" borderId="0" xfId="0" applyNumberFormat="1"/>
    <xf numFmtId="43" fontId="0" fillId="0" borderId="0" xfId="0" applyNumberFormat="1" applyAlignment="1">
      <alignment horizontal="right"/>
    </xf>
    <xf numFmtId="0" fontId="1" fillId="0" borderId="0" xfId="2" applyNumberFormat="1" applyFont="1" applyAlignment="1">
      <alignment horizontal="center"/>
    </xf>
    <xf numFmtId="169" fontId="0" fillId="0" borderId="0" xfId="3" applyNumberFormat="1" applyFont="1" applyBorder="1"/>
    <xf numFmtId="170" fontId="0" fillId="0" borderId="0" xfId="0" applyNumberFormat="1" applyBorder="1"/>
    <xf numFmtId="0" fontId="8" fillId="0" borderId="0" xfId="0" applyFont="1" applyBorder="1"/>
    <xf numFmtId="169" fontId="0" fillId="0" borderId="0" xfId="0" applyNumberFormat="1" applyBorder="1"/>
    <xf numFmtId="166" fontId="0" fillId="0" borderId="2" xfId="0" applyNumberFormat="1" applyBorder="1"/>
    <xf numFmtId="167" fontId="0" fillId="0" borderId="0" xfId="0" applyNumberFormat="1" applyAlignment="1">
      <alignment horizontal="right"/>
    </xf>
    <xf numFmtId="167" fontId="1" fillId="0" borderId="0" xfId="0" applyNumberFormat="1" applyFont="1"/>
    <xf numFmtId="165" fontId="1" fillId="0" borderId="0" xfId="2" applyNumberFormat="1" applyFont="1"/>
    <xf numFmtId="168" fontId="0" fillId="0" borderId="0" xfId="0" applyNumberFormat="1"/>
    <xf numFmtId="0" fontId="0" fillId="0" borderId="8" xfId="0" applyBorder="1"/>
    <xf numFmtId="165" fontId="0" fillId="0" borderId="0" xfId="2" applyNumberFormat="1" applyFont="1" applyBorder="1" applyAlignment="1">
      <alignment horizontal="center"/>
    </xf>
    <xf numFmtId="173" fontId="0" fillId="0" borderId="0" xfId="0" applyNumberFormat="1"/>
    <xf numFmtId="165" fontId="0" fillId="0" borderId="4" xfId="2" applyNumberFormat="1" applyFont="1" applyBorder="1"/>
    <xf numFmtId="165" fontId="0" fillId="0" borderId="0" xfId="0" applyNumberFormat="1" applyAlignment="1">
      <alignment horizontal="right"/>
    </xf>
    <xf numFmtId="165" fontId="0" fillId="0" borderId="0" xfId="0" applyNumberFormat="1" applyAlignment="1">
      <alignment horizontal="center"/>
    </xf>
    <xf numFmtId="0" fontId="5" fillId="0" borderId="0" xfId="0" applyFont="1"/>
    <xf numFmtId="43" fontId="0" fillId="0" borderId="0" xfId="0" applyNumberFormat="1" applyBorder="1" applyAlignment="1">
      <alignment horizontal="center"/>
    </xf>
    <xf numFmtId="0" fontId="0" fillId="0" borderId="3" xfId="0" applyBorder="1" applyAlignment="1">
      <alignment horizontal="right"/>
    </xf>
    <xf numFmtId="9" fontId="0" fillId="0" borderId="0" xfId="3" applyFont="1"/>
    <xf numFmtId="168" fontId="0" fillId="0" borderId="0" xfId="3" applyNumberFormat="1" applyFont="1"/>
    <xf numFmtId="165" fontId="0" fillId="0" borderId="2" xfId="2" applyNumberFormat="1" applyFont="1" applyBorder="1" applyAlignment="1">
      <alignment horizontal="right"/>
    </xf>
    <xf numFmtId="165" fontId="0" fillId="0" borderId="0" xfId="2" applyNumberFormat="1" applyFont="1" applyBorder="1" applyAlignment="1">
      <alignment horizontal="right"/>
    </xf>
    <xf numFmtId="0" fontId="0" fillId="0" borderId="5" xfId="0" applyBorder="1" applyAlignment="1">
      <alignment horizontal="right"/>
    </xf>
    <xf numFmtId="0" fontId="0" fillId="0" borderId="6" xfId="0" applyBorder="1" applyAlignment="1">
      <alignment horizontal="right"/>
    </xf>
    <xf numFmtId="9" fontId="0" fillId="0" borderId="0" xfId="3" applyFont="1" applyBorder="1"/>
    <xf numFmtId="9" fontId="0" fillId="0" borderId="2" xfId="3" applyFont="1" applyBorder="1"/>
    <xf numFmtId="168" fontId="0" fillId="0" borderId="0" xfId="0" applyNumberFormat="1" applyBorder="1"/>
    <xf numFmtId="174" fontId="0" fillId="0" borderId="0" xfId="0" applyNumberFormat="1"/>
    <xf numFmtId="10" fontId="0" fillId="0" borderId="0" xfId="3" applyNumberFormat="1" applyFont="1" applyFill="1" applyBorder="1" applyAlignment="1"/>
    <xf numFmtId="165" fontId="0" fillId="0" borderId="0" xfId="2" applyNumberFormat="1" applyFont="1" applyBorder="1"/>
    <xf numFmtId="0" fontId="8" fillId="0" borderId="0" xfId="0" applyFont="1"/>
    <xf numFmtId="0" fontId="0" fillId="0" borderId="0" xfId="0" applyAlignment="1">
      <alignment horizontal="center" wrapText="1"/>
    </xf>
    <xf numFmtId="0" fontId="0" fillId="0" borderId="0" xfId="0" applyAlignment="1">
      <alignment horizontal="center" wrapText="1"/>
    </xf>
    <xf numFmtId="0" fontId="0" fillId="0" borderId="0" xfId="0" applyBorder="1" applyAlignment="1">
      <alignment horizontal="center" wrapText="1"/>
    </xf>
    <xf numFmtId="0" fontId="9" fillId="0" borderId="0" xfId="0" applyFont="1"/>
    <xf numFmtId="10" fontId="0" fillId="0" borderId="0" xfId="3" applyNumberFormat="1" applyFont="1" applyBorder="1"/>
    <xf numFmtId="0" fontId="0" fillId="0" borderId="9" xfId="0" applyBorder="1"/>
    <xf numFmtId="0" fontId="1" fillId="0" borderId="8" xfId="0" applyFont="1" applyBorder="1" applyAlignment="1">
      <alignment horizontal="center"/>
    </xf>
    <xf numFmtId="10" fontId="0" fillId="0" borderId="9" xfId="3" applyNumberFormat="1" applyFont="1" applyBorder="1"/>
    <xf numFmtId="10" fontId="11" fillId="0" borderId="0" xfId="0" applyNumberFormat="1" applyFont="1"/>
    <xf numFmtId="0" fontId="11" fillId="0" borderId="10" xfId="0" applyFont="1" applyBorder="1"/>
    <xf numFmtId="0" fontId="11" fillId="0" borderId="11" xfId="0" applyFont="1" applyBorder="1"/>
    <xf numFmtId="0" fontId="11" fillId="0" borderId="11" xfId="0" applyFont="1" applyBorder="1" applyAlignment="1">
      <alignment horizontal="right"/>
    </xf>
    <xf numFmtId="10" fontId="11" fillId="0" borderId="12" xfId="0" applyNumberFormat="1" applyFont="1" applyBorder="1"/>
    <xf numFmtId="10" fontId="0" fillId="0" borderId="3" xfId="3" applyNumberFormat="1" applyFont="1" applyBorder="1"/>
    <xf numFmtId="0" fontId="8" fillId="0" borderId="0" xfId="0" applyFont="1" applyAlignment="1">
      <alignment horizontal="right"/>
    </xf>
    <xf numFmtId="165" fontId="0" fillId="0" borderId="0" xfId="0" applyNumberFormat="1" applyBorder="1"/>
    <xf numFmtId="166" fontId="0" fillId="0" borderId="0" xfId="0" applyNumberFormat="1" applyBorder="1" applyAlignment="1">
      <alignment horizontal="center"/>
    </xf>
    <xf numFmtId="165" fontId="0" fillId="0" borderId="2" xfId="0" applyNumberFormat="1" applyFill="1" applyBorder="1"/>
    <xf numFmtId="0" fontId="0" fillId="0" borderId="10" xfId="0" applyBorder="1"/>
    <xf numFmtId="0" fontId="0" fillId="0" borderId="11" xfId="0" applyBorder="1"/>
    <xf numFmtId="167" fontId="0" fillId="0" borderId="0" xfId="0" applyNumberFormat="1" applyBorder="1"/>
    <xf numFmtId="165" fontId="0" fillId="0" borderId="3" xfId="2" applyNumberFormat="1" applyFont="1" applyBorder="1" applyAlignment="1">
      <alignment horizontal="center"/>
    </xf>
    <xf numFmtId="0" fontId="13" fillId="0" borderId="0" xfId="0" applyFont="1"/>
    <xf numFmtId="168" fontId="0" fillId="0" borderId="0" xfId="3" applyNumberFormat="1" applyFont="1" applyFill="1"/>
    <xf numFmtId="168" fontId="0" fillId="0" borderId="2" xfId="0" applyNumberFormat="1" applyBorder="1"/>
    <xf numFmtId="168" fontId="0" fillId="0" borderId="0" xfId="3" applyNumberFormat="1" applyFont="1" applyBorder="1"/>
    <xf numFmtId="0" fontId="8" fillId="0" borderId="3" xfId="0" applyFont="1" applyBorder="1" applyAlignment="1">
      <alignment horizontal="right"/>
    </xf>
    <xf numFmtId="0" fontId="13" fillId="0" borderId="2" xfId="0" applyFont="1" applyBorder="1"/>
    <xf numFmtId="0" fontId="0" fillId="0" borderId="0" xfId="0" applyFill="1" applyBorder="1"/>
    <xf numFmtId="0" fontId="0" fillId="0" borderId="0" xfId="0" applyFill="1" applyBorder="1" applyAlignment="1">
      <alignment horizontal="right"/>
    </xf>
    <xf numFmtId="165" fontId="0" fillId="0" borderId="0" xfId="0" applyNumberFormat="1" applyFill="1" applyBorder="1"/>
    <xf numFmtId="168" fontId="0" fillId="0" borderId="2" xfId="3" applyNumberFormat="1" applyFont="1" applyFill="1" applyBorder="1"/>
    <xf numFmtId="9" fontId="0" fillId="0" borderId="0" xfId="3" applyFont="1" applyFill="1"/>
    <xf numFmtId="0" fontId="0" fillId="0" borderId="5" xfId="0" applyFill="1" applyBorder="1" applyAlignment="1">
      <alignment horizontal="right"/>
    </xf>
    <xf numFmtId="9" fontId="0" fillId="0" borderId="0" xfId="3" applyFont="1" applyFill="1" applyBorder="1"/>
    <xf numFmtId="0" fontId="0" fillId="0" borderId="3" xfId="0" applyFill="1" applyBorder="1" applyAlignment="1">
      <alignment horizontal="right"/>
    </xf>
    <xf numFmtId="165" fontId="0" fillId="0" borderId="0" xfId="0" applyNumberFormat="1" applyFill="1"/>
    <xf numFmtId="0" fontId="0" fillId="0" borderId="3" xfId="0" applyFill="1" applyBorder="1"/>
    <xf numFmtId="0" fontId="0" fillId="0" borderId="6" xfId="0" applyFill="1" applyBorder="1" applyAlignment="1">
      <alignment horizontal="right"/>
    </xf>
    <xf numFmtId="9" fontId="0" fillId="0" borderId="2" xfId="3" applyFont="1" applyFill="1" applyBorder="1"/>
    <xf numFmtId="170" fontId="0" fillId="0" borderId="0" xfId="0" applyNumberFormat="1" applyFill="1"/>
    <xf numFmtId="170" fontId="0" fillId="0" borderId="0" xfId="0" applyNumberFormat="1" applyFill="1" applyBorder="1"/>
    <xf numFmtId="0" fontId="0" fillId="0" borderId="2" xfId="0" applyFill="1" applyBorder="1"/>
    <xf numFmtId="0" fontId="14" fillId="0" borderId="0" xfId="4"/>
    <xf numFmtId="0" fontId="14" fillId="0" borderId="0" xfId="4" applyFill="1"/>
    <xf numFmtId="0" fontId="14" fillId="0" borderId="0" xfId="4" applyFont="1"/>
    <xf numFmtId="0" fontId="26" fillId="0" borderId="0" xfId="0" applyFont="1"/>
    <xf numFmtId="0" fontId="26" fillId="0" borderId="0" xfId="0" applyFont="1" applyBorder="1" applyAlignment="1">
      <alignment horizontal="right"/>
    </xf>
    <xf numFmtId="0" fontId="2" fillId="0" borderId="0" xfId="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0" fillId="0" borderId="20" xfId="0" applyBorder="1"/>
    <xf numFmtId="0" fontId="0" fillId="0" borderId="19" xfId="0" applyBorder="1"/>
    <xf numFmtId="0" fontId="0" fillId="0" borderId="18" xfId="0" applyBorder="1"/>
    <xf numFmtId="0" fontId="0" fillId="0" borderId="23" xfId="0" applyBorder="1"/>
    <xf numFmtId="0" fontId="27" fillId="8" borderId="0" xfId="0" applyFont="1" applyFill="1" applyBorder="1"/>
    <xf numFmtId="0" fontId="0" fillId="8" borderId="0" xfId="0" applyFill="1" applyBorder="1"/>
    <xf numFmtId="0" fontId="0" fillId="0" borderId="22" xfId="0" applyBorder="1"/>
    <xf numFmtId="0" fontId="26" fillId="0" borderId="0" xfId="0" applyFont="1" applyBorder="1"/>
    <xf numFmtId="0" fontId="29" fillId="0" borderId="22" xfId="0" applyFont="1" applyBorder="1" applyAlignment="1">
      <alignment horizontal="left" wrapText="1"/>
    </xf>
    <xf numFmtId="3" fontId="29" fillId="0" borderId="22" xfId="0" applyNumberFormat="1" applyFont="1" applyBorder="1" applyAlignment="1">
      <alignment horizontal="center" wrapText="1"/>
    </xf>
    <xf numFmtId="0" fontId="0" fillId="0" borderId="17" xfId="0" applyBorder="1"/>
    <xf numFmtId="0" fontId="0" fillId="0" borderId="16" xfId="0" applyBorder="1"/>
    <xf numFmtId="0" fontId="0" fillId="0" borderId="15" xfId="0" applyBorder="1"/>
    <xf numFmtId="0" fontId="0" fillId="8" borderId="23" xfId="0" applyFill="1" applyBorder="1"/>
    <xf numFmtId="0" fontId="0" fillId="8" borderId="22" xfId="0" applyFill="1" applyBorder="1"/>
    <xf numFmtId="0" fontId="31" fillId="0" borderId="26" xfId="0" applyFont="1" applyFill="1" applyBorder="1" applyAlignment="1">
      <alignment horizontal="center" wrapText="1"/>
    </xf>
    <xf numFmtId="0" fontId="31" fillId="0" borderId="27" xfId="0" applyFont="1" applyFill="1" applyBorder="1" applyAlignment="1">
      <alignment horizontal="center" wrapText="1"/>
    </xf>
    <xf numFmtId="0" fontId="31" fillId="0" borderId="27" xfId="0" applyFont="1" applyFill="1" applyBorder="1" applyAlignment="1">
      <alignment horizontal="center"/>
    </xf>
    <xf numFmtId="0" fontId="25" fillId="0" borderId="30" xfId="0" applyFont="1" applyFill="1" applyBorder="1" applyAlignment="1">
      <alignment horizontal="center"/>
    </xf>
    <xf numFmtId="0" fontId="25" fillId="0" borderId="31" xfId="0" applyFont="1" applyFill="1" applyBorder="1" applyAlignment="1">
      <alignment horizontal="center"/>
    </xf>
    <xf numFmtId="0" fontId="25" fillId="0" borderId="33" xfId="0" applyFont="1" applyFill="1" applyBorder="1" applyAlignment="1">
      <alignment horizontal="center"/>
    </xf>
    <xf numFmtId="0" fontId="25" fillId="0" borderId="34" xfId="0" applyFont="1" applyFill="1" applyBorder="1" applyAlignment="1">
      <alignment horizontal="center"/>
    </xf>
    <xf numFmtId="0" fontId="25" fillId="0" borderId="36" xfId="0" applyFont="1" applyFill="1" applyBorder="1" applyAlignment="1">
      <alignment horizontal="center"/>
    </xf>
    <xf numFmtId="0" fontId="25" fillId="0" borderId="37" xfId="0" applyFont="1" applyFill="1" applyBorder="1" applyAlignment="1">
      <alignment horizontal="center"/>
    </xf>
    <xf numFmtId="0" fontId="0" fillId="9" borderId="23" xfId="0" applyFill="1" applyBorder="1"/>
    <xf numFmtId="0" fontId="27" fillId="9" borderId="0" xfId="0" applyFont="1" applyFill="1" applyBorder="1"/>
    <xf numFmtId="0" fontId="0" fillId="9" borderId="0" xfId="0" applyFill="1" applyBorder="1"/>
    <xf numFmtId="0" fontId="0" fillId="9" borderId="22" xfId="0" applyFill="1" applyBorder="1"/>
    <xf numFmtId="0" fontId="0" fillId="0" borderId="16" xfId="0" applyFill="1" applyBorder="1" applyAlignment="1">
      <alignment horizontal="center"/>
    </xf>
    <xf numFmtId="166" fontId="25" fillId="0" borderId="31" xfId="0" applyNumberFormat="1" applyFont="1" applyFill="1" applyBorder="1" applyAlignment="1">
      <alignment horizontal="center"/>
    </xf>
    <xf numFmtId="166" fontId="25" fillId="0" borderId="34" xfId="0" applyNumberFormat="1" applyFont="1" applyFill="1" applyBorder="1" applyAlignment="1">
      <alignment horizontal="center"/>
    </xf>
    <xf numFmtId="166" fontId="25" fillId="0" borderId="34" xfId="0" applyNumberFormat="1" applyFont="1" applyBorder="1"/>
    <xf numFmtId="166" fontId="25" fillId="0" borderId="37" xfId="0" applyNumberFormat="1" applyFont="1" applyBorder="1"/>
    <xf numFmtId="166" fontId="25" fillId="0" borderId="32" xfId="0" applyNumberFormat="1" applyFont="1" applyFill="1" applyBorder="1" applyAlignment="1">
      <alignment horizontal="center"/>
    </xf>
    <xf numFmtId="166" fontId="25" fillId="0" borderId="35" xfId="0" applyNumberFormat="1" applyFont="1" applyFill="1" applyBorder="1" applyAlignment="1">
      <alignment horizontal="center"/>
    </xf>
    <xf numFmtId="166" fontId="25" fillId="0" borderId="34" xfId="0" applyNumberFormat="1" applyFont="1" applyFill="1" applyBorder="1"/>
    <xf numFmtId="166" fontId="25" fillId="0" borderId="37" xfId="0" applyNumberFormat="1" applyFont="1" applyFill="1" applyBorder="1" applyAlignment="1">
      <alignment horizontal="center"/>
    </xf>
    <xf numFmtId="166" fontId="25" fillId="0" borderId="37" xfId="0" applyNumberFormat="1" applyFont="1" applyFill="1" applyBorder="1"/>
    <xf numFmtId="166" fontId="25" fillId="0" borderId="38" xfId="0" applyNumberFormat="1" applyFont="1" applyFill="1" applyBorder="1" applyAlignment="1">
      <alignment horizontal="center"/>
    </xf>
    <xf numFmtId="0" fontId="32" fillId="0" borderId="0" xfId="0" applyFont="1"/>
    <xf numFmtId="0" fontId="25" fillId="0" borderId="0" xfId="0" applyFont="1" applyFill="1" applyBorder="1" applyAlignment="1">
      <alignment horizontal="center"/>
    </xf>
    <xf numFmtId="2" fontId="25" fillId="0" borderId="0" xfId="0" applyNumberFormat="1" applyFont="1" applyFill="1" applyBorder="1" applyAlignment="1">
      <alignment horizontal="center"/>
    </xf>
    <xf numFmtId="0" fontId="25" fillId="0" borderId="0" xfId="0" applyFont="1" applyFill="1" applyBorder="1"/>
    <xf numFmtId="0" fontId="25" fillId="0" borderId="45" xfId="0" applyFont="1" applyFill="1" applyBorder="1" applyAlignment="1">
      <alignment horizontal="center"/>
    </xf>
    <xf numFmtId="168" fontId="25" fillId="0" borderId="34" xfId="3" applyNumberFormat="1" applyFont="1" applyFill="1" applyBorder="1" applyAlignment="1">
      <alignment horizontal="center"/>
    </xf>
    <xf numFmtId="168" fontId="25" fillId="0" borderId="45" xfId="3" applyNumberFormat="1" applyFont="1" applyFill="1" applyBorder="1" applyAlignment="1">
      <alignment horizontal="center"/>
    </xf>
    <xf numFmtId="168" fontId="25" fillId="2" borderId="0" xfId="3" applyNumberFormat="1" applyFont="1" applyFill="1" applyBorder="1" applyAlignment="1">
      <alignment horizontal="center"/>
    </xf>
    <xf numFmtId="0" fontId="1" fillId="0" borderId="2" xfId="0" applyFont="1" applyBorder="1" applyAlignment="1">
      <alignment horizontal="center"/>
    </xf>
    <xf numFmtId="166" fontId="25" fillId="0" borderId="0" xfId="0" applyNumberFormat="1" applyFont="1" applyFill="1" applyBorder="1" applyAlignment="1">
      <alignment horizontal="center"/>
    </xf>
    <xf numFmtId="0" fontId="26" fillId="0" borderId="23" xfId="0" applyFont="1" applyBorder="1"/>
    <xf numFmtId="0" fontId="27" fillId="0" borderId="0" xfId="0" applyFont="1" applyFill="1" applyBorder="1" applyAlignment="1">
      <alignment horizontal="center"/>
    </xf>
    <xf numFmtId="0" fontId="26" fillId="0" borderId="22" xfId="0" applyFont="1" applyBorder="1"/>
    <xf numFmtId="0" fontId="27" fillId="0" borderId="2" xfId="0" applyFont="1" applyFill="1" applyBorder="1" applyAlignment="1">
      <alignment horizontal="center"/>
    </xf>
    <xf numFmtId="0" fontId="33" fillId="0" borderId="0" xfId="0" applyFont="1" applyFill="1" applyBorder="1" applyAlignment="1">
      <alignment horizontal="left" indent="3"/>
    </xf>
    <xf numFmtId="0" fontId="0" fillId="0" borderId="0" xfId="0"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vertical="center"/>
    </xf>
    <xf numFmtId="0" fontId="31" fillId="0" borderId="0" xfId="0" applyFont="1" applyFill="1" applyBorder="1" applyAlignment="1">
      <alignment horizontal="center" vertical="center"/>
    </xf>
    <xf numFmtId="0" fontId="0" fillId="0" borderId="0" xfId="0" applyFill="1" applyBorder="1" applyAlignment="1">
      <alignment vertical="center"/>
    </xf>
    <xf numFmtId="168" fontId="31" fillId="0" borderId="0" xfId="3"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166" fontId="25" fillId="0" borderId="0" xfId="0" applyNumberFormat="1"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left" vertical="center" indent="3"/>
    </xf>
    <xf numFmtId="0" fontId="25"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0" fillId="0" borderId="19" xfId="0" applyFill="1" applyBorder="1"/>
    <xf numFmtId="0" fontId="0" fillId="0" borderId="16" xfId="0" applyFill="1" applyBorder="1"/>
    <xf numFmtId="0" fontId="0" fillId="0" borderId="0" xfId="0" applyAlignment="1">
      <alignment horizontal="center" vertical="center"/>
    </xf>
    <xf numFmtId="0" fontId="0" fillId="0" borderId="0" xfId="0" applyFill="1" applyAlignment="1">
      <alignment horizontal="center" vertical="center"/>
    </xf>
    <xf numFmtId="0" fontId="26"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0" fillId="0" borderId="2" xfId="0" applyBorder="1" applyAlignment="1">
      <alignment vertical="center"/>
    </xf>
    <xf numFmtId="0" fontId="25" fillId="0" borderId="0" xfId="0" applyFont="1" applyFill="1" applyBorder="1" applyAlignment="1">
      <alignment horizontal="center" vertical="center" wrapText="1"/>
    </xf>
    <xf numFmtId="0" fontId="26" fillId="0" borderId="2" xfId="0" applyFont="1" applyFill="1" applyBorder="1" applyAlignment="1">
      <alignment horizontal="left" vertical="center"/>
    </xf>
    <xf numFmtId="166" fontId="31" fillId="0" borderId="0" xfId="0" applyNumberFormat="1" applyFont="1" applyFill="1" applyBorder="1" applyAlignment="1">
      <alignment horizontal="center"/>
    </xf>
    <xf numFmtId="0" fontId="29" fillId="0" borderId="0" xfId="0" applyFont="1" applyFill="1" applyBorder="1" applyAlignment="1">
      <alignment horizontal="left" vertical="top" wrapText="1"/>
    </xf>
    <xf numFmtId="0" fontId="0" fillId="0" borderId="0" xfId="0" applyAlignment="1">
      <alignment horizontal="center"/>
    </xf>
    <xf numFmtId="0" fontId="36" fillId="0" borderId="0" xfId="1" applyFont="1" applyFill="1" applyBorder="1" applyAlignment="1">
      <alignment horizontal="center" vertical="top" wrapText="1"/>
    </xf>
    <xf numFmtId="0" fontId="36" fillId="0" borderId="2" xfId="1" applyFont="1" applyFill="1" applyBorder="1" applyAlignment="1">
      <alignment horizontal="center" vertical="top" wrapText="1"/>
    </xf>
    <xf numFmtId="0" fontId="36" fillId="0" borderId="8" xfId="1" applyFont="1" applyFill="1" applyBorder="1" applyAlignment="1">
      <alignment horizontal="center" vertical="top" wrapText="1"/>
    </xf>
    <xf numFmtId="0" fontId="14" fillId="8" borderId="0" xfId="4" applyFill="1"/>
    <xf numFmtId="0" fontId="14" fillId="11" borderId="0" xfId="4" applyFill="1"/>
    <xf numFmtId="0" fontId="31" fillId="0" borderId="0" xfId="0" applyFont="1"/>
    <xf numFmtId="0" fontId="0" fillId="0" borderId="53" xfId="0" applyBorder="1"/>
    <xf numFmtId="0" fontId="1" fillId="0" borderId="6" xfId="0" applyFont="1" applyBorder="1" applyAlignment="1">
      <alignment horizontal="center"/>
    </xf>
    <xf numFmtId="0" fontId="0" fillId="0" borderId="13" xfId="0" applyBorder="1" applyAlignment="1">
      <alignment horizontal="center"/>
    </xf>
    <xf numFmtId="10" fontId="0" fillId="0" borderId="13" xfId="0" applyNumberFormat="1" applyBorder="1"/>
    <xf numFmtId="0" fontId="0" fillId="0" borderId="13" xfId="0" applyBorder="1"/>
    <xf numFmtId="10" fontId="0" fillId="0" borderId="13" xfId="3" applyNumberFormat="1" applyFont="1" applyBorder="1"/>
    <xf numFmtId="10" fontId="0" fillId="0" borderId="13" xfId="3" applyNumberFormat="1" applyFont="1" applyFill="1" applyBorder="1"/>
    <xf numFmtId="9" fontId="37" fillId="0" borderId="3" xfId="3" applyFont="1" applyBorder="1"/>
    <xf numFmtId="9" fontId="37" fillId="0" borderId="9" xfId="3" applyFont="1" applyBorder="1"/>
    <xf numFmtId="9" fontId="37" fillId="0" borderId="0" xfId="3" applyFont="1" applyBorder="1"/>
    <xf numFmtId="9" fontId="1" fillId="0" borderId="0" xfId="3" applyFont="1" applyBorder="1"/>
    <xf numFmtId="9" fontId="1" fillId="0" borderId="9" xfId="3" applyFont="1" applyBorder="1"/>
    <xf numFmtId="9" fontId="1" fillId="0" borderId="3" xfId="3" applyFont="1" applyBorder="1"/>
    <xf numFmtId="9" fontId="38" fillId="0" borderId="0" xfId="3" applyFont="1" applyBorder="1"/>
    <xf numFmtId="9" fontId="38" fillId="0" borderId="9" xfId="3" applyFont="1" applyBorder="1"/>
    <xf numFmtId="9" fontId="39" fillId="0" borderId="0" xfId="3" applyFont="1" applyBorder="1"/>
    <xf numFmtId="9" fontId="39" fillId="0" borderId="9" xfId="3" applyFont="1" applyBorder="1"/>
    <xf numFmtId="9" fontId="40" fillId="0" borderId="0" xfId="3" applyFont="1" applyBorder="1"/>
    <xf numFmtId="9" fontId="40" fillId="0" borderId="9" xfId="3" applyFont="1" applyBorder="1"/>
    <xf numFmtId="0" fontId="1" fillId="0" borderId="3" xfId="0" applyFont="1" applyBorder="1"/>
    <xf numFmtId="0" fontId="1" fillId="0" borderId="0" xfId="0" applyFont="1" applyBorder="1"/>
    <xf numFmtId="9" fontId="39" fillId="0" borderId="9" xfId="3" applyFont="1" applyFill="1" applyBorder="1"/>
    <xf numFmtId="0" fontId="1" fillId="0" borderId="6" xfId="0" applyFont="1" applyBorder="1"/>
    <xf numFmtId="0" fontId="1" fillId="0" borderId="2" xfId="0" applyFont="1" applyBorder="1"/>
    <xf numFmtId="9" fontId="40" fillId="0" borderId="13" xfId="3" applyFont="1" applyBorder="1"/>
    <xf numFmtId="10" fontId="0" fillId="0" borderId="0" xfId="0" applyNumberFormat="1" applyAlignment="1">
      <alignment horizontal="right"/>
    </xf>
    <xf numFmtId="0" fontId="7" fillId="0" borderId="0" xfId="0" applyFont="1" applyBorder="1" applyAlignment="1">
      <alignment horizontal="center"/>
    </xf>
    <xf numFmtId="0" fontId="7" fillId="0" borderId="0" xfId="0" applyFont="1" applyAlignment="1">
      <alignment horizontal="center"/>
    </xf>
    <xf numFmtId="10" fontId="0" fillId="0" borderId="3" xfId="0" applyNumberFormat="1" applyBorder="1" applyAlignment="1">
      <alignment horizontal="right"/>
    </xf>
    <xf numFmtId="0" fontId="10" fillId="0" borderId="0" xfId="0" applyFont="1" applyBorder="1"/>
    <xf numFmtId="167" fontId="0" fillId="0" borderId="0" xfId="2" applyNumberFormat="1" applyFont="1" applyBorder="1"/>
    <xf numFmtId="167" fontId="9" fillId="0" borderId="0" xfId="2" applyNumberFormat="1" applyFont="1" applyBorder="1"/>
    <xf numFmtId="168" fontId="8" fillId="0" borderId="0" xfId="3" applyNumberFormat="1" applyFont="1" applyAlignment="1">
      <alignment vertical="top"/>
    </xf>
    <xf numFmtId="165" fontId="9" fillId="0" borderId="0" xfId="2" applyNumberFormat="1" applyFont="1"/>
    <xf numFmtId="166" fontId="0" fillId="0" borderId="0" xfId="0" applyNumberFormat="1" applyBorder="1"/>
    <xf numFmtId="2" fontId="0" fillId="0" borderId="0" xfId="0" applyNumberFormat="1" applyFill="1" applyAlignment="1">
      <alignment horizontal="center"/>
    </xf>
    <xf numFmtId="10" fontId="0" fillId="0" borderId="0" xfId="0" applyNumberFormat="1" applyBorder="1"/>
    <xf numFmtId="10" fontId="3" fillId="0" borderId="55" xfId="3" applyNumberFormat="1" applyFont="1" applyFill="1" applyBorder="1"/>
    <xf numFmtId="9" fontId="0" fillId="0" borderId="0" xfId="2" applyNumberFormat="1" applyFont="1"/>
    <xf numFmtId="0" fontId="14" fillId="12" borderId="0" xfId="4" applyFill="1"/>
    <xf numFmtId="0" fontId="19" fillId="12" borderId="0" xfId="4" applyFont="1" applyFill="1"/>
    <xf numFmtId="0" fontId="19" fillId="12" borderId="0" xfId="4" applyFont="1" applyFill="1" applyAlignment="1">
      <alignment horizontal="center"/>
    </xf>
    <xf numFmtId="0" fontId="17" fillId="12" borderId="0" xfId="4" applyFont="1" applyFill="1"/>
    <xf numFmtId="0" fontId="14" fillId="12" borderId="0" xfId="4" applyFont="1" applyFill="1"/>
    <xf numFmtId="0" fontId="21" fillId="12" borderId="0" xfId="4" applyFont="1" applyFill="1" applyAlignment="1">
      <alignment horizontal="center" vertical="top"/>
    </xf>
    <xf numFmtId="0" fontId="14" fillId="12" borderId="21" xfId="4" applyFill="1" applyBorder="1"/>
    <xf numFmtId="0" fontId="15" fillId="12" borderId="0" xfId="4" applyFont="1" applyFill="1" applyAlignment="1">
      <alignment horizontal="left" vertical="top" wrapText="1"/>
    </xf>
    <xf numFmtId="175" fontId="25" fillId="0" borderId="34" xfId="0" applyNumberFormat="1" applyFont="1" applyFill="1" applyBorder="1" applyAlignment="1">
      <alignment horizontal="center"/>
    </xf>
    <xf numFmtId="175" fontId="25" fillId="0" borderId="45" xfId="0" applyNumberFormat="1" applyFont="1" applyFill="1" applyBorder="1" applyAlignment="1">
      <alignment horizontal="center"/>
    </xf>
    <xf numFmtId="0" fontId="35" fillId="0" borderId="0" xfId="0" applyFont="1" applyBorder="1" applyAlignment="1">
      <alignment horizontal="left" wrapText="1"/>
    </xf>
    <xf numFmtId="0" fontId="31" fillId="0" borderId="0" xfId="0" applyFont="1" applyFill="1" applyBorder="1" applyAlignment="1">
      <alignment horizontal="center"/>
    </xf>
    <xf numFmtId="0" fontId="31" fillId="0" borderId="0" xfId="0" applyFont="1" applyFill="1" applyBorder="1" applyAlignment="1">
      <alignment horizontal="center" wrapText="1"/>
    </xf>
    <xf numFmtId="0" fontId="31" fillId="0" borderId="2" xfId="0" applyFont="1" applyFill="1" applyBorder="1" applyAlignment="1">
      <alignment horizontal="center" wrapText="1"/>
    </xf>
    <xf numFmtId="0" fontId="1" fillId="0" borderId="0" xfId="0" applyFont="1" applyAlignment="1">
      <alignment horizontal="center"/>
    </xf>
    <xf numFmtId="3" fontId="29" fillId="0" borderId="8" xfId="0" applyNumberFormat="1" applyFont="1" applyBorder="1" applyAlignment="1">
      <alignment horizontal="center" wrapText="1"/>
    </xf>
    <xf numFmtId="0" fontId="0" fillId="0" borderId="0" xfId="0" applyFont="1" applyFill="1" applyBorder="1" applyAlignment="1">
      <alignment horizontal="center" vertical="center" wrapText="1"/>
    </xf>
    <xf numFmtId="0" fontId="26" fillId="0" borderId="0" xfId="0" applyFont="1" applyFill="1" applyBorder="1" applyAlignment="1">
      <alignment horizontal="left" vertical="center" indent="3"/>
    </xf>
    <xf numFmtId="49" fontId="0" fillId="0" borderId="0" xfId="0" applyNumberFormat="1"/>
    <xf numFmtId="1" fontId="0" fillId="0" borderId="0" xfId="0" applyNumberFormat="1"/>
    <xf numFmtId="168" fontId="25" fillId="0" borderId="0" xfId="3" applyNumberFormat="1" applyFont="1" applyFill="1" applyBorder="1" applyAlignment="1">
      <alignment horizontal="center"/>
    </xf>
    <xf numFmtId="1" fontId="0" fillId="0" borderId="2" xfId="0" applyNumberFormat="1" applyBorder="1"/>
    <xf numFmtId="10" fontId="3" fillId="0" borderId="56" xfId="3" applyNumberFormat="1" applyFont="1" applyFill="1" applyBorder="1"/>
    <xf numFmtId="0" fontId="1" fillId="0" borderId="6" xfId="2" applyNumberFormat="1" applyFont="1" applyBorder="1" applyAlignment="1">
      <alignment horizontal="center"/>
    </xf>
    <xf numFmtId="0" fontId="0" fillId="0" borderId="14" xfId="0" applyBorder="1" applyAlignment="1">
      <alignment horizontal="right"/>
    </xf>
    <xf numFmtId="0" fontId="33" fillId="0" borderId="2" xfId="0" applyFont="1" applyFill="1" applyBorder="1" applyAlignment="1">
      <alignment horizontal="center"/>
    </xf>
    <xf numFmtId="166" fontId="0" fillId="0" borderId="0" xfId="2" applyNumberFormat="1" applyFont="1"/>
    <xf numFmtId="166" fontId="0" fillId="0" borderId="0" xfId="2" applyNumberFormat="1" applyFont="1" applyBorder="1"/>
    <xf numFmtId="0" fontId="1" fillId="0" borderId="14" xfId="0" applyFont="1" applyBorder="1"/>
    <xf numFmtId="0" fontId="30" fillId="0" borderId="22" xfId="0" applyFont="1" applyBorder="1" applyAlignment="1">
      <alignment horizontal="center" wrapText="1"/>
    </xf>
    <xf numFmtId="3" fontId="28" fillId="0" borderId="2" xfId="0" applyNumberFormat="1" applyFont="1" applyBorder="1" applyAlignment="1">
      <alignment horizontal="center" wrapText="1"/>
    </xf>
    <xf numFmtId="166" fontId="0" fillId="0" borderId="2" xfId="2" applyNumberFormat="1" applyFont="1" applyBorder="1"/>
    <xf numFmtId="10" fontId="0" fillId="0" borderId="2" xfId="3" applyNumberFormat="1" applyFont="1" applyBorder="1"/>
    <xf numFmtId="10" fontId="0" fillId="0" borderId="2" xfId="3" applyNumberFormat="1" applyFont="1" applyFill="1" applyBorder="1" applyAlignment="1"/>
    <xf numFmtId="167" fontId="0" fillId="0" borderId="2" xfId="0" applyNumberFormat="1" applyBorder="1" applyAlignment="1">
      <alignment horizontal="right"/>
    </xf>
    <xf numFmtId="165" fontId="0" fillId="0" borderId="0" xfId="2" applyNumberFormat="1" applyFont="1" applyFill="1" applyBorder="1" applyAlignment="1">
      <alignment horizontal="center"/>
    </xf>
    <xf numFmtId="10" fontId="0" fillId="0" borderId="0" xfId="0" applyNumberFormat="1" applyBorder="1" applyAlignment="1">
      <alignment horizontal="right"/>
    </xf>
    <xf numFmtId="0" fontId="0" fillId="0" borderId="0" xfId="0" applyBorder="1" applyAlignment="1">
      <alignment horizontal="center"/>
    </xf>
    <xf numFmtId="10" fontId="0" fillId="0" borderId="2" xfId="0" applyNumberFormat="1" applyBorder="1"/>
    <xf numFmtId="0" fontId="25" fillId="0" borderId="0" xfId="0" applyFont="1"/>
    <xf numFmtId="3" fontId="0" fillId="0" borderId="0" xfId="2" applyNumberFormat="1" applyFont="1" applyBorder="1" applyAlignment="1">
      <alignment horizontal="center"/>
    </xf>
    <xf numFmtId="0" fontId="31" fillId="0" borderId="2" xfId="0" applyFont="1" applyBorder="1"/>
    <xf numFmtId="0" fontId="31" fillId="7" borderId="16" xfId="0" applyFont="1" applyFill="1" applyBorder="1"/>
    <xf numFmtId="0" fontId="0" fillId="7" borderId="16" xfId="0" applyFill="1" applyBorder="1"/>
    <xf numFmtId="2" fontId="46" fillId="0" borderId="0" xfId="0" applyNumberFormat="1" applyFont="1" applyFill="1" applyAlignment="1">
      <alignment horizontal="center"/>
    </xf>
    <xf numFmtId="0" fontId="46" fillId="0" borderId="0" xfId="0" applyFont="1"/>
    <xf numFmtId="172" fontId="46" fillId="0" borderId="0" xfId="2" applyNumberFormat="1" applyFont="1"/>
    <xf numFmtId="0" fontId="46" fillId="0" borderId="0" xfId="0" applyFont="1" applyBorder="1"/>
    <xf numFmtId="169" fontId="46" fillId="0" borderId="0" xfId="0" applyNumberFormat="1" applyFont="1" applyBorder="1"/>
    <xf numFmtId="0" fontId="25" fillId="0" borderId="0" xfId="0" applyFont="1"/>
    <xf numFmtId="176" fontId="0" fillId="0" borderId="0" xfId="0" applyNumberFormat="1"/>
    <xf numFmtId="0" fontId="9" fillId="0" borderId="3" xfId="0" applyFont="1" applyBorder="1" applyAlignment="1">
      <alignment horizontal="right"/>
    </xf>
    <xf numFmtId="165" fontId="0" fillId="0" borderId="0" xfId="0" applyNumberFormat="1" applyBorder="1" applyAlignment="1">
      <alignment horizontal="center"/>
    </xf>
    <xf numFmtId="3" fontId="0" fillId="0" borderId="0" xfId="0" applyNumberFormat="1"/>
    <xf numFmtId="0" fontId="25" fillId="0" borderId="2" xfId="0" applyFont="1" applyBorder="1"/>
    <xf numFmtId="3" fontId="0" fillId="0" borderId="2" xfId="0" applyNumberFormat="1" applyBorder="1"/>
    <xf numFmtId="0" fontId="0" fillId="0" borderId="0" xfId="0" applyAlignment="1">
      <alignment horizontal="center"/>
    </xf>
    <xf numFmtId="0" fontId="0" fillId="0" borderId="0" xfId="0" applyAlignment="1">
      <alignment horizontal="center"/>
    </xf>
    <xf numFmtId="0" fontId="0" fillId="0" borderId="0" xfId="0" applyBorder="1" applyAlignment="1">
      <alignment horizontal="center"/>
    </xf>
    <xf numFmtId="3" fontId="0" fillId="0" borderId="0" xfId="0" applyNumberFormat="1" applyAlignment="1">
      <alignment horizontal="left"/>
    </xf>
    <xf numFmtId="0" fontId="0" fillId="0" borderId="0" xfId="0" applyNumberFormat="1" applyAlignment="1">
      <alignment horizontal="left"/>
    </xf>
    <xf numFmtId="2" fontId="0" fillId="0" borderId="0" xfId="0" applyNumberFormat="1" applyAlignment="1">
      <alignment horizontal="center"/>
    </xf>
    <xf numFmtId="0" fontId="1" fillId="0" borderId="0" xfId="0" applyFont="1" applyAlignment="1">
      <alignment horizontal="left" indent="5"/>
    </xf>
    <xf numFmtId="0" fontId="0" fillId="0" borderId="0" xfId="0" applyAlignment="1">
      <alignment horizontal="left" indent="5"/>
    </xf>
    <xf numFmtId="0" fontId="1" fillId="0" borderId="0" xfId="0" applyFont="1" applyBorder="1" applyAlignment="1">
      <alignment horizontal="left" indent="3"/>
    </xf>
    <xf numFmtId="166" fontId="0" fillId="0" borderId="0" xfId="0" applyNumberFormat="1" applyAlignment="1">
      <alignment horizontal="left" indent="2"/>
    </xf>
    <xf numFmtId="0" fontId="0" fillId="0" borderId="27" xfId="0" applyBorder="1"/>
    <xf numFmtId="0" fontId="1" fillId="0" borderId="27" xfId="0" applyFont="1" applyBorder="1" applyAlignment="1">
      <alignment horizontal="center"/>
    </xf>
    <xf numFmtId="0" fontId="45" fillId="0" borderId="0" xfId="0" applyFont="1" applyAlignment="1">
      <alignment horizontal="left" indent="5"/>
    </xf>
    <xf numFmtId="9" fontId="0" fillId="0" borderId="0" xfId="0" applyNumberFormat="1"/>
    <xf numFmtId="0" fontId="47" fillId="0" borderId="0" xfId="0" applyFont="1" applyAlignment="1">
      <alignment horizontal="center"/>
    </xf>
    <xf numFmtId="165" fontId="48" fillId="0" borderId="2" xfId="0" applyNumberFormat="1" applyFont="1" applyBorder="1"/>
    <xf numFmtId="168" fontId="48" fillId="0" borderId="0" xfId="3" applyNumberFormat="1" applyFont="1"/>
    <xf numFmtId="0" fontId="48" fillId="0" borderId="0" xfId="0" applyFont="1"/>
    <xf numFmtId="165" fontId="48" fillId="0" borderId="2" xfId="2" applyNumberFormat="1" applyFont="1" applyBorder="1"/>
    <xf numFmtId="9" fontId="0" fillId="0" borderId="2" xfId="0" applyNumberFormat="1" applyBorder="1"/>
    <xf numFmtId="0" fontId="0" fillId="0" borderId="2" xfId="0" applyBorder="1" applyAlignment="1">
      <alignment wrapText="1"/>
    </xf>
    <xf numFmtId="0" fontId="25" fillId="0" borderId="0" xfId="0" applyFont="1" applyBorder="1"/>
    <xf numFmtId="3" fontId="0" fillId="0" borderId="0" xfId="0" applyNumberFormat="1" applyBorder="1"/>
    <xf numFmtId="0" fontId="49" fillId="0" borderId="0" xfId="0" applyFont="1" applyAlignment="1">
      <alignment horizontal="right" vertical="center" wrapText="1"/>
    </xf>
    <xf numFmtId="0" fontId="50" fillId="0" borderId="0" xfId="0" applyFont="1" applyAlignment="1">
      <alignment horizontal="center" vertical="center" wrapText="1"/>
    </xf>
    <xf numFmtId="0" fontId="50" fillId="0" borderId="0" xfId="0" applyFont="1" applyBorder="1" applyAlignment="1">
      <alignment horizontal="center" vertical="center" wrapText="1"/>
    </xf>
    <xf numFmtId="0" fontId="51" fillId="0" borderId="0" xfId="0" applyFont="1" applyAlignment="1">
      <alignment horizontal="right" vertical="center" wrapText="1"/>
    </xf>
    <xf numFmtId="0" fontId="51" fillId="0" borderId="0" xfId="0" applyFont="1" applyAlignment="1">
      <alignment vertical="center" wrapText="1"/>
    </xf>
    <xf numFmtId="0" fontId="23" fillId="7" borderId="10" xfId="0" applyFont="1" applyFill="1" applyBorder="1"/>
    <xf numFmtId="0" fontId="23" fillId="7" borderId="12" xfId="0" applyFont="1" applyFill="1" applyBorder="1"/>
    <xf numFmtId="0" fontId="23" fillId="0" borderId="0" xfId="0" applyFont="1" applyFill="1"/>
    <xf numFmtId="166" fontId="51" fillId="0" borderId="0" xfId="3" applyNumberFormat="1" applyFont="1" applyBorder="1" applyAlignment="1">
      <alignment horizontal="right" vertical="center" wrapText="1"/>
    </xf>
    <xf numFmtId="166" fontId="51" fillId="0" borderId="0" xfId="3" applyNumberFormat="1" applyFont="1" applyAlignment="1">
      <alignment horizontal="right" vertical="center" wrapText="1"/>
    </xf>
    <xf numFmtId="166" fontId="51" fillId="0" borderId="16" xfId="3" applyNumberFormat="1" applyFont="1" applyBorder="1" applyAlignment="1">
      <alignment horizontal="right" vertical="center" wrapText="1"/>
    </xf>
    <xf numFmtId="3" fontId="52" fillId="0" borderId="0" xfId="0" applyNumberFormat="1" applyFont="1" applyAlignment="1">
      <alignment horizontal="center" vertical="center" wrapText="1"/>
    </xf>
    <xf numFmtId="3" fontId="52" fillId="0" borderId="16" xfId="0" applyNumberFormat="1" applyFont="1" applyBorder="1" applyAlignment="1">
      <alignment horizontal="center" vertical="center" wrapText="1"/>
    </xf>
    <xf numFmtId="2" fontId="51" fillId="0" borderId="0" xfId="3" applyNumberFormat="1" applyFont="1" applyBorder="1" applyAlignment="1">
      <alignment horizontal="right" vertical="center" wrapText="1"/>
    </xf>
    <xf numFmtId="0" fontId="23" fillId="7" borderId="0" xfId="0" applyFont="1" applyFill="1" applyBorder="1"/>
    <xf numFmtId="0" fontId="51" fillId="0" borderId="0" xfId="0" applyFont="1" applyBorder="1" applyAlignment="1">
      <alignment vertical="center" wrapText="1"/>
    </xf>
    <xf numFmtId="3" fontId="52" fillId="0" borderId="0" xfId="0" applyNumberFormat="1" applyFont="1" applyBorder="1" applyAlignment="1">
      <alignment horizontal="center" vertical="center" wrapText="1"/>
    </xf>
    <xf numFmtId="0" fontId="23" fillId="0" borderId="16" xfId="0" applyFont="1" applyFill="1" applyBorder="1"/>
    <xf numFmtId="166" fontId="51" fillId="0" borderId="0" xfId="3" applyNumberFormat="1" applyFont="1" applyBorder="1" applyAlignment="1">
      <alignment horizontal="left" vertical="center" wrapText="1"/>
    </xf>
    <xf numFmtId="0" fontId="23" fillId="0" borderId="0" xfId="0" applyFont="1" applyFill="1" applyBorder="1"/>
    <xf numFmtId="3" fontId="0" fillId="0" borderId="0" xfId="0" applyNumberFormat="1" applyAlignment="1">
      <alignment horizontal="center"/>
    </xf>
    <xf numFmtId="0" fontId="23" fillId="7" borderId="11" xfId="0" applyFont="1" applyFill="1" applyBorder="1" applyAlignment="1">
      <alignment horizontal="center"/>
    </xf>
    <xf numFmtId="0" fontId="23" fillId="7" borderId="11" xfId="0" applyFont="1" applyFill="1" applyBorder="1" applyAlignment="1"/>
    <xf numFmtId="0" fontId="23" fillId="0" borderId="0" xfId="0" applyFont="1" applyFill="1" applyBorder="1" applyAlignment="1">
      <alignment horizontal="left"/>
    </xf>
    <xf numFmtId="168" fontId="0" fillId="0" borderId="0" xfId="3" applyNumberFormat="1" applyFont="1" applyBorder="1" applyAlignment="1">
      <alignment horizontal="left"/>
    </xf>
    <xf numFmtId="0" fontId="1" fillId="0" borderId="0" xfId="0" applyFont="1" applyBorder="1" applyAlignment="1">
      <alignment horizontal="right"/>
    </xf>
    <xf numFmtId="0" fontId="54" fillId="0" borderId="0" xfId="0" applyFont="1" applyFill="1" applyBorder="1" applyAlignment="1">
      <alignment horizontal="left"/>
    </xf>
    <xf numFmtId="0" fontId="54" fillId="7" borderId="1" xfId="0" applyFont="1" applyFill="1" applyBorder="1" applyAlignment="1">
      <alignment horizontal="left"/>
    </xf>
    <xf numFmtId="0" fontId="13" fillId="0" borderId="0" xfId="0" applyFont="1" applyBorder="1"/>
    <xf numFmtId="0" fontId="1" fillId="0" borderId="9" xfId="0" applyFont="1" applyBorder="1"/>
    <xf numFmtId="168" fontId="0" fillId="0" borderId="2" xfId="3" applyNumberFormat="1" applyFont="1" applyBorder="1" applyAlignment="1">
      <alignment horizontal="left"/>
    </xf>
    <xf numFmtId="0" fontId="1" fillId="0" borderId="2" xfId="0" applyFont="1" applyBorder="1" applyAlignment="1">
      <alignment horizontal="right"/>
    </xf>
    <xf numFmtId="0" fontId="55" fillId="7" borderId="10" xfId="0" applyFont="1" applyFill="1" applyBorder="1" applyAlignment="1">
      <alignment horizontal="left"/>
    </xf>
    <xf numFmtId="0" fontId="55" fillId="7" borderId="11" xfId="0" applyFont="1" applyFill="1" applyBorder="1" applyAlignment="1">
      <alignment horizontal="left"/>
    </xf>
    <xf numFmtId="0" fontId="23" fillId="7" borderId="12" xfId="0" applyFont="1" applyFill="1" applyBorder="1" applyAlignment="1">
      <alignment horizontal="left"/>
    </xf>
    <xf numFmtId="0" fontId="0" fillId="0" borderId="24" xfId="0" applyBorder="1"/>
    <xf numFmtId="0" fontId="0" fillId="0" borderId="0" xfId="0" applyAlignment="1">
      <alignment horizontal="center"/>
    </xf>
    <xf numFmtId="0" fontId="7" fillId="0" borderId="9" xfId="0" applyFont="1" applyBorder="1" applyAlignment="1">
      <alignment horizontal="center"/>
    </xf>
    <xf numFmtId="0" fontId="7" fillId="0" borderId="0" xfId="0" applyFont="1" applyBorder="1" applyAlignment="1">
      <alignment horizontal="center"/>
    </xf>
    <xf numFmtId="165" fontId="0" fillId="0" borderId="2" xfId="0" applyNumberFormat="1" applyBorder="1" applyAlignment="1">
      <alignment horizontal="center"/>
    </xf>
    <xf numFmtId="0" fontId="1" fillId="0" borderId="0" xfId="0" applyFont="1" applyAlignment="1">
      <alignment horizontal="left" indent="5"/>
    </xf>
    <xf numFmtId="0" fontId="25" fillId="0" borderId="0" xfId="0" applyFont="1" applyBorder="1" applyAlignment="1">
      <alignment horizontal="center" vertical="top" wrapText="1"/>
    </xf>
    <xf numFmtId="0" fontId="0" fillId="0" borderId="2" xfId="0" applyBorder="1"/>
    <xf numFmtId="0" fontId="7" fillId="0" borderId="3" xfId="0" applyFont="1" applyBorder="1" applyAlignment="1">
      <alignment horizontal="center"/>
    </xf>
    <xf numFmtId="165" fontId="0" fillId="0" borderId="3" xfId="0" applyNumberFormat="1" applyBorder="1" applyAlignment="1">
      <alignment horizontal="center"/>
    </xf>
    <xf numFmtId="165" fontId="0" fillId="0" borderId="9" xfId="0" applyNumberFormat="1" applyBorder="1" applyAlignment="1">
      <alignment horizontal="center"/>
    </xf>
    <xf numFmtId="165" fontId="0" fillId="0" borderId="6" xfId="0" applyNumberFormat="1" applyBorder="1" applyAlignment="1">
      <alignment horizontal="center"/>
    </xf>
    <xf numFmtId="165" fontId="0" fillId="0" borderId="8" xfId="0" applyNumberFormat="1" applyBorder="1" applyAlignment="1">
      <alignment horizontal="center"/>
    </xf>
    <xf numFmtId="0" fontId="0" fillId="0" borderId="60" xfId="0" applyBorder="1" applyAlignment="1">
      <alignment horizontal="center"/>
    </xf>
    <xf numFmtId="0" fontId="7" fillId="0" borderId="22" xfId="0" applyFont="1" applyBorder="1" applyAlignment="1">
      <alignment horizontal="center"/>
    </xf>
    <xf numFmtId="0" fontId="0" fillId="0" borderId="23" xfId="0" applyBorder="1" applyAlignment="1">
      <alignment horizontal="center"/>
    </xf>
    <xf numFmtId="165" fontId="0" fillId="0" borderId="22" xfId="0" applyNumberFormat="1" applyBorder="1" applyAlignment="1">
      <alignment horizontal="center"/>
    </xf>
    <xf numFmtId="165" fontId="0" fillId="0" borderId="29" xfId="0" applyNumberFormat="1" applyBorder="1" applyAlignment="1">
      <alignment horizontal="center"/>
    </xf>
    <xf numFmtId="0" fontId="11" fillId="0" borderId="20" xfId="0" applyFont="1" applyBorder="1"/>
    <xf numFmtId="0" fontId="1" fillId="0" borderId="0" xfId="0" applyFont="1" applyAlignment="1">
      <alignment horizontal="left" indent="5"/>
    </xf>
    <xf numFmtId="168" fontId="0" fillId="0" borderId="14" xfId="3" applyNumberFormat="1" applyFont="1" applyBorder="1" applyAlignment="1">
      <alignment horizontal="left"/>
    </xf>
    <xf numFmtId="0" fontId="0" fillId="0" borderId="14" xfId="0" applyBorder="1"/>
    <xf numFmtId="0" fontId="1" fillId="0" borderId="14" xfId="0" applyFont="1" applyBorder="1" applyAlignment="1">
      <alignment horizontal="right"/>
    </xf>
    <xf numFmtId="0" fontId="0" fillId="0" borderId="2" xfId="0" applyBorder="1" applyAlignment="1">
      <alignment horizontal="right" vertical="top"/>
    </xf>
    <xf numFmtId="168" fontId="0" fillId="0" borderId="2" xfId="3" applyNumberFormat="1" applyFont="1" applyBorder="1" applyAlignment="1">
      <alignment horizontal="left" vertical="top"/>
    </xf>
    <xf numFmtId="0" fontId="0" fillId="0" borderId="2" xfId="0" applyBorder="1" applyAlignment="1">
      <alignment vertical="top"/>
    </xf>
    <xf numFmtId="0" fontId="54" fillId="7" borderId="56" xfId="0" applyFont="1" applyFill="1" applyBorder="1" applyAlignment="1">
      <alignment horizontal="left"/>
    </xf>
    <xf numFmtId="0" fontId="54" fillId="7" borderId="61" xfId="0" applyFont="1" applyFill="1" applyBorder="1" applyAlignment="1">
      <alignment horizontal="left"/>
    </xf>
    <xf numFmtId="0" fontId="0" fillId="0" borderId="62" xfId="0" applyBorder="1"/>
    <xf numFmtId="0" fontId="1" fillId="0" borderId="62" xfId="0" applyFont="1" applyBorder="1"/>
    <xf numFmtId="165" fontId="0" fillId="0" borderId="63" xfId="2" applyNumberFormat="1" applyFont="1" applyBorder="1"/>
    <xf numFmtId="0" fontId="0" fillId="0" borderId="64" xfId="0" applyBorder="1"/>
    <xf numFmtId="0" fontId="0" fillId="0" borderId="65" xfId="0" applyBorder="1"/>
    <xf numFmtId="0" fontId="0" fillId="0" borderId="66" xfId="0" applyBorder="1"/>
    <xf numFmtId="0" fontId="0" fillId="0" borderId="67" xfId="0" applyBorder="1"/>
    <xf numFmtId="0" fontId="1" fillId="0" borderId="68" xfId="0" applyFont="1" applyBorder="1"/>
    <xf numFmtId="0" fontId="0" fillId="0" borderId="68" xfId="0" applyBorder="1" applyAlignment="1">
      <alignment horizontal="center"/>
    </xf>
    <xf numFmtId="165" fontId="0" fillId="0" borderId="68" xfId="2" applyNumberFormat="1" applyFont="1" applyBorder="1"/>
    <xf numFmtId="0" fontId="0" fillId="0" borderId="69" xfId="0" applyBorder="1"/>
    <xf numFmtId="0" fontId="25" fillId="0" borderId="0" xfId="0" applyFont="1" applyBorder="1" applyAlignment="1">
      <alignment horizontal="center" vertical="center" wrapText="1"/>
    </xf>
    <xf numFmtId="0" fontId="0" fillId="0" borderId="68" xfId="0" applyBorder="1"/>
    <xf numFmtId="0" fontId="0" fillId="0" borderId="62" xfId="0" applyFill="1" applyBorder="1"/>
    <xf numFmtId="0" fontId="35" fillId="0" borderId="0" xfId="0" applyFont="1" applyFill="1" applyBorder="1" applyAlignment="1">
      <alignment horizontal="left"/>
    </xf>
    <xf numFmtId="0" fontId="57" fillId="0" borderId="0" xfId="0" applyFont="1" applyFill="1" applyBorder="1" applyAlignment="1">
      <alignment horizontal="left"/>
    </xf>
    <xf numFmtId="0" fontId="0" fillId="0" borderId="0" xfId="0" applyFont="1" applyFill="1" applyBorder="1"/>
    <xf numFmtId="0" fontId="57" fillId="0" borderId="0" xfId="0" applyFont="1" applyFill="1" applyBorder="1" applyAlignment="1">
      <alignment horizontal="left" wrapText="1"/>
    </xf>
    <xf numFmtId="0" fontId="0" fillId="0" borderId="0" xfId="0" applyFont="1" applyFill="1" applyBorder="1" applyAlignment="1">
      <alignment horizontal="right"/>
    </xf>
    <xf numFmtId="10" fontId="0" fillId="0" borderId="0" xfId="2" applyNumberFormat="1" applyFont="1" applyBorder="1" applyAlignment="1">
      <alignment horizontal="left"/>
    </xf>
    <xf numFmtId="3" fontId="0" fillId="0" borderId="0" xfId="2" applyNumberFormat="1" applyFont="1" applyBorder="1" applyAlignment="1">
      <alignment horizontal="right"/>
    </xf>
    <xf numFmtId="0" fontId="45" fillId="0" borderId="0" xfId="0" applyFont="1" applyBorder="1" applyAlignment="1">
      <alignment horizontal="center"/>
    </xf>
    <xf numFmtId="0" fontId="1" fillId="0" borderId="27" xfId="0" applyFont="1" applyBorder="1"/>
    <xf numFmtId="0" fontId="0" fillId="0" borderId="0" xfId="0" applyFont="1" applyFill="1" applyBorder="1" applyAlignment="1">
      <alignment horizontal="center" vertical="center" wrapText="1"/>
    </xf>
    <xf numFmtId="0" fontId="31" fillId="0" borderId="0" xfId="0" applyFont="1" applyFill="1" applyBorder="1" applyAlignment="1">
      <alignment horizontal="center"/>
    </xf>
    <xf numFmtId="0" fontId="25" fillId="0" borderId="16" xfId="0" applyFont="1" applyFill="1" applyBorder="1" applyAlignment="1">
      <alignment horizontal="center"/>
    </xf>
    <xf numFmtId="166" fontId="25" fillId="0" borderId="16" xfId="0" applyNumberFormat="1" applyFont="1" applyFill="1" applyBorder="1" applyAlignment="1">
      <alignment horizontal="center"/>
    </xf>
    <xf numFmtId="0" fontId="42" fillId="0" borderId="0" xfId="0" applyFont="1" applyFill="1" applyBorder="1" applyAlignment="1">
      <alignment horizontal="left"/>
    </xf>
    <xf numFmtId="0" fontId="9" fillId="0" borderId="0" xfId="0" applyFont="1" applyFill="1" applyBorder="1"/>
    <xf numFmtId="0" fontId="9" fillId="0" borderId="0" xfId="0" applyFont="1" applyFill="1" applyBorder="1" applyAlignment="1">
      <alignment horizontal="right"/>
    </xf>
    <xf numFmtId="0" fontId="25" fillId="0" borderId="0" xfId="0" applyFont="1" applyBorder="1" applyAlignment="1">
      <alignment horizontal="right"/>
    </xf>
    <xf numFmtId="165" fontId="25" fillId="0" borderId="0" xfId="0" applyNumberFormat="1" applyFont="1" applyFill="1" applyBorder="1"/>
    <xf numFmtId="166" fontId="25" fillId="0" borderId="0" xfId="0" applyNumberFormat="1" applyFont="1" applyFill="1" applyBorder="1"/>
    <xf numFmtId="0" fontId="25" fillId="0" borderId="0" xfId="0" applyFont="1"/>
    <xf numFmtId="0" fontId="0" fillId="0" borderId="2" xfId="0" applyBorder="1"/>
    <xf numFmtId="0" fontId="58" fillId="0" borderId="0" xfId="0" applyFont="1" applyFill="1" applyBorder="1" applyAlignment="1">
      <alignment horizontal="left" vertical="top"/>
    </xf>
    <xf numFmtId="0" fontId="58" fillId="0" borderId="4" xfId="0" applyFont="1" applyFill="1" applyBorder="1" applyAlignment="1">
      <alignment vertical="top" wrapText="1"/>
    </xf>
    <xf numFmtId="0" fontId="25" fillId="0" borderId="2" xfId="0" applyFont="1" applyFill="1" applyBorder="1" applyAlignment="1">
      <alignment horizontal="center" vertical="center" wrapText="1"/>
    </xf>
    <xf numFmtId="164" fontId="0" fillId="0" borderId="0" xfId="0" applyNumberFormat="1" applyFill="1"/>
    <xf numFmtId="164" fontId="0" fillId="0" borderId="0" xfId="0" applyNumberFormat="1" applyFill="1" applyBorder="1"/>
    <xf numFmtId="168" fontId="0" fillId="0" borderId="2" xfId="3" applyNumberFormat="1" applyFont="1" applyBorder="1"/>
    <xf numFmtId="168" fontId="25" fillId="0" borderId="3" xfId="0" applyNumberFormat="1" applyFont="1" applyFill="1" applyBorder="1" applyAlignment="1">
      <alignment horizontal="center" vertical="center" wrapText="1"/>
    </xf>
    <xf numFmtId="168" fontId="25" fillId="0" borderId="6" xfId="0" applyNumberFormat="1" applyFont="1" applyFill="1" applyBorder="1" applyAlignment="1">
      <alignment horizontal="center" vertical="center" wrapText="1"/>
    </xf>
    <xf numFmtId="0" fontId="28" fillId="0" borderId="0" xfId="0" applyFont="1" applyBorder="1" applyAlignment="1">
      <alignment horizontal="left" wrapText="1"/>
    </xf>
    <xf numFmtId="0" fontId="0" fillId="0" borderId="0" xfId="0" applyBorder="1" applyAlignment="1">
      <alignment horizontal="center" wrapText="1"/>
    </xf>
    <xf numFmtId="0" fontId="23" fillId="7" borderId="11" xfId="0" applyFont="1" applyFill="1" applyBorder="1" applyAlignment="1">
      <alignment horizontal="center"/>
    </xf>
    <xf numFmtId="0" fontId="7" fillId="0" borderId="0" xfId="0" applyFont="1" applyAlignment="1">
      <alignment horizontal="center"/>
    </xf>
    <xf numFmtId="0" fontId="0" fillId="0" borderId="2" xfId="0" applyBorder="1"/>
    <xf numFmtId="10" fontId="9" fillId="0" borderId="0" xfId="3" applyNumberFormat="1" applyFont="1"/>
    <xf numFmtId="0" fontId="0" fillId="0" borderId="0" xfId="0" applyBorder="1" applyAlignment="1">
      <alignment horizontal="left"/>
    </xf>
    <xf numFmtId="0" fontId="0" fillId="0" borderId="0" xfId="0" applyBorder="1" applyAlignment="1">
      <alignment horizontal="left" indent="5"/>
    </xf>
    <xf numFmtId="0" fontId="25" fillId="0" borderId="16" xfId="0" applyFont="1" applyBorder="1" applyAlignment="1">
      <alignment horizontal="right"/>
    </xf>
    <xf numFmtId="165" fontId="25" fillId="0" borderId="16" xfId="0" applyNumberFormat="1" applyFont="1" applyFill="1" applyBorder="1"/>
    <xf numFmtId="0" fontId="28" fillId="0" borderId="16" xfId="0" applyFont="1" applyBorder="1" applyAlignment="1">
      <alignment horizontal="left" wrapText="1"/>
    </xf>
    <xf numFmtId="0" fontId="60" fillId="0" borderId="0" xfId="0" applyFont="1" applyAlignment="1">
      <alignment horizontal="center"/>
    </xf>
    <xf numFmtId="165" fontId="9" fillId="0" borderId="2" xfId="2" applyNumberFormat="1" applyFont="1" applyBorder="1"/>
    <xf numFmtId="168" fontId="9" fillId="0" borderId="0" xfId="3" applyNumberFormat="1" applyFont="1"/>
    <xf numFmtId="165" fontId="9" fillId="0" borderId="2" xfId="0" applyNumberFormat="1" applyFont="1" applyBorder="1"/>
    <xf numFmtId="0" fontId="61" fillId="0" borderId="0" xfId="0" applyFont="1" applyAlignment="1">
      <alignment horizontal="center"/>
    </xf>
    <xf numFmtId="165" fontId="62" fillId="0" borderId="2" xfId="2" applyNumberFormat="1" applyFont="1" applyBorder="1"/>
    <xf numFmtId="168" fontId="62" fillId="0" borderId="0" xfId="3" applyNumberFormat="1" applyFont="1"/>
    <xf numFmtId="0" fontId="62" fillId="0" borderId="0" xfId="0" applyFont="1"/>
    <xf numFmtId="165" fontId="62" fillId="0" borderId="2" xfId="0" applyNumberFormat="1" applyFont="1" applyBorder="1"/>
    <xf numFmtId="165" fontId="62" fillId="0" borderId="0" xfId="0" applyNumberFormat="1" applyFont="1"/>
    <xf numFmtId="0" fontId="62" fillId="0" borderId="0" xfId="0" applyFont="1" applyBorder="1"/>
    <xf numFmtId="0" fontId="62" fillId="0" borderId="0" xfId="0" applyFont="1" applyAlignment="1">
      <alignment horizontal="right"/>
    </xf>
    <xf numFmtId="166" fontId="62" fillId="0" borderId="0" xfId="0" applyNumberFormat="1" applyFont="1" applyAlignment="1">
      <alignment horizontal="center"/>
    </xf>
    <xf numFmtId="0" fontId="62" fillId="0" borderId="5" xfId="0" applyFont="1" applyBorder="1"/>
    <xf numFmtId="0" fontId="62" fillId="0" borderId="4" xfId="0" applyFont="1" applyBorder="1"/>
    <xf numFmtId="0" fontId="62" fillId="0" borderId="4" xfId="0" applyFont="1" applyBorder="1" applyAlignment="1">
      <alignment horizontal="right"/>
    </xf>
    <xf numFmtId="0" fontId="62" fillId="0" borderId="3" xfId="0" applyFont="1" applyBorder="1"/>
    <xf numFmtId="0" fontId="62" fillId="0" borderId="6" xfId="0" applyFont="1" applyBorder="1"/>
    <xf numFmtId="0" fontId="62" fillId="0" borderId="2" xfId="0" applyFont="1" applyBorder="1"/>
    <xf numFmtId="0" fontId="62" fillId="0" borderId="2" xfId="0" applyFont="1" applyBorder="1" applyAlignment="1">
      <alignment horizontal="right"/>
    </xf>
    <xf numFmtId="0" fontId="62" fillId="0" borderId="5" xfId="0" applyFont="1" applyFill="1" applyBorder="1" applyAlignment="1">
      <alignment horizontal="right"/>
    </xf>
    <xf numFmtId="9" fontId="62" fillId="0" borderId="0" xfId="3" applyFont="1" applyFill="1" applyBorder="1"/>
    <xf numFmtId="0" fontId="62" fillId="0" borderId="3" xfId="0" applyFont="1" applyFill="1" applyBorder="1" applyAlignment="1">
      <alignment horizontal="right"/>
    </xf>
    <xf numFmtId="165" fontId="62" fillId="0" borderId="0" xfId="0" applyNumberFormat="1" applyFont="1" applyFill="1"/>
    <xf numFmtId="0" fontId="62" fillId="0" borderId="0" xfId="0" applyFont="1" applyBorder="1" applyAlignment="1">
      <alignment horizontal="right"/>
    </xf>
    <xf numFmtId="176" fontId="62" fillId="0" borderId="0" xfId="0" applyNumberFormat="1" applyFont="1"/>
    <xf numFmtId="0" fontId="62" fillId="0" borderId="3" xfId="0" applyFont="1" applyFill="1" applyBorder="1"/>
    <xf numFmtId="0" fontId="62" fillId="0" borderId="0" xfId="0" applyFont="1" applyFill="1" applyBorder="1"/>
    <xf numFmtId="10" fontId="62" fillId="0" borderId="0" xfId="0" applyNumberFormat="1" applyFont="1" applyBorder="1" applyAlignment="1">
      <alignment horizontal="right"/>
    </xf>
    <xf numFmtId="0" fontId="62" fillId="0" borderId="0" xfId="0" applyFont="1" applyFill="1"/>
    <xf numFmtId="168" fontId="62" fillId="0" borderId="0" xfId="0" applyNumberFormat="1" applyFont="1" applyBorder="1"/>
    <xf numFmtId="0" fontId="62" fillId="0" borderId="3" xfId="0" applyFont="1" applyBorder="1" applyAlignment="1">
      <alignment horizontal="right"/>
    </xf>
    <xf numFmtId="0" fontId="62" fillId="0" borderId="6" xfId="0" applyFont="1" applyFill="1" applyBorder="1" applyAlignment="1">
      <alignment horizontal="right"/>
    </xf>
    <xf numFmtId="9" fontId="62" fillId="0" borderId="2" xfId="3" applyFont="1" applyFill="1" applyBorder="1"/>
    <xf numFmtId="165" fontId="62" fillId="0" borderId="0" xfId="2" applyNumberFormat="1" applyFont="1" applyBorder="1"/>
    <xf numFmtId="165" fontId="62" fillId="0" borderId="0" xfId="2" applyNumberFormat="1" applyFont="1" applyBorder="1" applyAlignment="1">
      <alignment horizontal="right"/>
    </xf>
    <xf numFmtId="0" fontId="10" fillId="0" borderId="0" xfId="0" applyFont="1" applyFill="1" applyBorder="1" applyAlignment="1">
      <alignment horizontal="left"/>
    </xf>
    <xf numFmtId="0" fontId="0" fillId="0" borderId="16" xfId="0" applyBorder="1" applyAlignment="1">
      <alignment horizontal="left"/>
    </xf>
    <xf numFmtId="0" fontId="0" fillId="0" borderId="16" xfId="0" applyBorder="1" applyAlignment="1">
      <alignment horizontal="left" wrapText="1" indent="5"/>
    </xf>
    <xf numFmtId="0" fontId="0" fillId="0" borderId="0" xfId="0" applyAlignment="1">
      <alignment horizontal="center"/>
    </xf>
    <xf numFmtId="0" fontId="23" fillId="7" borderId="11" xfId="0" applyFont="1" applyFill="1" applyBorder="1" applyAlignment="1">
      <alignment horizontal="center"/>
    </xf>
    <xf numFmtId="0" fontId="7" fillId="0" borderId="0" xfId="0" applyFont="1" applyBorder="1" applyAlignment="1">
      <alignment horizontal="center"/>
    </xf>
    <xf numFmtId="0" fontId="7" fillId="0" borderId="9" xfId="0" applyFont="1" applyBorder="1" applyAlignment="1">
      <alignment horizontal="center"/>
    </xf>
    <xf numFmtId="0" fontId="23" fillId="7" borderId="11" xfId="0" applyFont="1" applyFill="1" applyBorder="1" applyAlignment="1">
      <alignment horizontal="left"/>
    </xf>
    <xf numFmtId="0" fontId="25" fillId="0" borderId="0"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0" xfId="0" applyFont="1" applyBorder="1" applyAlignment="1">
      <alignment horizontal="center" vertical="top" wrapText="1"/>
    </xf>
    <xf numFmtId="0" fontId="25" fillId="0" borderId="0" xfId="0" applyFont="1" applyBorder="1" applyAlignment="1">
      <alignment horizontal="center" vertical="center" wrapText="1"/>
    </xf>
    <xf numFmtId="0" fontId="7" fillId="0" borderId="0" xfId="0" applyFont="1" applyAlignment="1">
      <alignment horizontal="center"/>
    </xf>
    <xf numFmtId="0" fontId="0" fillId="0" borderId="2" xfId="0" applyBorder="1"/>
    <xf numFmtId="0" fontId="23" fillId="0" borderId="0" xfId="0" applyFont="1" applyFill="1" applyBorder="1" applyAlignment="1">
      <alignment horizontal="center"/>
    </xf>
    <xf numFmtId="0" fontId="23" fillId="0" borderId="0" xfId="0" applyFont="1" applyFill="1" applyBorder="1" applyAlignment="1"/>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0" fillId="0" borderId="2" xfId="0" applyBorder="1"/>
    <xf numFmtId="0" fontId="23" fillId="7" borderId="11" xfId="0" applyFont="1" applyFill="1" applyBorder="1" applyAlignment="1">
      <alignment horizontal="left"/>
    </xf>
    <xf numFmtId="0" fontId="25" fillId="0" borderId="2" xfId="0" applyFont="1" applyFill="1" applyBorder="1" applyAlignment="1">
      <alignment horizontal="right" vertical="center"/>
    </xf>
    <xf numFmtId="0" fontId="25" fillId="0" borderId="0" xfId="0" applyFont="1" applyFill="1" applyBorder="1" applyAlignment="1">
      <alignment horizontal="right"/>
    </xf>
    <xf numFmtId="168" fontId="31" fillId="0" borderId="2" xfId="3" applyNumberFormat="1" applyFont="1" applyFill="1" applyBorder="1" applyAlignment="1">
      <alignment horizontal="center" vertical="center" wrapText="1"/>
    </xf>
    <xf numFmtId="168" fontId="31" fillId="0" borderId="0" xfId="3" applyNumberFormat="1" applyFont="1" applyFill="1" applyBorder="1" applyAlignment="1">
      <alignment horizontal="center"/>
    </xf>
    <xf numFmtId="1" fontId="31" fillId="0" borderId="14" xfId="3" applyNumberFormat="1" applyFont="1" applyFill="1" applyBorder="1" applyAlignment="1">
      <alignment horizontal="center" vertical="center" wrapText="1"/>
    </xf>
    <xf numFmtId="1" fontId="31" fillId="0" borderId="4" xfId="3" applyNumberFormat="1" applyFont="1" applyFill="1" applyBorder="1" applyAlignment="1">
      <alignment horizontal="center"/>
    </xf>
    <xf numFmtId="1" fontId="0" fillId="0" borderId="0" xfId="0" applyNumberFormat="1" applyAlignment="1">
      <alignment horizontal="right"/>
    </xf>
    <xf numFmtId="10" fontId="0" fillId="0" borderId="2" xfId="3" applyNumberFormat="1" applyFont="1" applyFill="1" applyBorder="1" applyAlignment="1">
      <alignment horizontal="right"/>
    </xf>
    <xf numFmtId="10" fontId="0" fillId="0" borderId="0" xfId="3" applyNumberFormat="1" applyFont="1" applyFill="1" applyBorder="1" applyAlignment="1">
      <alignment horizontal="right"/>
    </xf>
    <xf numFmtId="1" fontId="31" fillId="0" borderId="46" xfId="3" applyNumberFormat="1" applyFont="1" applyFill="1" applyBorder="1" applyAlignment="1">
      <alignment horizontal="center" vertical="center" wrapText="1"/>
    </xf>
    <xf numFmtId="1" fontId="1" fillId="0" borderId="0" xfId="0" applyNumberFormat="1" applyFont="1" applyAlignment="1">
      <alignment horizontal="right"/>
    </xf>
    <xf numFmtId="165" fontId="8" fillId="0" borderId="0" xfId="2" applyNumberFormat="1" applyFont="1" applyBorder="1"/>
    <xf numFmtId="0" fontId="0" fillId="0" borderId="0" xfId="0" applyFill="1" applyAlignment="1">
      <alignment horizontal="right"/>
    </xf>
    <xf numFmtId="43" fontId="0" fillId="0" borderId="0" xfId="0" applyNumberFormat="1" applyBorder="1"/>
    <xf numFmtId="9" fontId="0" fillId="0" borderId="0" xfId="0" applyNumberFormat="1" applyBorder="1"/>
    <xf numFmtId="0" fontId="1" fillId="0" borderId="0" xfId="0" applyFont="1" applyAlignment="1">
      <alignment horizontal="right"/>
    </xf>
    <xf numFmtId="165" fontId="1" fillId="0" borderId="2" xfId="2" applyNumberFormat="1" applyFont="1" applyBorder="1"/>
    <xf numFmtId="165" fontId="1" fillId="0" borderId="2" xfId="0" applyNumberFormat="1" applyFont="1" applyBorder="1"/>
    <xf numFmtId="0" fontId="63" fillId="0" borderId="0" xfId="0" applyFont="1"/>
    <xf numFmtId="3" fontId="9" fillId="0" borderId="0" xfId="2" applyNumberFormat="1" applyFont="1" applyBorder="1" applyAlignment="1">
      <alignment horizontal="right"/>
    </xf>
    <xf numFmtId="10" fontId="9" fillId="0" borderId="0" xfId="2" applyNumberFormat="1" applyFont="1" applyBorder="1" applyAlignment="1">
      <alignment horizontal="left"/>
    </xf>
    <xf numFmtId="165" fontId="1" fillId="0" borderId="2" xfId="2" applyNumberFormat="1" applyFont="1" applyFill="1" applyBorder="1"/>
    <xf numFmtId="177" fontId="0" fillId="0" borderId="2" xfId="0" applyNumberFormat="1" applyBorder="1" applyAlignment="1">
      <alignment horizontal="center"/>
    </xf>
    <xf numFmtId="0" fontId="7" fillId="0" borderId="0" xfId="0" applyFont="1" applyBorder="1" applyAlignment="1">
      <alignment horizontal="center" wrapText="1"/>
    </xf>
    <xf numFmtId="0" fontId="64" fillId="0" borderId="0" xfId="0" applyFont="1" applyAlignment="1">
      <alignment horizontal="center" wrapText="1"/>
    </xf>
    <xf numFmtId="0" fontId="5" fillId="0" borderId="0" xfId="0" applyFont="1" applyBorder="1" applyAlignment="1">
      <alignment horizontal="center"/>
    </xf>
    <xf numFmtId="165" fontId="5" fillId="0" borderId="0" xfId="2" applyNumberFormat="1" applyFont="1"/>
    <xf numFmtId="165" fontId="3" fillId="0" borderId="0" xfId="2" applyNumberFormat="1" applyFont="1"/>
    <xf numFmtId="0" fontId="3" fillId="0" borderId="0" xfId="0" applyFont="1"/>
    <xf numFmtId="0" fontId="0" fillId="0" borderId="2" xfId="0" applyFill="1" applyBorder="1" applyAlignment="1">
      <alignment horizontal="right"/>
    </xf>
    <xf numFmtId="165" fontId="11" fillId="0" borderId="0" xfId="2" applyNumberFormat="1" applyFont="1"/>
    <xf numFmtId="165" fontId="4" fillId="0" borderId="0" xfId="2" applyNumberFormat="1" applyFont="1"/>
    <xf numFmtId="0" fontId="0" fillId="0" borderId="0" xfId="0" applyAlignment="1">
      <alignment horizontal="center"/>
    </xf>
    <xf numFmtId="0" fontId="1" fillId="0" borderId="0" xfId="0" applyFont="1" applyBorder="1" applyAlignment="1">
      <alignment horizontal="center"/>
    </xf>
    <xf numFmtId="0" fontId="1" fillId="0" borderId="1" xfId="0" applyFont="1" applyBorder="1"/>
    <xf numFmtId="0" fontId="1"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0" fontId="7" fillId="0" borderId="0" xfId="0" applyFont="1" applyAlignment="1">
      <alignment horizontal="center"/>
    </xf>
    <xf numFmtId="0" fontId="7" fillId="0" borderId="0" xfId="0" applyFont="1" applyBorder="1" applyAlignment="1">
      <alignment horizontal="center"/>
    </xf>
    <xf numFmtId="0" fontId="0" fillId="0" borderId="2" xfId="0" applyBorder="1" applyAlignment="1">
      <alignment horizontal="center" wrapText="1"/>
    </xf>
    <xf numFmtId="43" fontId="11" fillId="0" borderId="2" xfId="0" applyNumberFormat="1" applyFont="1" applyFill="1" applyBorder="1" applyAlignment="1">
      <alignment horizontal="center"/>
    </xf>
    <xf numFmtId="0" fontId="1" fillId="0" borderId="0" xfId="0" applyFont="1" applyBorder="1" applyAlignment="1">
      <alignment horizontal="center"/>
    </xf>
    <xf numFmtId="0" fontId="1" fillId="0" borderId="1" xfId="0" applyFont="1" applyBorder="1"/>
    <xf numFmtId="0" fontId="1" fillId="0" borderId="0" xfId="0" applyFont="1" applyAlignment="1">
      <alignment horizontal="center"/>
    </xf>
    <xf numFmtId="168" fontId="0" fillId="0" borderId="0" xfId="3" applyNumberFormat="1" applyFont="1" applyFill="1" applyBorder="1" applyAlignment="1"/>
    <xf numFmtId="1" fontId="5" fillId="0" borderId="12" xfId="3" applyNumberFormat="1" applyFont="1" applyBorder="1"/>
    <xf numFmtId="2" fontId="0" fillId="0" borderId="3" xfId="0" applyNumberFormat="1" applyBorder="1"/>
    <xf numFmtId="2" fontId="0" fillId="0" borderId="6" xfId="0" applyNumberFormat="1" applyBorder="1"/>
    <xf numFmtId="0" fontId="0" fillId="0" borderId="6" xfId="0" applyBorder="1" applyAlignment="1">
      <alignment horizontal="center" wrapText="1"/>
    </xf>
    <xf numFmtId="43" fontId="0" fillId="0" borderId="0" xfId="0" applyNumberFormat="1" applyAlignment="1">
      <alignment horizontal="left"/>
    </xf>
    <xf numFmtId="165" fontId="0" fillId="0" borderId="0" xfId="0" applyNumberFormat="1" applyFont="1"/>
    <xf numFmtId="2" fontId="0" fillId="0" borderId="9" xfId="0" applyNumberFormat="1" applyBorder="1"/>
    <xf numFmtId="2" fontId="0" fillId="0" borderId="8" xfId="0" applyNumberFormat="1" applyBorder="1"/>
    <xf numFmtId="0" fontId="0" fillId="0" borderId="8" xfId="0" applyBorder="1" applyAlignment="1">
      <alignment horizontal="center" wrapText="1"/>
    </xf>
    <xf numFmtId="165" fontId="1" fillId="0" borderId="0" xfId="2" applyNumberFormat="1" applyFont="1" applyBorder="1"/>
    <xf numFmtId="0" fontId="7" fillId="0" borderId="0" xfId="0" applyFont="1" applyFill="1" applyAlignment="1">
      <alignment horizontal="center" wrapText="1"/>
    </xf>
    <xf numFmtId="177" fontId="0" fillId="0" borderId="0" xfId="0" applyNumberFormat="1"/>
    <xf numFmtId="0" fontId="1" fillId="0" borderId="1" xfId="0" applyFont="1" applyBorder="1" applyAlignment="1">
      <alignment horizontal="center"/>
    </xf>
    <xf numFmtId="165" fontId="1" fillId="0" borderId="0" xfId="2" applyNumberFormat="1" applyFont="1" applyBorder="1" applyAlignment="1">
      <alignment horizontal="center"/>
    </xf>
    <xf numFmtId="165" fontId="1" fillId="0" borderId="0" xfId="2" applyNumberFormat="1" applyFont="1" applyBorder="1" applyAlignment="1"/>
    <xf numFmtId="2" fontId="0" fillId="0" borderId="5" xfId="0" applyNumberFormat="1" applyBorder="1"/>
    <xf numFmtId="2" fontId="0" fillId="0" borderId="53" xfId="0" applyNumberFormat="1" applyBorder="1"/>
    <xf numFmtId="2" fontId="0" fillId="0" borderId="13" xfId="0" applyNumberFormat="1" applyBorder="1"/>
    <xf numFmtId="2" fontId="0" fillId="0" borderId="80" xfId="0" applyNumberFormat="1" applyBorder="1"/>
    <xf numFmtId="10" fontId="65" fillId="0" borderId="54" xfId="3" applyNumberFormat="1" applyFont="1" applyBorder="1"/>
    <xf numFmtId="10" fontId="65" fillId="0" borderId="11" xfId="3" applyNumberFormat="1" applyFont="1" applyBorder="1"/>
    <xf numFmtId="0" fontId="65" fillId="0" borderId="11" xfId="0" applyFont="1" applyBorder="1"/>
    <xf numFmtId="0" fontId="11" fillId="0" borderId="5" xfId="0" applyFont="1" applyBorder="1" applyAlignment="1">
      <alignment horizontal="center" wrapText="1"/>
    </xf>
    <xf numFmtId="0" fontId="11" fillId="0" borderId="24" xfId="0" applyFont="1" applyBorder="1" applyAlignment="1">
      <alignment horizontal="center" wrapText="1"/>
    </xf>
    <xf numFmtId="0" fontId="11" fillId="0" borderId="0" xfId="0" applyFont="1"/>
    <xf numFmtId="165" fontId="1" fillId="0" borderId="0" xfId="2" applyNumberFormat="1" applyFont="1" applyAlignment="1">
      <alignment horizontal="center"/>
    </xf>
    <xf numFmtId="1" fontId="1" fillId="0" borderId="0" xfId="0" applyNumberFormat="1" applyFont="1" applyBorder="1"/>
    <xf numFmtId="1" fontId="1" fillId="0" borderId="0" xfId="0" applyNumberFormat="1" applyFont="1" applyBorder="1" applyAlignment="1">
      <alignment horizontal="right"/>
    </xf>
    <xf numFmtId="0" fontId="65" fillId="0" borderId="0" xfId="0" applyFont="1" applyBorder="1"/>
    <xf numFmtId="10" fontId="65" fillId="0" borderId="54" xfId="3" applyNumberFormat="1" applyFont="1" applyBorder="1" applyAlignment="1">
      <alignment horizontal="center"/>
    </xf>
    <xf numFmtId="10" fontId="65" fillId="0" borderId="12" xfId="3" applyNumberFormat="1" applyFont="1" applyBorder="1" applyAlignment="1">
      <alignment horizontal="center"/>
    </xf>
    <xf numFmtId="43" fontId="11" fillId="0" borderId="0" xfId="0" applyNumberFormat="1" applyFont="1" applyFill="1" applyBorder="1" applyAlignment="1">
      <alignment horizontal="center"/>
    </xf>
    <xf numFmtId="10" fontId="65" fillId="0" borderId="54" xfId="3" applyNumberFormat="1" applyFont="1" applyFill="1" applyBorder="1"/>
    <xf numFmtId="10" fontId="65" fillId="0" borderId="12" xfId="3" applyNumberFormat="1" applyFont="1" applyFill="1" applyBorder="1"/>
    <xf numFmtId="0" fontId="0" fillId="0" borderId="10" xfId="0" applyBorder="1"/>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center" wrapText="1"/>
    </xf>
    <xf numFmtId="0" fontId="64" fillId="0" borderId="0" xfId="0" applyFont="1" applyAlignment="1">
      <alignment horizontal="center" wrapText="1"/>
    </xf>
    <xf numFmtId="0" fontId="7" fillId="0" borderId="0" xfId="0" applyFont="1" applyBorder="1" applyAlignment="1">
      <alignment horizontal="center"/>
    </xf>
    <xf numFmtId="0" fontId="23" fillId="7" borderId="11" xfId="0" applyFont="1" applyFill="1" applyBorder="1" applyAlignment="1">
      <alignment horizontal="center"/>
    </xf>
    <xf numFmtId="0" fontId="7" fillId="0" borderId="0" xfId="0" applyFont="1" applyAlignment="1">
      <alignment horizontal="center"/>
    </xf>
    <xf numFmtId="0" fontId="7" fillId="0" borderId="9" xfId="0" applyFont="1" applyBorder="1" applyAlignment="1">
      <alignment horizontal="center"/>
    </xf>
    <xf numFmtId="0" fontId="23" fillId="7" borderId="11" xfId="0" applyFont="1" applyFill="1" applyBorder="1" applyAlignment="1">
      <alignment horizontal="left"/>
    </xf>
    <xf numFmtId="0" fontId="1" fillId="7" borderId="2" xfId="0" applyFont="1" applyFill="1" applyBorder="1" applyAlignment="1">
      <alignment horizontal="center"/>
    </xf>
    <xf numFmtId="2" fontId="0" fillId="0" borderId="0" xfId="0" applyNumberFormat="1" applyBorder="1"/>
    <xf numFmtId="0" fontId="11" fillId="0" borderId="3" xfId="0" applyFont="1" applyBorder="1" applyAlignment="1">
      <alignment horizontal="center" wrapText="1"/>
    </xf>
    <xf numFmtId="0" fontId="11" fillId="0" borderId="9" xfId="0" applyFont="1" applyBorder="1" applyAlignment="1">
      <alignment horizontal="center" wrapText="1"/>
    </xf>
    <xf numFmtId="173" fontId="0" fillId="0" borderId="0" xfId="0" applyNumberFormat="1" applyBorder="1"/>
    <xf numFmtId="10" fontId="1" fillId="0" borderId="0" xfId="3" applyNumberFormat="1" applyFont="1" applyBorder="1"/>
    <xf numFmtId="0" fontId="0" fillId="0" borderId="10" xfId="0" applyBorder="1" applyAlignment="1">
      <alignment horizontal="right"/>
    </xf>
    <xf numFmtId="0" fontId="0" fillId="13" borderId="0" xfId="0" applyFill="1"/>
    <xf numFmtId="0" fontId="1" fillId="13" borderId="0" xfId="0" applyFont="1" applyFill="1" applyBorder="1"/>
    <xf numFmtId="0" fontId="0" fillId="13" borderId="0" xfId="0" applyFill="1" applyAlignment="1">
      <alignment horizontal="center"/>
    </xf>
    <xf numFmtId="0" fontId="0" fillId="13" borderId="0" xfId="0" applyFill="1" applyBorder="1" applyAlignment="1">
      <alignment horizontal="center"/>
    </xf>
    <xf numFmtId="0" fontId="0" fillId="0" borderId="2" xfId="0" applyBorder="1" applyAlignment="1">
      <alignment horizontal="left"/>
    </xf>
    <xf numFmtId="166" fontId="0" fillId="0" borderId="0" xfId="2" applyNumberFormat="1" applyFont="1" applyAlignment="1">
      <alignment horizontal="right"/>
    </xf>
    <xf numFmtId="166" fontId="0" fillId="0" borderId="0" xfId="0" applyNumberFormat="1" applyAlignment="1">
      <alignment horizontal="right"/>
    </xf>
    <xf numFmtId="10" fontId="5" fillId="0" borderId="0" xfId="0" applyNumberFormat="1" applyFont="1" applyBorder="1" applyAlignment="1">
      <alignment horizontal="center"/>
    </xf>
    <xf numFmtId="0" fontId="0" fillId="0" borderId="0" xfId="0" applyFill="1" applyBorder="1" applyAlignment="1">
      <alignment horizontal="center"/>
    </xf>
    <xf numFmtId="0" fontId="26"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7" fillId="0" borderId="2" xfId="0" applyFont="1" applyFill="1" applyBorder="1" applyAlignment="1">
      <alignment horizontal="center"/>
    </xf>
    <xf numFmtId="166" fontId="0" fillId="0" borderId="0" xfId="0" applyNumberFormat="1" applyFont="1" applyFill="1" applyBorder="1" applyAlignment="1">
      <alignment horizontal="center" vertical="center"/>
    </xf>
    <xf numFmtId="0" fontId="27" fillId="14" borderId="1" xfId="0" applyFont="1" applyFill="1" applyBorder="1"/>
    <xf numFmtId="1" fontId="1" fillId="0" borderId="0" xfId="0" applyNumberFormat="1" applyFont="1" applyFill="1" applyAlignment="1">
      <alignment horizontal="right"/>
    </xf>
    <xf numFmtId="10" fontId="0" fillId="0" borderId="0" xfId="3" applyNumberFormat="1" applyFont="1" applyFill="1"/>
    <xf numFmtId="43" fontId="0" fillId="0" borderId="0" xfId="0" applyNumberFormat="1" applyFill="1"/>
    <xf numFmtId="10" fontId="0" fillId="0" borderId="2" xfId="3" applyNumberFormat="1" applyFont="1" applyFill="1" applyBorder="1"/>
    <xf numFmtId="10" fontId="5" fillId="0" borderId="57" xfId="3" applyNumberFormat="1" applyFont="1" applyFill="1" applyBorder="1" applyAlignment="1"/>
    <xf numFmtId="10" fontId="5" fillId="0" borderId="83" xfId="3" applyNumberFormat="1" applyFont="1" applyFill="1" applyBorder="1" applyAlignment="1"/>
    <xf numFmtId="0" fontId="8" fillId="0" borderId="0" xfId="0" applyFont="1" applyFill="1"/>
    <xf numFmtId="3" fontId="8" fillId="0" borderId="0" xfId="2" applyNumberFormat="1" applyFont="1" applyBorder="1" applyAlignment="1">
      <alignment horizontal="center"/>
    </xf>
    <xf numFmtId="0" fontId="23" fillId="14" borderId="11" xfId="0" applyFont="1" applyFill="1" applyBorder="1" applyAlignment="1">
      <alignment horizontal="center"/>
    </xf>
    <xf numFmtId="0" fontId="42" fillId="14" borderId="11" xfId="0" applyFont="1" applyFill="1" applyBorder="1" applyAlignment="1">
      <alignment horizontal="left"/>
    </xf>
    <xf numFmtId="165" fontId="0" fillId="0" borderId="8" xfId="2" applyNumberFormat="1" applyFont="1" applyBorder="1"/>
    <xf numFmtId="10" fontId="5" fillId="0" borderId="12" xfId="0" applyNumberFormat="1" applyFont="1" applyBorder="1" applyAlignment="1">
      <alignment horizontal="center"/>
    </xf>
    <xf numFmtId="0" fontId="0" fillId="0" borderId="2" xfId="0" applyFont="1" applyFill="1" applyBorder="1" applyAlignment="1">
      <alignment horizontal="center" vertical="center" wrapText="1"/>
    </xf>
    <xf numFmtId="0" fontId="7" fillId="0" borderId="0" xfId="0" applyFont="1" applyAlignment="1">
      <alignment horizontal="center"/>
    </xf>
    <xf numFmtId="49" fontId="0" fillId="0" borderId="4" xfId="0" applyNumberFormat="1" applyBorder="1" applyAlignment="1">
      <alignment horizontal="center" vertical="center"/>
    </xf>
    <xf numFmtId="0" fontId="26" fillId="0" borderId="0" xfId="0" applyFont="1" applyFill="1" applyBorder="1" applyAlignment="1">
      <alignment horizontal="left" vertical="center"/>
    </xf>
    <xf numFmtId="0" fontId="0" fillId="0" borderId="0" xfId="0" applyBorder="1" applyAlignment="1">
      <alignment vertical="center"/>
    </xf>
    <xf numFmtId="0" fontId="33" fillId="0" borderId="4" xfId="0" applyFont="1"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26" fillId="0" borderId="2" xfId="0" applyFont="1" applyBorder="1"/>
    <xf numFmtId="0" fontId="27" fillId="0" borderId="2" xfId="0" applyFont="1" applyFill="1" applyBorder="1" applyAlignment="1">
      <alignment horizontal="lef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66" fillId="0" borderId="23" xfId="0" applyFont="1" applyBorder="1"/>
    <xf numFmtId="0" fontId="66" fillId="0" borderId="0" xfId="0" applyFont="1" applyFill="1" applyBorder="1" applyAlignment="1">
      <alignment horizontal="left" vertical="center"/>
    </xf>
    <xf numFmtId="0" fontId="66" fillId="0" borderId="0" xfId="0" applyFont="1" applyBorder="1" applyAlignment="1">
      <alignment vertical="center"/>
    </xf>
    <xf numFmtId="0" fontId="66" fillId="0" borderId="0" xfId="0" applyFont="1" applyFill="1" applyBorder="1" applyAlignment="1">
      <alignment horizontal="center" vertical="center"/>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66" fillId="0" borderId="0" xfId="0" applyFont="1" applyBorder="1"/>
    <xf numFmtId="0" fontId="66" fillId="0" borderId="0" xfId="0" applyFont="1" applyFill="1" applyBorder="1"/>
    <xf numFmtId="0" fontId="67" fillId="0" borderId="0" xfId="0" applyFont="1" applyFill="1" applyBorder="1" applyAlignment="1">
      <alignment horizontal="center" vertical="center" wrapText="1"/>
    </xf>
    <xf numFmtId="0" fontId="66" fillId="0" borderId="22" xfId="0" applyFont="1" applyBorder="1"/>
    <xf numFmtId="0" fontId="66" fillId="0" borderId="0" xfId="0" applyFont="1"/>
    <xf numFmtId="0" fontId="66" fillId="0" borderId="2" xfId="0" applyFont="1" applyFill="1" applyBorder="1" applyAlignment="1">
      <alignment horizontal="center" vertical="center"/>
    </xf>
    <xf numFmtId="0" fontId="66" fillId="0" borderId="2" xfId="0" applyFont="1" applyFill="1" applyBorder="1" applyAlignment="1">
      <alignment horizontal="center" vertical="center" wrapText="1"/>
    </xf>
    <xf numFmtId="0" fontId="67" fillId="0" borderId="2" xfId="0" applyFont="1" applyFill="1" applyBorder="1" applyAlignment="1">
      <alignment horizontal="center" vertical="center"/>
    </xf>
    <xf numFmtId="0" fontId="66" fillId="0" borderId="2" xfId="0" applyFont="1" applyBorder="1"/>
    <xf numFmtId="0" fontId="66" fillId="0" borderId="2" xfId="0" applyFont="1" applyFill="1" applyBorder="1"/>
    <xf numFmtId="0" fontId="67" fillId="0" borderId="2" xfId="0" applyFont="1" applyFill="1" applyBorder="1" applyAlignment="1">
      <alignment horizontal="center" vertical="center" wrapText="1"/>
    </xf>
    <xf numFmtId="166" fontId="66" fillId="0" borderId="0" xfId="0" applyNumberFormat="1" applyFont="1" applyFill="1" applyBorder="1" applyAlignment="1">
      <alignment horizontal="center" vertical="center"/>
    </xf>
    <xf numFmtId="0" fontId="66" fillId="0" borderId="0" xfId="0" applyFont="1" applyFill="1" applyBorder="1" applyAlignment="1">
      <alignment horizontal="center"/>
    </xf>
    <xf numFmtId="166" fontId="67" fillId="0" borderId="0" xfId="0" applyNumberFormat="1" applyFont="1" applyFill="1" applyBorder="1" applyAlignment="1">
      <alignment horizontal="center" vertical="center"/>
    </xf>
    <xf numFmtId="168" fontId="67" fillId="0" borderId="2" xfId="3" applyNumberFormat="1" applyFont="1" applyFill="1" applyBorder="1" applyAlignment="1">
      <alignment horizontal="center" vertical="center" wrapText="1"/>
    </xf>
    <xf numFmtId="0" fontId="0" fillId="0" borderId="2" xfId="0" applyFont="1" applyFill="1" applyBorder="1" applyAlignment="1">
      <alignment horizontal="left" vertical="top" wrapText="1"/>
    </xf>
    <xf numFmtId="0" fontId="8" fillId="0" borderId="2" xfId="0" applyFont="1" applyBorder="1"/>
    <xf numFmtId="0" fontId="4" fillId="0" borderId="0" xfId="0" applyFont="1" applyAlignment="1">
      <alignment horizontal="right"/>
    </xf>
    <xf numFmtId="165" fontId="4" fillId="0" borderId="2" xfId="2" applyNumberFormat="1" applyFont="1" applyBorder="1"/>
    <xf numFmtId="0" fontId="9" fillId="0" borderId="5" xfId="0" applyFont="1" applyBorder="1"/>
    <xf numFmtId="0" fontId="9" fillId="0" borderId="4" xfId="0" applyFont="1" applyBorder="1" applyAlignment="1">
      <alignment horizontal="right"/>
    </xf>
    <xf numFmtId="0" fontId="9" fillId="0" borderId="3" xfId="0" applyFont="1" applyBorder="1"/>
    <xf numFmtId="0" fontId="9" fillId="0" borderId="0" xfId="0" applyFont="1" applyAlignment="1">
      <alignment horizontal="right"/>
    </xf>
    <xf numFmtId="10" fontId="9" fillId="0" borderId="0" xfId="0" applyNumberFormat="1" applyFont="1"/>
    <xf numFmtId="0" fontId="9" fillId="0" borderId="6" xfId="0" applyFont="1" applyBorder="1"/>
    <xf numFmtId="0" fontId="4" fillId="0" borderId="2" xfId="0" applyFont="1" applyBorder="1" applyAlignment="1">
      <alignment horizontal="right"/>
    </xf>
    <xf numFmtId="0" fontId="0" fillId="15" borderId="0" xfId="0" applyFill="1"/>
    <xf numFmtId="0" fontId="0" fillId="0" borderId="2" xfId="0" applyFont="1" applyFill="1" applyBorder="1" applyAlignment="1">
      <alignment horizontal="center" vertical="center"/>
    </xf>
    <xf numFmtId="0" fontId="0" fillId="0" borderId="2" xfId="0" applyFont="1" applyFill="1" applyBorder="1" applyAlignment="1">
      <alignment horizontal="left" vertical="center"/>
    </xf>
    <xf numFmtId="0" fontId="0" fillId="0" borderId="2" xfId="0" applyFont="1" applyFill="1" applyBorder="1" applyAlignment="1">
      <alignment vertical="center"/>
    </xf>
    <xf numFmtId="3" fontId="8" fillId="0" borderId="16" xfId="2" applyNumberFormat="1" applyFont="1" applyBorder="1" applyAlignment="1">
      <alignment horizontal="center"/>
    </xf>
    <xf numFmtId="0" fontId="25" fillId="0" borderId="0" xfId="0" applyFont="1"/>
    <xf numFmtId="0" fontId="0" fillId="0" borderId="0" xfId="0" applyAlignment="1">
      <alignment horizontal="center"/>
    </xf>
    <xf numFmtId="0" fontId="1" fillId="0" borderId="27" xfId="0" applyFont="1" applyBorder="1" applyAlignment="1">
      <alignment horizontal="left" indent="3"/>
    </xf>
    <xf numFmtId="0" fontId="0" fillId="0" borderId="0" xfId="0" applyBorder="1" applyAlignment="1">
      <alignment horizontal="center"/>
    </xf>
    <xf numFmtId="0" fontId="0" fillId="0" borderId="0" xfId="0" applyBorder="1" applyAlignment="1">
      <alignment horizontal="center" wrapText="1"/>
    </xf>
    <xf numFmtId="0" fontId="64" fillId="0" borderId="0" xfId="0" applyFont="1" applyAlignment="1">
      <alignment horizontal="center" wrapText="1"/>
    </xf>
    <xf numFmtId="0" fontId="7" fillId="0" borderId="0" xfId="0" applyFont="1" applyBorder="1" applyAlignment="1">
      <alignment horizontal="center"/>
    </xf>
    <xf numFmtId="0" fontId="23" fillId="7" borderId="11" xfId="0" applyFont="1" applyFill="1" applyBorder="1" applyAlignment="1">
      <alignment horizontal="center"/>
    </xf>
    <xf numFmtId="0" fontId="7" fillId="0" borderId="9" xfId="0" applyFont="1" applyBorder="1" applyAlignment="1">
      <alignment horizontal="center"/>
    </xf>
    <xf numFmtId="0" fontId="7" fillId="0" borderId="0" xfId="0" applyFont="1" applyAlignment="1">
      <alignment horizontal="center"/>
    </xf>
    <xf numFmtId="0" fontId="23" fillId="7" borderId="11" xfId="0" applyFont="1" applyFill="1" applyBorder="1" applyAlignment="1">
      <alignment horizontal="left"/>
    </xf>
    <xf numFmtId="0" fontId="9" fillId="0" borderId="0" xfId="0" applyFont="1" applyFill="1"/>
    <xf numFmtId="10" fontId="65" fillId="0" borderId="0" xfId="3" applyNumberFormat="1" applyFont="1" applyFill="1" applyBorder="1"/>
    <xf numFmtId="2" fontId="0" fillId="0" borderId="53" xfId="0" applyNumberFormat="1" applyFont="1" applyBorder="1"/>
    <xf numFmtId="0" fontId="0" fillId="0" borderId="0" xfId="0" applyFont="1"/>
    <xf numFmtId="2" fontId="0" fillId="0" borderId="13" xfId="0" applyNumberFormat="1" applyFont="1" applyBorder="1"/>
    <xf numFmtId="2" fontId="0" fillId="0" borderId="80" xfId="0" applyNumberFormat="1" applyFont="1" applyBorder="1"/>
    <xf numFmtId="2" fontId="0" fillId="0" borderId="0" xfId="0" applyNumberFormat="1" applyFont="1"/>
    <xf numFmtId="2" fontId="0" fillId="0" borderId="3" xfId="0" applyNumberFormat="1" applyFill="1" applyBorder="1"/>
    <xf numFmtId="2" fontId="0" fillId="0" borderId="80" xfId="0" applyNumberFormat="1" applyFill="1" applyBorder="1"/>
    <xf numFmtId="0" fontId="31" fillId="0" borderId="16" xfId="0" applyFont="1" applyBorder="1"/>
    <xf numFmtId="3" fontId="0" fillId="0" borderId="16" xfId="2" applyNumberFormat="1" applyFont="1" applyBorder="1" applyAlignment="1">
      <alignment horizontal="center"/>
    </xf>
    <xf numFmtId="170" fontId="0" fillId="0" borderId="0" xfId="3" applyNumberFormat="1" applyFont="1" applyBorder="1"/>
    <xf numFmtId="174" fontId="0" fillId="0" borderId="0" xfId="0" applyNumberFormat="1" applyBorder="1"/>
    <xf numFmtId="0" fontId="0" fillId="0" borderId="0" xfId="0" applyBorder="1" applyAlignment="1">
      <alignment horizontal="center"/>
    </xf>
    <xf numFmtId="0" fontId="7" fillId="0" borderId="0" xfId="0" applyFont="1" applyAlignment="1">
      <alignment horizontal="center"/>
    </xf>
    <xf numFmtId="0" fontId="23" fillId="7" borderId="11" xfId="0" applyFont="1" applyFill="1" applyBorder="1" applyAlignment="1">
      <alignment horizontal="left"/>
    </xf>
    <xf numFmtId="0" fontId="25" fillId="0" borderId="0" xfId="0" applyFont="1"/>
    <xf numFmtId="3" fontId="9" fillId="0" borderId="16" xfId="2" applyNumberFormat="1" applyFont="1" applyBorder="1" applyAlignment="1">
      <alignment horizontal="right"/>
    </xf>
    <xf numFmtId="10" fontId="9" fillId="0" borderId="16" xfId="2" applyNumberFormat="1" applyFont="1" applyBorder="1" applyAlignment="1">
      <alignment horizontal="left"/>
    </xf>
    <xf numFmtId="165" fontId="0" fillId="0" borderId="0" xfId="2" applyNumberFormat="1" applyFont="1" applyFill="1" applyBorder="1"/>
    <xf numFmtId="0" fontId="0" fillId="0" borderId="3" xfId="0" applyBorder="1" applyAlignment="1">
      <alignment horizontal="center"/>
    </xf>
    <xf numFmtId="165" fontId="0" fillId="0" borderId="3" xfId="2" applyNumberFormat="1" applyFont="1" applyBorder="1"/>
    <xf numFmtId="165" fontId="0" fillId="0" borderId="6" xfId="2" applyNumberFormat="1" applyFont="1" applyBorder="1"/>
    <xf numFmtId="1" fontId="0" fillId="0" borderId="0" xfId="2" applyNumberFormat="1" applyFont="1" applyBorder="1" applyAlignment="1">
      <alignment horizontal="center"/>
    </xf>
    <xf numFmtId="3" fontId="69" fillId="0" borderId="0" xfId="0" applyNumberFormat="1" applyFont="1" applyAlignment="1">
      <alignment horizontal="center" vertical="center" wrapText="1"/>
    </xf>
    <xf numFmtId="3" fontId="69" fillId="0" borderId="16" xfId="0" applyNumberFormat="1" applyFont="1" applyBorder="1" applyAlignment="1">
      <alignment horizontal="center" vertical="center" wrapText="1"/>
    </xf>
    <xf numFmtId="3" fontId="69" fillId="0" borderId="0" xfId="0" applyNumberFormat="1" applyFont="1" applyFill="1" applyAlignment="1">
      <alignment horizontal="center" vertical="center" wrapText="1"/>
    </xf>
    <xf numFmtId="165" fontId="0" fillId="0" borderId="2" xfId="0" applyNumberFormat="1" applyFill="1" applyBorder="1" applyAlignment="1">
      <alignment horizontal="center"/>
    </xf>
    <xf numFmtId="0" fontId="57" fillId="0" borderId="9" xfId="0" applyFont="1" applyFill="1" applyBorder="1" applyAlignment="1">
      <alignment horizontal="left" wrapText="1"/>
    </xf>
    <xf numFmtId="0" fontId="0" fillId="0" borderId="9" xfId="0" applyFont="1" applyFill="1" applyBorder="1"/>
    <xf numFmtId="0" fontId="0" fillId="0" borderId="2" xfId="0" applyFont="1" applyFill="1" applyBorder="1"/>
    <xf numFmtId="0" fontId="0" fillId="0" borderId="8" xfId="0" applyFont="1" applyFill="1" applyBorder="1"/>
    <xf numFmtId="9" fontId="0" fillId="0" borderId="23" xfId="3" applyFont="1" applyBorder="1" applyAlignment="1">
      <alignment horizontal="center"/>
    </xf>
    <xf numFmtId="0" fontId="58" fillId="0" borderId="0" xfId="0" applyFont="1" applyFill="1" applyBorder="1" applyAlignment="1">
      <alignment horizontal="center"/>
    </xf>
    <xf numFmtId="3" fontId="25" fillId="0" borderId="0" xfId="2" applyNumberFormat="1" applyFont="1" applyAlignment="1">
      <alignment horizontal="left" indent="3"/>
    </xf>
    <xf numFmtId="3" fontId="25" fillId="0" borderId="0" xfId="2" applyNumberFormat="1" applyFont="1" applyAlignment="1"/>
    <xf numFmtId="3" fontId="25" fillId="0" borderId="0" xfId="2" applyNumberFormat="1" applyFont="1" applyAlignment="1">
      <alignment horizontal="center"/>
    </xf>
    <xf numFmtId="0" fontId="0" fillId="0" borderId="0" xfId="0" applyBorder="1" applyAlignment="1">
      <alignment horizontal="left" wrapText="1" indent="5"/>
    </xf>
    <xf numFmtId="0" fontId="0" fillId="0" borderId="15" xfId="0" applyBorder="1" applyAlignment="1">
      <alignment horizontal="left" wrapText="1" indent="5"/>
    </xf>
    <xf numFmtId="0" fontId="5" fillId="0" borderId="0" xfId="0" applyFont="1" applyBorder="1" applyAlignment="1">
      <alignment horizontal="center" wrapText="1"/>
    </xf>
    <xf numFmtId="0" fontId="1" fillId="0" borderId="1" xfId="0" applyFont="1" applyBorder="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3" xfId="0" applyFont="1" applyBorder="1" applyAlignment="1">
      <alignment horizontal="center" vertical="center"/>
    </xf>
    <xf numFmtId="0" fontId="1" fillId="0" borderId="0"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23" xfId="0" applyFont="1" applyBorder="1" applyAlignment="1">
      <alignment horizontal="left" vertical="center"/>
    </xf>
    <xf numFmtId="0" fontId="0" fillId="7" borderId="19" xfId="0" applyFill="1" applyBorder="1"/>
    <xf numFmtId="0" fontId="0" fillId="7" borderId="18" xfId="0" applyFill="1" applyBorder="1"/>
    <xf numFmtId="0" fontId="11" fillId="7" borderId="20" xfId="0" applyFont="1" applyFill="1" applyBorder="1"/>
    <xf numFmtId="0" fontId="53" fillId="0" borderId="0" xfId="0" applyFont="1" applyAlignment="1">
      <alignment horizontal="left" vertical="top" wrapText="1"/>
    </xf>
    <xf numFmtId="0" fontId="38" fillId="0" borderId="0" xfId="0" applyFont="1" applyBorder="1" applyAlignment="1">
      <alignment horizontal="center" vertical="center"/>
    </xf>
    <xf numFmtId="0" fontId="38" fillId="0" borderId="87" xfId="0" applyFont="1" applyBorder="1" applyAlignment="1">
      <alignment horizontal="center" vertical="center"/>
    </xf>
    <xf numFmtId="0" fontId="37" fillId="0" borderId="0" xfId="0" applyFont="1" applyBorder="1" applyAlignment="1">
      <alignment horizontal="center" vertical="center"/>
    </xf>
    <xf numFmtId="3" fontId="1" fillId="0" borderId="0" xfId="0" applyNumberFormat="1" applyFont="1" applyBorder="1" applyAlignment="1">
      <alignment horizontal="center" vertical="center"/>
    </xf>
    <xf numFmtId="0" fontId="0" fillId="0" borderId="23" xfId="0" applyFont="1" applyBorder="1" applyAlignment="1">
      <alignment horizontal="right" vertical="center"/>
    </xf>
    <xf numFmtId="0" fontId="1" fillId="0" borderId="22" xfId="0" applyFont="1" applyBorder="1" applyAlignment="1">
      <alignment horizontal="center" vertical="center"/>
    </xf>
    <xf numFmtId="3" fontId="1" fillId="0" borderId="22" xfId="0" applyNumberFormat="1" applyFont="1" applyBorder="1" applyAlignment="1">
      <alignment horizontal="center" vertical="center"/>
    </xf>
    <xf numFmtId="0" fontId="1" fillId="0" borderId="14" xfId="0" applyFont="1" applyBorder="1" applyAlignment="1">
      <alignment horizontal="center" vertical="center"/>
    </xf>
    <xf numFmtId="0" fontId="1" fillId="0" borderId="58" xfId="0" applyFont="1" applyBorder="1" applyAlignment="1">
      <alignment horizontal="center" vertical="center"/>
    </xf>
    <xf numFmtId="4" fontId="38" fillId="0" borderId="23" xfId="3" applyNumberFormat="1" applyFont="1" applyBorder="1" applyAlignment="1">
      <alignment horizontal="center" vertical="center"/>
    </xf>
    <xf numFmtId="3" fontId="1" fillId="0" borderId="3" xfId="0" applyNumberFormat="1" applyFont="1" applyBorder="1" applyAlignment="1">
      <alignment horizontal="center" vertical="center"/>
    </xf>
    <xf numFmtId="0" fontId="0" fillId="0" borderId="78" xfId="0" applyBorder="1"/>
    <xf numFmtId="0" fontId="1" fillId="0" borderId="25" xfId="0" applyFont="1" applyBorder="1" applyAlignment="1">
      <alignment horizontal="center" vertical="center"/>
    </xf>
    <xf numFmtId="164" fontId="38" fillId="0" borderId="9" xfId="3" applyNumberFormat="1" applyFont="1" applyBorder="1" applyAlignment="1">
      <alignment horizontal="center" vertical="center"/>
    </xf>
    <xf numFmtId="3" fontId="1" fillId="0" borderId="9" xfId="0" applyNumberFormat="1" applyFont="1" applyBorder="1" applyAlignment="1">
      <alignment horizontal="center" vertical="center"/>
    </xf>
    <xf numFmtId="0" fontId="1" fillId="0" borderId="9" xfId="0" applyFont="1" applyBorder="1" applyAlignment="1">
      <alignment horizontal="center" vertical="center"/>
    </xf>
    <xf numFmtId="0" fontId="0" fillId="0" borderId="79" xfId="0" applyBorder="1"/>
    <xf numFmtId="0" fontId="1" fillId="0" borderId="80" xfId="0" applyFont="1" applyBorder="1" applyAlignment="1">
      <alignment horizontal="center" vertical="center"/>
    </xf>
    <xf numFmtId="0" fontId="1" fillId="0" borderId="13" xfId="0" applyFont="1" applyBorder="1" applyAlignment="1">
      <alignment horizontal="center" vertical="center"/>
    </xf>
    <xf numFmtId="10" fontId="37" fillId="0" borderId="13" xfId="0" applyNumberFormat="1" applyFont="1" applyBorder="1" applyAlignment="1">
      <alignment horizontal="center" vertical="center"/>
    </xf>
    <xf numFmtId="3" fontId="1" fillId="0" borderId="13" xfId="0" applyNumberFormat="1" applyFont="1" applyBorder="1" applyAlignment="1">
      <alignment horizontal="center" vertical="center"/>
    </xf>
    <xf numFmtId="0" fontId="0" fillId="0" borderId="88" xfId="0" applyBorder="1"/>
    <xf numFmtId="0" fontId="0" fillId="0" borderId="60" xfId="0" applyFont="1" applyBorder="1" applyAlignment="1">
      <alignment horizontal="right" vertical="center"/>
    </xf>
    <xf numFmtId="2" fontId="0" fillId="0" borderId="2" xfId="0" applyNumberFormat="1" applyBorder="1" applyAlignment="1">
      <alignment horizontal="center"/>
    </xf>
    <xf numFmtId="10" fontId="0" fillId="0" borderId="2" xfId="3" applyNumberFormat="1" applyFont="1" applyBorder="1" applyAlignment="1">
      <alignment horizontal="center"/>
    </xf>
    <xf numFmtId="0" fontId="1" fillId="0" borderId="0" xfId="0" applyFont="1" applyAlignment="1">
      <alignment horizontal="center" wrapText="1"/>
    </xf>
    <xf numFmtId="0" fontId="1" fillId="0" borderId="2" xfId="2" applyNumberFormat="1" applyFont="1" applyBorder="1" applyAlignment="1">
      <alignment horizontal="center"/>
    </xf>
    <xf numFmtId="10" fontId="3" fillId="0" borderId="61" xfId="3" applyNumberFormat="1" applyFont="1" applyFill="1" applyBorder="1"/>
    <xf numFmtId="0" fontId="35" fillId="0" borderId="0" xfId="0" applyFont="1" applyBorder="1" applyAlignment="1">
      <alignment horizontal="left" wrapText="1"/>
    </xf>
    <xf numFmtId="178" fontId="0" fillId="0" borderId="0" xfId="0" applyNumberFormat="1" applyAlignment="1">
      <alignment horizontal="left"/>
    </xf>
    <xf numFmtId="0" fontId="71" fillId="0" borderId="16" xfId="0" applyFont="1" applyBorder="1"/>
    <xf numFmtId="168" fontId="25" fillId="0" borderId="0" xfId="3" applyNumberFormat="1" applyFont="1" applyFill="1" applyBorder="1" applyAlignment="1">
      <alignment horizontal="center" vertical="center" wrapText="1"/>
    </xf>
    <xf numFmtId="168" fontId="25" fillId="0" borderId="2" xfId="3" applyNumberFormat="1" applyFont="1" applyFill="1" applyBorder="1" applyAlignment="1">
      <alignment horizontal="center" vertical="center" wrapText="1"/>
    </xf>
    <xf numFmtId="10" fontId="25" fillId="0" borderId="0" xfId="3" applyNumberFormat="1" applyFont="1" applyFill="1" applyBorder="1" applyAlignment="1">
      <alignment horizontal="center" vertical="center" wrapText="1"/>
    </xf>
    <xf numFmtId="10" fontId="25" fillId="0" borderId="2" xfId="3"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0" fillId="0" borderId="0" xfId="0" applyAlignment="1"/>
    <xf numFmtId="0" fontId="0" fillId="0" borderId="0" xfId="0" applyBorder="1" applyAlignment="1">
      <alignment horizontal="left" vertical="top" wrapText="1"/>
    </xf>
    <xf numFmtId="0" fontId="25" fillId="0" borderId="0" xfId="0" applyFont="1" applyBorder="1" applyAlignment="1">
      <alignment horizontal="center" vertical="center" wrapText="1"/>
    </xf>
    <xf numFmtId="0" fontId="58" fillId="0" borderId="0" xfId="0" applyFont="1" applyFill="1" applyBorder="1" applyAlignment="1">
      <alignment vertical="top"/>
    </xf>
    <xf numFmtId="0" fontId="58" fillId="0" borderId="0" xfId="0" applyFont="1" applyFill="1" applyBorder="1" applyAlignment="1">
      <alignment vertical="top" wrapText="1"/>
    </xf>
    <xf numFmtId="0" fontId="58" fillId="0" borderId="0" xfId="0" applyFont="1" applyFill="1" applyBorder="1" applyAlignment="1">
      <alignment horizontal="center" vertical="top"/>
    </xf>
    <xf numFmtId="0" fontId="58" fillId="0" borderId="0" xfId="0" applyFont="1" applyFill="1" applyBorder="1" applyAlignment="1">
      <alignment horizontal="center" vertical="top" wrapText="1"/>
    </xf>
    <xf numFmtId="168" fontId="31" fillId="0" borderId="0" xfId="3" applyNumberFormat="1" applyFont="1" applyFill="1" applyBorder="1" applyAlignment="1">
      <alignment horizontal="center" vertical="top" wrapText="1"/>
    </xf>
    <xf numFmtId="0" fontId="58" fillId="0" borderId="2" xfId="0" applyFont="1" applyFill="1" applyBorder="1" applyAlignment="1">
      <alignment vertical="top"/>
    </xf>
    <xf numFmtId="0" fontId="31" fillId="0" borderId="0" xfId="0" applyFont="1" applyFill="1" applyBorder="1" applyAlignment="1">
      <alignment horizontal="center" vertical="top" wrapText="1"/>
    </xf>
    <xf numFmtId="168" fontId="25" fillId="0" borderId="0" xfId="3" applyNumberFormat="1" applyFont="1" applyFill="1" applyBorder="1" applyAlignment="1">
      <alignment horizontal="right" vertical="center" wrapText="1"/>
    </xf>
    <xf numFmtId="168" fontId="25" fillId="0" borderId="2" xfId="3" applyNumberFormat="1" applyFont="1" applyFill="1" applyBorder="1" applyAlignment="1">
      <alignment horizontal="right" vertical="center" wrapText="1"/>
    </xf>
    <xf numFmtId="0" fontId="58" fillId="0" borderId="4" xfId="0" applyFont="1" applyFill="1" applyBorder="1" applyAlignment="1">
      <alignment horizontal="center" vertical="top" wrapText="1"/>
    </xf>
    <xf numFmtId="0" fontId="0" fillId="0" borderId="19" xfId="0" applyBorder="1" applyAlignment="1">
      <alignment horizontal="left"/>
    </xf>
    <xf numFmtId="0" fontId="0" fillId="9" borderId="0" xfId="0" applyFill="1" applyBorder="1" applyAlignment="1">
      <alignment horizontal="left"/>
    </xf>
    <xf numFmtId="166" fontId="25" fillId="0" borderId="0" xfId="0" applyNumberFormat="1" applyFont="1" applyFill="1" applyBorder="1" applyAlignment="1">
      <alignment horizontal="left"/>
    </xf>
    <xf numFmtId="0" fontId="58" fillId="0" borderId="0" xfId="0" applyFont="1" applyFill="1" applyBorder="1" applyAlignment="1">
      <alignment horizontal="left"/>
    </xf>
    <xf numFmtId="0" fontId="58" fillId="0" borderId="5" xfId="0" applyFont="1" applyFill="1" applyBorder="1" applyAlignment="1"/>
    <xf numFmtId="0" fontId="58" fillId="0" borderId="4" xfId="0" applyFont="1" applyFill="1" applyBorder="1" applyAlignment="1">
      <alignment horizontal="center"/>
    </xf>
    <xf numFmtId="0" fontId="58" fillId="0" borderId="4" xfId="0" applyFont="1" applyFill="1" applyBorder="1" applyAlignment="1"/>
    <xf numFmtId="0" fontId="27" fillId="0" borderId="0" xfId="0" applyFont="1" applyFill="1" applyBorder="1" applyAlignment="1">
      <alignment horizontal="left" vertical="top" indent="2"/>
    </xf>
    <xf numFmtId="0" fontId="35" fillId="0" borderId="0" xfId="0" applyFont="1" applyBorder="1" applyAlignment="1">
      <alignment horizontal="left" wrapText="1"/>
    </xf>
    <xf numFmtId="0" fontId="1" fillId="0" borderId="0" xfId="0" applyFont="1" applyBorder="1" applyAlignment="1">
      <alignment horizontal="center"/>
    </xf>
    <xf numFmtId="3" fontId="29" fillId="4" borderId="54" xfId="0" applyNumberFormat="1" applyFont="1" applyFill="1" applyBorder="1" applyAlignment="1" applyProtection="1">
      <alignment horizontal="center" wrapText="1"/>
      <protection locked="0"/>
    </xf>
    <xf numFmtId="165" fontId="25" fillId="7" borderId="0" xfId="0" applyNumberFormat="1" applyFont="1" applyFill="1" applyBorder="1"/>
    <xf numFmtId="3" fontId="0" fillId="0" borderId="14" xfId="2" applyNumberFormat="1" applyFont="1" applyBorder="1" applyAlignment="1"/>
    <xf numFmtId="0" fontId="0" fillId="0" borderId="25" xfId="0" applyBorder="1"/>
    <xf numFmtId="170" fontId="0" fillId="0" borderId="25" xfId="3" applyNumberFormat="1" applyFont="1" applyBorder="1"/>
    <xf numFmtId="0" fontId="63" fillId="0" borderId="0" xfId="0" applyFont="1" applyBorder="1"/>
    <xf numFmtId="0" fontId="63" fillId="0" borderId="16" xfId="0" quotePrefix="1" applyFont="1" applyBorder="1" applyAlignment="1">
      <alignment horizontal="left" indent="1"/>
    </xf>
    <xf numFmtId="0" fontId="0" fillId="0" borderId="91" xfId="0" applyFill="1" applyBorder="1" applyAlignment="1">
      <alignment horizontal="center"/>
    </xf>
    <xf numFmtId="2" fontId="0" fillId="0" borderId="91" xfId="0" applyNumberFormat="1" applyFill="1" applyBorder="1" applyAlignment="1">
      <alignment horizontal="center"/>
    </xf>
    <xf numFmtId="2" fontId="46" fillId="0" borderId="91" xfId="0" applyNumberFormat="1" applyFont="1" applyFill="1" applyBorder="1" applyAlignment="1">
      <alignment horizontal="center"/>
    </xf>
    <xf numFmtId="1" fontId="0" fillId="0" borderId="2" xfId="2" applyNumberFormat="1" applyFont="1" applyBorder="1" applyAlignment="1">
      <alignment horizontal="center"/>
    </xf>
    <xf numFmtId="0" fontId="70" fillId="12" borderId="0" xfId="4" applyFont="1" applyFill="1" applyBorder="1" applyAlignment="1">
      <alignment horizontal="center"/>
    </xf>
    <xf numFmtId="0" fontId="14" fillId="12" borderId="0" xfId="4" applyFill="1" applyBorder="1"/>
    <xf numFmtId="0" fontId="25" fillId="0" borderId="0" xfId="0" applyFont="1" applyAlignment="1">
      <alignment vertical="top" wrapText="1"/>
    </xf>
    <xf numFmtId="9" fontId="0" fillId="0" borderId="4" xfId="0" applyNumberFormat="1" applyBorder="1"/>
    <xf numFmtId="0" fontId="25" fillId="0" borderId="0" xfId="0" applyFont="1"/>
    <xf numFmtId="0" fontId="0" fillId="0" borderId="0" xfId="0" applyAlignment="1"/>
    <xf numFmtId="0" fontId="66" fillId="0" borderId="0" xfId="0" applyFont="1" applyAlignment="1">
      <alignment horizontal="left" vertical="top" wrapText="1"/>
    </xf>
    <xf numFmtId="0" fontId="0" fillId="0" borderId="0" xfId="0" applyAlignment="1">
      <alignment horizontal="right" vertical="top"/>
    </xf>
    <xf numFmtId="0" fontId="25" fillId="0" borderId="0" xfId="0" applyFont="1" applyAlignment="1">
      <alignment horizontal="right" wrapText="1"/>
    </xf>
    <xf numFmtId="0" fontId="25" fillId="0" borderId="0" xfId="0" applyFont="1" applyAlignment="1">
      <alignment horizontal="right" vertical="top" wrapText="1"/>
    </xf>
    <xf numFmtId="0" fontId="25" fillId="0" borderId="0" xfId="0" applyFont="1" applyAlignment="1">
      <alignment horizontal="right" vertical="top"/>
    </xf>
    <xf numFmtId="0" fontId="25" fillId="0" borderId="0" xfId="0" applyFont="1" applyAlignment="1">
      <alignment horizontal="right"/>
    </xf>
    <xf numFmtId="0" fontId="9" fillId="0" borderId="0" xfId="0" applyFont="1" applyAlignment="1">
      <alignment horizontal="left" wrapText="1"/>
    </xf>
    <xf numFmtId="0" fontId="2" fillId="0" borderId="0" xfId="1"/>
    <xf numFmtId="0" fontId="33" fillId="0" borderId="0" xfId="0" applyFont="1" applyBorder="1"/>
    <xf numFmtId="0" fontId="26" fillId="0" borderId="16" xfId="0" applyFont="1" applyBorder="1"/>
    <xf numFmtId="0" fontId="42" fillId="0" borderId="0" xfId="0" applyFont="1" applyBorder="1"/>
    <xf numFmtId="0" fontId="2" fillId="0" borderId="19" xfId="1" applyBorder="1"/>
    <xf numFmtId="0" fontId="25" fillId="0" borderId="0" xfId="0" applyFont="1" applyBorder="1" applyAlignment="1">
      <alignment horizontal="left" vertical="top" wrapText="1"/>
    </xf>
    <xf numFmtId="0" fontId="78" fillId="0" borderId="0" xfId="1" applyFont="1"/>
    <xf numFmtId="0" fontId="25" fillId="0" borderId="0" xfId="0" applyFont="1" applyBorder="1" applyAlignment="1">
      <alignment horizontal="center" vertical="top" wrapText="1"/>
    </xf>
    <xf numFmtId="0" fontId="63" fillId="0" borderId="0" xfId="0" applyFont="1" applyBorder="1" applyAlignment="1">
      <alignment wrapText="1"/>
    </xf>
    <xf numFmtId="168" fontId="36" fillId="0" borderId="2" xfId="1" applyNumberFormat="1" applyFont="1" applyFill="1" applyBorder="1" applyAlignment="1">
      <alignment horizontal="center" vertical="top" wrapText="1"/>
    </xf>
    <xf numFmtId="9" fontId="31" fillId="0" borderId="14" xfId="3" applyNumberFormat="1" applyFont="1" applyFill="1" applyBorder="1" applyAlignment="1">
      <alignment horizontal="center" vertical="center" wrapText="1"/>
    </xf>
    <xf numFmtId="9" fontId="31" fillId="0" borderId="4" xfId="3" applyNumberFormat="1" applyFont="1" applyFill="1" applyBorder="1" applyAlignment="1">
      <alignment horizontal="center"/>
    </xf>
    <xf numFmtId="9" fontId="67" fillId="0" borderId="4" xfId="3" applyNumberFormat="1" applyFont="1" applyFill="1" applyBorder="1" applyAlignment="1">
      <alignment horizontal="center" vertical="center" wrapText="1"/>
    </xf>
    <xf numFmtId="9" fontId="67" fillId="0" borderId="0" xfId="3" applyNumberFormat="1" applyFont="1" applyFill="1" applyBorder="1" applyAlignment="1">
      <alignment horizontal="center" vertical="center"/>
    </xf>
    <xf numFmtId="9" fontId="67" fillId="0" borderId="0" xfId="3" applyNumberFormat="1" applyFont="1" applyFill="1" applyBorder="1" applyAlignment="1">
      <alignment horizontal="center" vertical="center" wrapText="1"/>
    </xf>
    <xf numFmtId="9" fontId="67" fillId="0" borderId="4" xfId="3" applyNumberFormat="1" applyFont="1" applyFill="1" applyBorder="1" applyAlignment="1">
      <alignment horizontal="center" vertical="center"/>
    </xf>
    <xf numFmtId="9" fontId="25" fillId="0" borderId="0" xfId="0" applyNumberFormat="1" applyFont="1" applyFill="1" applyBorder="1" applyAlignment="1">
      <alignment horizontal="center" vertical="center" wrapText="1"/>
    </xf>
    <xf numFmtId="0" fontId="81" fillId="12" borderId="0" xfId="4" applyFont="1" applyFill="1" applyBorder="1" applyAlignment="1">
      <alignment horizontal="center"/>
    </xf>
    <xf numFmtId="170" fontId="0" fillId="0" borderId="2" xfId="3" applyNumberFormat="1" applyFont="1" applyBorder="1" applyAlignment="1">
      <alignment horizontal="center"/>
    </xf>
    <xf numFmtId="3" fontId="1" fillId="0" borderId="0" xfId="0" applyNumberFormat="1" applyFont="1"/>
    <xf numFmtId="43" fontId="1" fillId="0" borderId="0" xfId="0" applyNumberFormat="1" applyFont="1"/>
    <xf numFmtId="0" fontId="1" fillId="0" borderId="1" xfId="0" applyFont="1" applyBorder="1"/>
    <xf numFmtId="43" fontId="9" fillId="0" borderId="0" xfId="0" applyNumberFormat="1" applyFont="1" applyFill="1"/>
    <xf numFmtId="43" fontId="9" fillId="0" borderId="0" xfId="0" applyNumberFormat="1" applyFont="1" applyFill="1" applyAlignment="1">
      <alignment horizontal="right"/>
    </xf>
    <xf numFmtId="165" fontId="0" fillId="0" borderId="0" xfId="2" applyNumberFormat="1" applyFont="1" applyAlignment="1">
      <alignment horizontal="right"/>
    </xf>
    <xf numFmtId="0" fontId="1" fillId="0" borderId="1" xfId="0" applyFont="1" applyBorder="1"/>
    <xf numFmtId="0" fontId="1" fillId="0" borderId="1" xfId="0" applyFont="1" applyBorder="1"/>
    <xf numFmtId="164" fontId="0" fillId="0" borderId="0" xfId="0" applyNumberFormat="1"/>
    <xf numFmtId="164" fontId="9" fillId="0" borderId="0" xfId="3" applyNumberFormat="1" applyFont="1" applyFill="1"/>
    <xf numFmtId="164" fontId="0" fillId="0" borderId="0" xfId="0" applyNumberFormat="1" applyBorder="1"/>
    <xf numFmtId="164" fontId="8" fillId="0" borderId="0" xfId="0" applyNumberFormat="1" applyFont="1" applyBorder="1"/>
    <xf numFmtId="164" fontId="0" fillId="0" borderId="0" xfId="3" applyNumberFormat="1" applyFont="1"/>
    <xf numFmtId="164" fontId="0" fillId="0" borderId="0" xfId="2" applyNumberFormat="1" applyFont="1"/>
    <xf numFmtId="2" fontId="0" fillId="0" borderId="0" xfId="0" applyNumberFormat="1" applyBorder="1" applyAlignment="1">
      <alignment horizontal="right"/>
    </xf>
    <xf numFmtId="2" fontId="0" fillId="0" borderId="0" xfId="3" applyNumberFormat="1" applyFont="1" applyFill="1" applyBorder="1" applyAlignment="1">
      <alignment horizontal="right"/>
    </xf>
    <xf numFmtId="10" fontId="0" fillId="0" borderId="0" xfId="2" applyNumberFormat="1" applyFont="1" applyBorder="1"/>
    <xf numFmtId="2" fontId="8" fillId="0" borderId="0" xfId="0" applyNumberFormat="1" applyFont="1" applyBorder="1"/>
    <xf numFmtId="166" fontId="8" fillId="0" borderId="2" xfId="0" applyNumberFormat="1" applyFont="1" applyBorder="1" applyAlignment="1">
      <alignment horizontal="center"/>
    </xf>
    <xf numFmtId="2" fontId="8" fillId="0" borderId="0" xfId="0" applyNumberFormat="1" applyFont="1" applyAlignment="1">
      <alignment horizontal="center"/>
    </xf>
    <xf numFmtId="2" fontId="9" fillId="0" borderId="0" xfId="3" applyNumberFormat="1" applyFont="1" applyFill="1"/>
    <xf numFmtId="2" fontId="46" fillId="0" borderId="0" xfId="0" applyNumberFormat="1" applyFont="1"/>
    <xf numFmtId="2" fontId="46" fillId="0" borderId="0" xfId="0" applyNumberFormat="1" applyFont="1" applyBorder="1"/>
    <xf numFmtId="10" fontId="65" fillId="0" borderId="11" xfId="0" applyNumberFormat="1" applyFont="1" applyBorder="1"/>
    <xf numFmtId="168" fontId="65" fillId="0" borderId="54" xfId="3" applyNumberFormat="1" applyFont="1" applyBorder="1"/>
    <xf numFmtId="168" fontId="65" fillId="0" borderId="11" xfId="3" applyNumberFormat="1" applyFont="1" applyBorder="1"/>
    <xf numFmtId="168" fontId="65" fillId="0" borderId="54" xfId="3" applyNumberFormat="1" applyFont="1" applyFill="1" applyBorder="1"/>
    <xf numFmtId="168" fontId="65" fillId="0" borderId="12" xfId="3" applyNumberFormat="1" applyFont="1" applyFill="1" applyBorder="1"/>
    <xf numFmtId="10" fontId="0" fillId="0" borderId="10" xfId="0" applyNumberFormat="1" applyBorder="1"/>
    <xf numFmtId="10" fontId="65" fillId="0" borderId="0" xfId="3" applyNumberFormat="1" applyFont="1" applyBorder="1"/>
    <xf numFmtId="43" fontId="0" fillId="0" borderId="0" xfId="0" applyNumberFormat="1" applyBorder="1" applyAlignment="1">
      <alignment horizontal="right"/>
    </xf>
    <xf numFmtId="43" fontId="0" fillId="0" borderId="0" xfId="0" applyNumberFormat="1" applyBorder="1" applyAlignment="1">
      <alignment horizontal="left"/>
    </xf>
    <xf numFmtId="165" fontId="0" fillId="0" borderId="0" xfId="0" applyNumberFormat="1" applyFont="1" applyBorder="1"/>
    <xf numFmtId="10" fontId="65" fillId="0" borderId="0" xfId="0" applyNumberFormat="1" applyFont="1" applyBorder="1"/>
    <xf numFmtId="43" fontId="0" fillId="0" borderId="0" xfId="0" applyNumberFormat="1" applyFill="1" applyBorder="1"/>
    <xf numFmtId="43" fontId="0" fillId="0" borderId="0" xfId="0" applyNumberFormat="1" applyFill="1" applyBorder="1" applyAlignment="1">
      <alignment horizontal="right"/>
    </xf>
    <xf numFmtId="0" fontId="70" fillId="12" borderId="0" xfId="4" applyFont="1" applyFill="1" applyBorder="1" applyAlignment="1">
      <alignment horizontal="center"/>
    </xf>
    <xf numFmtId="0" fontId="23" fillId="6" borderId="39" xfId="1" applyFont="1" applyFill="1" applyBorder="1" applyAlignment="1" applyProtection="1">
      <alignment horizontal="center" vertical="center" wrapText="1"/>
    </xf>
    <xf numFmtId="0" fontId="23" fillId="6" borderId="43" xfId="1" applyFont="1" applyFill="1" applyBorder="1" applyAlignment="1" applyProtection="1">
      <alignment horizontal="center" vertical="center" wrapText="1"/>
    </xf>
    <xf numFmtId="0" fontId="23" fillId="6" borderId="40" xfId="1" applyFont="1" applyFill="1" applyBorder="1" applyAlignment="1" applyProtection="1">
      <alignment horizontal="center" vertical="center" wrapText="1"/>
    </xf>
    <xf numFmtId="0" fontId="23" fillId="6" borderId="41" xfId="1" applyFont="1" applyFill="1" applyBorder="1" applyAlignment="1" applyProtection="1">
      <alignment horizontal="center" vertical="center" wrapText="1"/>
    </xf>
    <xf numFmtId="0" fontId="23" fillId="6" borderId="44" xfId="1" applyFont="1" applyFill="1" applyBorder="1" applyAlignment="1" applyProtection="1">
      <alignment horizontal="center" vertical="center" wrapText="1"/>
    </xf>
    <xf numFmtId="0" fontId="23" fillId="6" borderId="42" xfId="1" applyFont="1" applyFill="1" applyBorder="1" applyAlignment="1" applyProtection="1">
      <alignment horizontal="center" vertical="center" wrapText="1"/>
    </xf>
    <xf numFmtId="0" fontId="24" fillId="12" borderId="0" xfId="0" applyFont="1" applyFill="1" applyAlignment="1">
      <alignment horizontal="center" vertical="center" readingOrder="1"/>
    </xf>
    <xf numFmtId="0" fontId="18" fillId="12" borderId="0" xfId="4" applyFont="1" applyFill="1" applyAlignment="1">
      <alignment horizontal="center"/>
    </xf>
    <xf numFmtId="0" fontId="23" fillId="4" borderId="39" xfId="1" applyFont="1" applyFill="1" applyBorder="1" applyAlignment="1" applyProtection="1">
      <alignment horizontal="center" vertical="center" wrapText="1"/>
    </xf>
    <xf numFmtId="0" fontId="23" fillId="4" borderId="43" xfId="1" applyFont="1" applyFill="1" applyBorder="1" applyAlignment="1" applyProtection="1">
      <alignment horizontal="center" vertical="center" wrapText="1"/>
    </xf>
    <xf numFmtId="0" fontId="23" fillId="4" borderId="40" xfId="1" applyFont="1" applyFill="1" applyBorder="1" applyAlignment="1" applyProtection="1">
      <alignment horizontal="center" vertical="center" wrapText="1"/>
    </xf>
    <xf numFmtId="0" fontId="23" fillId="4" borderId="41" xfId="1" applyFont="1" applyFill="1" applyBorder="1" applyAlignment="1" applyProtection="1">
      <alignment horizontal="center" vertical="center" wrapText="1"/>
    </xf>
    <xf numFmtId="0" fontId="23" fillId="4" borderId="44" xfId="1" applyFont="1" applyFill="1" applyBorder="1" applyAlignment="1" applyProtection="1">
      <alignment horizontal="center" vertical="center" wrapText="1"/>
    </xf>
    <xf numFmtId="0" fontId="23" fillId="4" borderId="42" xfId="1" applyFont="1" applyFill="1" applyBorder="1" applyAlignment="1" applyProtection="1">
      <alignment horizontal="center" vertical="center" wrapText="1"/>
    </xf>
    <xf numFmtId="0" fontId="20" fillId="12" borderId="0" xfId="4" applyFont="1" applyFill="1" applyAlignment="1">
      <alignment horizontal="center"/>
    </xf>
    <xf numFmtId="0" fontId="79" fillId="12" borderId="4" xfId="4" applyFont="1" applyFill="1" applyBorder="1" applyAlignment="1">
      <alignment horizontal="center"/>
    </xf>
    <xf numFmtId="0" fontId="79" fillId="12" borderId="0" xfId="4" applyFont="1" applyFill="1" applyAlignment="1">
      <alignment horizontal="center"/>
    </xf>
    <xf numFmtId="0" fontId="17" fillId="12" borderId="0" xfId="4" applyFont="1" applyFill="1" applyAlignment="1">
      <alignment horizontal="center"/>
    </xf>
    <xf numFmtId="0" fontId="21" fillId="12" borderId="0" xfId="4" applyFont="1" applyFill="1" applyAlignment="1">
      <alignment horizontal="center"/>
    </xf>
    <xf numFmtId="0" fontId="25" fillId="0" borderId="0" xfId="0" applyFont="1" applyBorder="1" applyAlignment="1">
      <alignment horizontal="left" vertical="top" wrapText="1"/>
    </xf>
    <xf numFmtId="0" fontId="35" fillId="0" borderId="0" xfId="0" applyFont="1" applyBorder="1" applyAlignment="1">
      <alignment horizontal="left" vertical="top" wrapText="1"/>
    </xf>
    <xf numFmtId="0" fontId="23" fillId="5" borderId="92" xfId="1" applyFont="1" applyFill="1" applyBorder="1" applyAlignment="1" applyProtection="1">
      <alignment horizontal="center" vertical="center" wrapText="1"/>
      <protection locked="0"/>
    </xf>
    <xf numFmtId="0" fontId="23" fillId="5" borderId="93" xfId="1" applyFont="1" applyFill="1" applyBorder="1" applyAlignment="1" applyProtection="1">
      <alignment horizontal="center" vertical="center" wrapText="1"/>
      <protection locked="0"/>
    </xf>
    <xf numFmtId="0" fontId="23" fillId="5" borderId="94" xfId="1" applyFont="1" applyFill="1" applyBorder="1" applyAlignment="1" applyProtection="1">
      <alignment horizontal="center" vertical="center" wrapText="1"/>
      <protection locked="0"/>
    </xf>
    <xf numFmtId="0" fontId="23" fillId="5" borderId="95" xfId="1" applyFont="1" applyFill="1" applyBorder="1" applyAlignment="1" applyProtection="1">
      <alignment horizontal="center" vertical="center" wrapText="1"/>
      <protection locked="0"/>
    </xf>
    <xf numFmtId="0" fontId="23" fillId="5" borderId="0" xfId="1" applyFont="1" applyFill="1" applyBorder="1" applyAlignment="1" applyProtection="1">
      <alignment horizontal="center" vertical="center" wrapText="1"/>
      <protection locked="0"/>
    </xf>
    <xf numFmtId="0" fontId="23" fillId="5" borderId="96" xfId="1" applyFont="1" applyFill="1" applyBorder="1" applyAlignment="1" applyProtection="1">
      <alignment horizontal="center" vertical="center" wrapText="1"/>
      <protection locked="0"/>
    </xf>
    <xf numFmtId="0" fontId="23" fillId="5" borderId="97" xfId="1" applyFont="1" applyFill="1" applyBorder="1" applyAlignment="1" applyProtection="1">
      <alignment horizontal="center" vertical="center" wrapText="1"/>
      <protection locked="0"/>
    </xf>
    <xf numFmtId="0" fontId="23" fillId="5" borderId="98" xfId="1" applyFont="1" applyFill="1" applyBorder="1" applyAlignment="1" applyProtection="1">
      <alignment horizontal="center" vertical="center" wrapText="1"/>
      <protection locked="0"/>
    </xf>
    <xf numFmtId="0" fontId="23" fillId="5" borderId="99" xfId="1" applyFont="1" applyFill="1" applyBorder="1" applyAlignment="1" applyProtection="1">
      <alignment horizontal="center" vertical="center" wrapText="1"/>
      <protection locked="0"/>
    </xf>
    <xf numFmtId="0" fontId="23" fillId="4" borderId="100" xfId="1" applyFont="1" applyFill="1" applyBorder="1" applyAlignment="1" applyProtection="1">
      <alignment horizontal="center" vertical="center" wrapText="1"/>
    </xf>
    <xf numFmtId="0" fontId="23" fillId="4" borderId="101" xfId="1" applyFont="1" applyFill="1" applyBorder="1" applyAlignment="1" applyProtection="1">
      <alignment horizontal="center" vertical="center" wrapText="1"/>
    </xf>
    <xf numFmtId="0" fontId="23" fillId="4" borderId="102" xfId="1" applyFont="1" applyFill="1" applyBorder="1" applyAlignment="1" applyProtection="1">
      <alignment horizontal="center" vertical="center" wrapText="1"/>
    </xf>
    <xf numFmtId="0" fontId="23" fillId="4" borderId="103" xfId="1" applyFont="1" applyFill="1" applyBorder="1" applyAlignment="1" applyProtection="1">
      <alignment horizontal="center" vertical="center" wrapText="1"/>
    </xf>
    <xf numFmtId="0" fontId="23" fillId="4" borderId="0" xfId="1" applyFont="1" applyFill="1" applyBorder="1" applyAlignment="1" applyProtection="1">
      <alignment horizontal="center" vertical="center" wrapText="1"/>
    </xf>
    <xf numFmtId="0" fontId="23" fillId="4" borderId="104" xfId="1" applyFont="1" applyFill="1" applyBorder="1" applyAlignment="1" applyProtection="1">
      <alignment horizontal="center" vertical="center" wrapText="1"/>
    </xf>
    <xf numFmtId="0" fontId="23" fillId="4" borderId="105" xfId="1" applyFont="1" applyFill="1" applyBorder="1" applyAlignment="1" applyProtection="1">
      <alignment horizontal="center" vertical="center" wrapText="1"/>
    </xf>
    <xf numFmtId="0" fontId="23" fillId="4" borderId="106" xfId="1" applyFont="1" applyFill="1" applyBorder="1" applyAlignment="1" applyProtection="1">
      <alignment horizontal="center" vertical="center" wrapText="1"/>
    </xf>
    <xf numFmtId="0" fontId="23" fillId="4" borderId="107" xfId="1" applyFont="1" applyFill="1" applyBorder="1" applyAlignment="1" applyProtection="1">
      <alignment horizontal="center" vertical="center" wrapText="1"/>
    </xf>
    <xf numFmtId="0" fontId="77" fillId="0" borderId="0" xfId="1" applyFont="1" applyBorder="1"/>
    <xf numFmtId="0" fontId="0" fillId="0" borderId="0" xfId="0" applyBorder="1" applyAlignment="1">
      <alignment horizontal="left" vertical="top" wrapText="1"/>
    </xf>
    <xf numFmtId="0" fontId="25" fillId="0" borderId="16" xfId="0" applyFont="1" applyBorder="1" applyAlignment="1">
      <alignment horizontal="left" vertical="top" wrapText="1"/>
    </xf>
    <xf numFmtId="0" fontId="25" fillId="0" borderId="0" xfId="0" quotePrefix="1" applyFont="1" applyBorder="1" applyAlignment="1">
      <alignment horizontal="left" vertical="top" wrapText="1" indent="1"/>
    </xf>
    <xf numFmtId="0" fontId="25" fillId="0" borderId="0" xfId="0" applyFont="1" applyBorder="1" applyAlignment="1">
      <alignment horizontal="left" vertical="top" wrapText="1" indent="1"/>
    </xf>
    <xf numFmtId="0" fontId="66" fillId="0" borderId="0" xfId="0" applyFont="1" applyAlignment="1">
      <alignment horizontal="left" vertical="top" wrapText="1"/>
    </xf>
    <xf numFmtId="0" fontId="74" fillId="0" borderId="0" xfId="0" applyFont="1" applyBorder="1" applyAlignment="1">
      <alignment horizontal="center" wrapText="1"/>
    </xf>
    <xf numFmtId="0" fontId="74" fillId="0" borderId="22" xfId="0" applyFont="1" applyBorder="1" applyAlignment="1">
      <alignment horizontal="center" wrapText="1"/>
    </xf>
    <xf numFmtId="0" fontId="74" fillId="0" borderId="16" xfId="0" applyFont="1" applyBorder="1" applyAlignment="1">
      <alignment horizontal="center" wrapText="1"/>
    </xf>
    <xf numFmtId="0" fontId="74" fillId="0" borderId="15" xfId="0" applyFont="1" applyBorder="1" applyAlignment="1">
      <alignment horizontal="center" wrapText="1"/>
    </xf>
    <xf numFmtId="10" fontId="9" fillId="0" borderId="46" xfId="3" applyNumberFormat="1" applyFont="1" applyFill="1" applyBorder="1" applyAlignment="1">
      <alignment horizontal="center"/>
    </xf>
    <xf numFmtId="0" fontId="8" fillId="0" borderId="5" xfId="0" applyFont="1" applyBorder="1" applyAlignment="1">
      <alignment horizontal="left" vertical="top" wrapText="1"/>
    </xf>
    <xf numFmtId="0" fontId="8" fillId="0" borderId="4" xfId="0" applyFont="1" applyBorder="1" applyAlignment="1">
      <alignment horizontal="left" vertical="top" wrapText="1"/>
    </xf>
    <xf numFmtId="0" fontId="8" fillId="0" borderId="3"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23" fillId="5" borderId="39" xfId="1" applyFont="1" applyFill="1" applyBorder="1" applyAlignment="1" applyProtection="1">
      <alignment horizontal="center" vertical="center" wrapText="1"/>
      <protection locked="0"/>
    </xf>
    <xf numFmtId="0" fontId="23" fillId="5" borderId="43" xfId="1" applyFont="1" applyFill="1" applyBorder="1" applyAlignment="1" applyProtection="1">
      <alignment horizontal="center" vertical="center" wrapText="1"/>
      <protection locked="0"/>
    </xf>
    <xf numFmtId="0" fontId="23" fillId="5" borderId="40" xfId="1" applyFont="1" applyFill="1" applyBorder="1" applyAlignment="1" applyProtection="1">
      <alignment horizontal="center" vertical="center" wrapText="1"/>
      <protection locked="0"/>
    </xf>
    <xf numFmtId="0" fontId="23" fillId="5" borderId="41" xfId="1" applyFont="1" applyFill="1" applyBorder="1" applyAlignment="1" applyProtection="1">
      <alignment horizontal="center" vertical="center" wrapText="1"/>
      <protection locked="0"/>
    </xf>
    <xf numFmtId="0" fontId="23" fillId="5" borderId="44" xfId="1" applyFont="1" applyFill="1" applyBorder="1" applyAlignment="1" applyProtection="1">
      <alignment horizontal="center" vertical="center" wrapText="1"/>
      <protection locked="0"/>
    </xf>
    <xf numFmtId="0" fontId="23" fillId="5" borderId="42" xfId="1" applyFont="1" applyFill="1" applyBorder="1" applyAlignment="1" applyProtection="1">
      <alignment horizontal="center" vertical="center" wrapText="1"/>
      <protection locked="0"/>
    </xf>
    <xf numFmtId="168" fontId="9" fillId="0" borderId="46" xfId="3" applyNumberFormat="1" applyFont="1" applyFill="1" applyBorder="1" applyAlignment="1">
      <alignment horizontal="center"/>
    </xf>
    <xf numFmtId="0" fontId="0" fillId="0" borderId="4" xfId="0" applyFont="1" applyBorder="1" applyAlignment="1">
      <alignment horizontal="center" wrapText="1"/>
    </xf>
    <xf numFmtId="0" fontId="0" fillId="0" borderId="2" xfId="0" applyFont="1" applyBorder="1" applyAlignment="1">
      <alignment horizontal="center" wrapText="1"/>
    </xf>
    <xf numFmtId="0" fontId="0" fillId="0" borderId="24" xfId="0" applyFont="1" applyBorder="1" applyAlignment="1">
      <alignment horizontal="center" wrapText="1"/>
    </xf>
    <xf numFmtId="0" fontId="0" fillId="0" borderId="8" xfId="0" applyFont="1" applyBorder="1" applyAlignment="1">
      <alignment horizontal="center" wrapText="1"/>
    </xf>
    <xf numFmtId="10" fontId="9" fillId="4" borderId="26" xfId="3" applyNumberFormat="1" applyFont="1" applyFill="1" applyBorder="1" applyAlignment="1" applyProtection="1">
      <alignment horizontal="center"/>
      <protection locked="0"/>
    </xf>
    <xf numFmtId="10" fontId="9" fillId="4" borderId="90" xfId="3" applyNumberFormat="1" applyFont="1" applyFill="1" applyBorder="1" applyAlignment="1" applyProtection="1">
      <alignment horizontal="center"/>
      <protection locked="0"/>
    </xf>
    <xf numFmtId="10" fontId="9" fillId="4" borderId="89" xfId="3" applyNumberFormat="1" applyFont="1" applyFill="1" applyBorder="1" applyAlignment="1" applyProtection="1">
      <alignment horizontal="center"/>
      <protection locked="0"/>
    </xf>
    <xf numFmtId="10" fontId="9" fillId="4" borderId="25" xfId="3" applyNumberFormat="1" applyFont="1" applyFill="1" applyBorder="1" applyAlignment="1" applyProtection="1">
      <alignment horizontal="center"/>
      <protection locked="0"/>
    </xf>
    <xf numFmtId="0" fontId="1" fillId="0" borderId="82" xfId="0" applyFont="1" applyBorder="1" applyAlignment="1">
      <alignment horizontal="center" wrapText="1"/>
    </xf>
    <xf numFmtId="0" fontId="1" fillId="0" borderId="12" xfId="0" applyFont="1" applyBorder="1" applyAlignment="1">
      <alignment horizontal="center" wrapText="1"/>
    </xf>
    <xf numFmtId="168" fontId="9" fillId="4" borderId="6" xfId="3" applyNumberFormat="1" applyFont="1" applyFill="1" applyBorder="1" applyAlignment="1" applyProtection="1">
      <alignment horizontal="center"/>
      <protection locked="0"/>
    </xf>
    <xf numFmtId="168" fontId="9" fillId="4" borderId="29" xfId="3" applyNumberFormat="1" applyFont="1" applyFill="1" applyBorder="1" applyAlignment="1" applyProtection="1">
      <alignment horizontal="center"/>
      <protection locked="0"/>
    </xf>
    <xf numFmtId="0" fontId="25" fillId="4" borderId="7"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59" fillId="0" borderId="5" xfId="0" applyFont="1" applyBorder="1" applyAlignment="1">
      <alignment horizontal="center" wrapText="1"/>
    </xf>
    <xf numFmtId="0" fontId="59" fillId="0" borderId="4" xfId="0" applyFont="1" applyBorder="1" applyAlignment="1">
      <alignment horizontal="center" wrapText="1"/>
    </xf>
    <xf numFmtId="0" fontId="59" fillId="0" borderId="24" xfId="0" applyFont="1" applyBorder="1" applyAlignment="1">
      <alignment horizontal="center" wrapText="1"/>
    </xf>
    <xf numFmtId="0" fontId="29" fillId="0" borderId="0" xfId="0" applyFont="1" applyBorder="1" applyAlignment="1">
      <alignment horizontal="left" vertical="top" wrapText="1"/>
    </xf>
    <xf numFmtId="0" fontId="30" fillId="0" borderId="6" xfId="0" applyFont="1" applyBorder="1" applyAlignment="1">
      <alignment horizontal="center" wrapText="1"/>
    </xf>
    <xf numFmtId="0" fontId="30" fillId="0" borderId="2" xfId="0" applyFont="1" applyBorder="1" applyAlignment="1">
      <alignment horizontal="center" wrapText="1"/>
    </xf>
    <xf numFmtId="0" fontId="30" fillId="0" borderId="3" xfId="0" applyFont="1" applyBorder="1" applyAlignment="1">
      <alignment horizontal="center" wrapText="1"/>
    </xf>
    <xf numFmtId="0" fontId="30" fillId="0" borderId="0" xfId="0" applyFont="1" applyBorder="1" applyAlignment="1">
      <alignment horizontal="center" wrapText="1"/>
    </xf>
    <xf numFmtId="3" fontId="28" fillId="0" borderId="0" xfId="0" applyNumberFormat="1" applyFont="1" applyBorder="1" applyAlignment="1">
      <alignment horizontal="center" wrapText="1"/>
    </xf>
    <xf numFmtId="3" fontId="28" fillId="0" borderId="9" xfId="0" applyNumberFormat="1" applyFont="1" applyBorder="1" applyAlignment="1">
      <alignment horizontal="center" wrapText="1"/>
    </xf>
    <xf numFmtId="168" fontId="9" fillId="4" borderId="46" xfId="3" applyNumberFormat="1" applyFont="1" applyFill="1" applyBorder="1" applyAlignment="1" applyProtection="1">
      <alignment horizontal="center"/>
      <protection locked="0"/>
    </xf>
    <xf numFmtId="168" fontId="9" fillId="4" borderId="84" xfId="3" applyNumberFormat="1" applyFont="1" applyFill="1" applyBorder="1" applyAlignment="1" applyProtection="1">
      <alignment horizontal="center"/>
      <protection locked="0"/>
    </xf>
    <xf numFmtId="10" fontId="1" fillId="0" borderId="0" xfId="3" applyNumberFormat="1" applyFont="1" applyFill="1" applyBorder="1" applyAlignment="1">
      <alignment horizontal="center"/>
    </xf>
    <xf numFmtId="10" fontId="9" fillId="4" borderId="85" xfId="3" applyNumberFormat="1" applyFont="1" applyFill="1" applyBorder="1" applyAlignment="1" applyProtection="1">
      <alignment horizontal="center"/>
      <protection locked="0"/>
    </xf>
    <xf numFmtId="10" fontId="9" fillId="4" borderId="61" xfId="3" applyNumberFormat="1" applyFont="1" applyFill="1" applyBorder="1" applyAlignment="1" applyProtection="1">
      <alignment horizontal="center"/>
      <protection locked="0"/>
    </xf>
    <xf numFmtId="168" fontId="9" fillId="4" borderId="56" xfId="3" applyNumberFormat="1" applyFont="1" applyFill="1" applyBorder="1" applyAlignment="1" applyProtection="1">
      <alignment horizontal="center"/>
      <protection locked="0"/>
    </xf>
    <xf numFmtId="168" fontId="9" fillId="4" borderId="81" xfId="3" applyNumberFormat="1" applyFont="1" applyFill="1" applyBorder="1" applyAlignment="1" applyProtection="1">
      <alignment horizontal="center"/>
      <protection locked="0"/>
    </xf>
    <xf numFmtId="0" fontId="41" fillId="0" borderId="0" xfId="0" applyFont="1" applyBorder="1" applyAlignment="1">
      <alignment horizontal="left" vertical="top" wrapText="1"/>
    </xf>
    <xf numFmtId="0" fontId="25" fillId="0" borderId="0" xfId="0" applyFont="1" applyBorder="1" applyAlignment="1">
      <alignment horizontal="right"/>
    </xf>
    <xf numFmtId="0" fontId="1" fillId="0" borderId="10" xfId="0" applyFont="1" applyBorder="1" applyAlignment="1">
      <alignment horizontal="center" wrapText="1"/>
    </xf>
    <xf numFmtId="0" fontId="1" fillId="0" borderId="11" xfId="0" applyFont="1" applyBorder="1" applyAlignment="1">
      <alignment horizontal="center" wrapText="1"/>
    </xf>
    <xf numFmtId="0" fontId="31" fillId="0" borderId="2" xfId="0" applyFont="1" applyFill="1" applyBorder="1" applyAlignment="1">
      <alignment horizontal="center"/>
    </xf>
    <xf numFmtId="0" fontId="31" fillId="0" borderId="29" xfId="0" applyFont="1" applyFill="1" applyBorder="1" applyAlignment="1">
      <alignment horizontal="center"/>
    </xf>
    <xf numFmtId="0" fontId="31" fillId="0" borderId="27" xfId="0" applyFont="1" applyFill="1" applyBorder="1" applyAlignment="1">
      <alignment horizontal="center"/>
    </xf>
    <xf numFmtId="0" fontId="31" fillId="0" borderId="28" xfId="0" applyFont="1" applyFill="1" applyBorder="1" applyAlignment="1">
      <alignment horizontal="center"/>
    </xf>
    <xf numFmtId="0" fontId="23" fillId="5" borderId="39" xfId="1" applyFont="1" applyFill="1" applyBorder="1" applyAlignment="1" applyProtection="1">
      <alignment horizontal="center" vertical="center" wrapText="1"/>
    </xf>
    <xf numFmtId="0" fontId="23" fillId="5" borderId="43" xfId="1" applyFont="1" applyFill="1" applyBorder="1" applyAlignment="1" applyProtection="1">
      <alignment horizontal="center" vertical="center" wrapText="1"/>
    </xf>
    <xf numFmtId="0" fontId="23" fillId="5" borderId="40" xfId="1" applyFont="1" applyFill="1" applyBorder="1" applyAlignment="1" applyProtection="1">
      <alignment horizontal="center" vertical="center" wrapText="1"/>
    </xf>
    <xf numFmtId="0" fontId="23" fillId="5" borderId="41" xfId="1" applyFont="1" applyFill="1" applyBorder="1" applyAlignment="1" applyProtection="1">
      <alignment horizontal="center" vertical="center" wrapText="1"/>
    </xf>
    <xf numFmtId="0" fontId="23" fillId="5" borderId="44" xfId="1" applyFont="1" applyFill="1" applyBorder="1" applyAlignment="1" applyProtection="1">
      <alignment horizontal="center" vertical="center" wrapText="1"/>
    </xf>
    <xf numFmtId="0" fontId="23" fillId="5" borderId="42" xfId="1" applyFont="1" applyFill="1" applyBorder="1" applyAlignment="1" applyProtection="1">
      <alignment horizontal="center" vertical="center" wrapText="1"/>
    </xf>
    <xf numFmtId="0" fontId="35" fillId="0" borderId="0" xfId="0" applyFont="1" applyBorder="1" applyAlignment="1">
      <alignment horizontal="left" wrapText="1"/>
    </xf>
    <xf numFmtId="0" fontId="31" fillId="0" borderId="10" xfId="0" applyFont="1" applyFill="1" applyBorder="1" applyAlignment="1">
      <alignment horizontal="center"/>
    </xf>
    <xf numFmtId="0" fontId="31" fillId="0" borderId="11" xfId="0" applyFont="1" applyFill="1" applyBorder="1" applyAlignment="1">
      <alignment horizontal="center"/>
    </xf>
    <xf numFmtId="0" fontId="31" fillId="0" borderId="12" xfId="0" applyFont="1" applyFill="1" applyBorder="1" applyAlignment="1">
      <alignment horizontal="center"/>
    </xf>
    <xf numFmtId="0" fontId="31" fillId="9" borderId="10" xfId="0" applyFont="1" applyFill="1" applyBorder="1" applyAlignment="1">
      <alignment horizontal="center"/>
    </xf>
    <xf numFmtId="0" fontId="31" fillId="9" borderId="11" xfId="0" applyFont="1" applyFill="1" applyBorder="1" applyAlignment="1">
      <alignment horizontal="center"/>
    </xf>
    <xf numFmtId="0" fontId="31" fillId="9" borderId="12" xfId="0" applyFont="1" applyFill="1" applyBorder="1" applyAlignment="1">
      <alignment horizontal="center"/>
    </xf>
    <xf numFmtId="0" fontId="31" fillId="0" borderId="2" xfId="0" applyFont="1" applyFill="1" applyBorder="1" applyAlignment="1">
      <alignment horizontal="center" vertical="top" wrapText="1"/>
    </xf>
    <xf numFmtId="168" fontId="25" fillId="0" borderId="0" xfId="3" applyNumberFormat="1" applyFont="1" applyFill="1" applyBorder="1" applyAlignment="1">
      <alignment horizontal="center" vertical="center" wrapText="1"/>
    </xf>
    <xf numFmtId="0" fontId="27" fillId="0" borderId="0" xfId="0" applyFont="1" applyFill="1" applyBorder="1" applyAlignment="1">
      <alignment horizontal="left" vertical="top" wrapText="1"/>
    </xf>
    <xf numFmtId="0" fontId="58" fillId="0" borderId="4" xfId="0" applyFont="1" applyFill="1" applyBorder="1" applyAlignment="1">
      <alignment horizontal="center"/>
    </xf>
    <xf numFmtId="0" fontId="58" fillId="0" borderId="4" xfId="0" applyFont="1" applyFill="1" applyBorder="1" applyAlignment="1">
      <alignment horizontal="center" vertical="top" wrapText="1"/>
    </xf>
    <xf numFmtId="168" fontId="25" fillId="0" borderId="2" xfId="3" applyNumberFormat="1" applyFont="1" applyFill="1" applyBorder="1" applyAlignment="1">
      <alignment horizontal="center" vertical="center" wrapText="1"/>
    </xf>
    <xf numFmtId="0" fontId="44" fillId="0" borderId="0" xfId="0" applyFont="1" applyBorder="1" applyAlignment="1">
      <alignment horizontal="left" vertical="top" wrapText="1"/>
    </xf>
    <xf numFmtId="0" fontId="43" fillId="0" borderId="0" xfId="0" applyFont="1" applyBorder="1" applyAlignment="1">
      <alignment horizontal="left" vertical="top" wrapText="1"/>
    </xf>
    <xf numFmtId="0" fontId="31" fillId="0" borderId="0" xfId="0" applyFont="1" applyFill="1" applyBorder="1" applyAlignment="1">
      <alignment horizontal="center" wrapText="1"/>
    </xf>
    <xf numFmtId="0" fontId="31" fillId="0" borderId="2" xfId="0" applyFont="1" applyFill="1" applyBorder="1" applyAlignment="1">
      <alignment horizontal="center" wrapText="1"/>
    </xf>
    <xf numFmtId="0" fontId="31" fillId="0" borderId="0" xfId="0" applyFont="1" applyFill="1" applyBorder="1" applyAlignment="1">
      <alignment horizontal="center"/>
    </xf>
    <xf numFmtId="0" fontId="53" fillId="0" borderId="0" xfId="0" applyFont="1" applyBorder="1" applyAlignment="1">
      <alignment horizontal="center" wrapText="1"/>
    </xf>
    <xf numFmtId="0" fontId="0" fillId="0" borderId="0" xfId="0" applyAlignment="1">
      <alignment horizontal="left" vertical="top" wrapText="1"/>
    </xf>
    <xf numFmtId="0" fontId="0" fillId="0" borderId="10" xfId="0" applyBorder="1"/>
    <xf numFmtId="0" fontId="0" fillId="0" borderId="11" xfId="0" applyBorder="1"/>
    <xf numFmtId="0" fontId="13" fillId="0" borderId="2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7" xfId="0" applyFont="1" applyFill="1" applyBorder="1" applyAlignment="1">
      <alignment horizontal="center" vertical="top" wrapText="1"/>
    </xf>
    <xf numFmtId="0" fontId="13" fillId="0" borderId="16" xfId="0" applyFont="1" applyFill="1" applyBorder="1" applyAlignment="1">
      <alignment horizontal="center" vertical="top" wrapText="1"/>
    </xf>
    <xf numFmtId="0" fontId="0" fillId="0" borderId="2" xfId="0" applyFont="1" applyFill="1" applyBorder="1" applyAlignment="1">
      <alignment horizontal="center" vertical="top" wrapText="1"/>
    </xf>
    <xf numFmtId="0" fontId="27" fillId="0" borderId="2" xfId="0" applyFont="1" applyFill="1" applyBorder="1" applyAlignment="1">
      <alignment horizontal="center"/>
    </xf>
    <xf numFmtId="0" fontId="66" fillId="0" borderId="0" xfId="0" applyFont="1" applyFill="1" applyBorder="1" applyAlignment="1">
      <alignment horizontal="center" vertical="top" wrapText="1"/>
    </xf>
    <xf numFmtId="0" fontId="27" fillId="0" borderId="0" xfId="0" applyFont="1" applyFill="1" applyBorder="1" applyAlignment="1">
      <alignment horizontal="center" wrapText="1"/>
    </xf>
    <xf numFmtId="0" fontId="27" fillId="0" borderId="2" xfId="0" applyFont="1" applyFill="1" applyBorder="1" applyAlignment="1">
      <alignment horizontal="center" wrapText="1"/>
    </xf>
    <xf numFmtId="0" fontId="0" fillId="0" borderId="4" xfId="0" applyFont="1" applyFill="1" applyBorder="1" applyAlignment="1">
      <alignment horizontal="left" vertical="top" wrapText="1"/>
    </xf>
    <xf numFmtId="0" fontId="0" fillId="0" borderId="0" xfId="0" applyFont="1" applyFill="1" applyBorder="1" applyAlignment="1">
      <alignment horizontal="left" vertical="top" wrapText="1"/>
    </xf>
    <xf numFmtId="0" fontId="68" fillId="0" borderId="0" xfId="0" applyFont="1" applyAlignment="1">
      <alignment horizontal="left" vertical="top" wrapText="1"/>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166" fontId="0" fillId="0" borderId="4" xfId="0" applyNumberFormat="1" applyFont="1" applyFill="1" applyBorder="1" applyAlignment="1">
      <alignment horizontal="center" vertical="center"/>
    </xf>
    <xf numFmtId="0" fontId="0" fillId="0" borderId="0" xfId="0" applyFont="1" applyFill="1" applyBorder="1" applyAlignment="1">
      <alignment horizontal="center" vertical="top" wrapText="1"/>
    </xf>
    <xf numFmtId="0" fontId="26" fillId="0" borderId="2" xfId="0" applyFont="1" applyFill="1" applyBorder="1" applyAlignment="1">
      <alignment horizontal="left" vertical="top"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6" fillId="10" borderId="47" xfId="1" applyFont="1" applyFill="1" applyBorder="1" applyAlignment="1">
      <alignment horizontal="center" vertical="top" wrapText="1"/>
    </xf>
    <xf numFmtId="0" fontId="36" fillId="10" borderId="48" xfId="1" applyFont="1" applyFill="1" applyBorder="1" applyAlignment="1">
      <alignment horizontal="center" vertical="top" wrapText="1"/>
    </xf>
    <xf numFmtId="0" fontId="36" fillId="10" borderId="49" xfId="1" applyFont="1" applyFill="1" applyBorder="1" applyAlignment="1">
      <alignment horizontal="center" vertical="top" wrapText="1"/>
    </xf>
    <xf numFmtId="0" fontId="36" fillId="10" borderId="50" xfId="1" applyFont="1" applyFill="1" applyBorder="1" applyAlignment="1">
      <alignment horizontal="center" vertical="top" wrapText="1"/>
    </xf>
    <xf numFmtId="0" fontId="36" fillId="10" borderId="51" xfId="1" applyFont="1" applyFill="1" applyBorder="1" applyAlignment="1">
      <alignment horizontal="center" vertical="top" wrapText="1"/>
    </xf>
    <xf numFmtId="0" fontId="36" fillId="10" borderId="52" xfId="1" applyFont="1" applyFill="1" applyBorder="1" applyAlignment="1">
      <alignment horizontal="center" vertical="top" wrapText="1"/>
    </xf>
    <xf numFmtId="0" fontId="28" fillId="0" borderId="0"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0" fillId="0" borderId="24"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26" fillId="0" borderId="0" xfId="0" applyFont="1" applyFill="1" applyBorder="1" applyAlignment="1">
      <alignment horizontal="left" vertical="center" wrapText="1" indent="3"/>
    </xf>
    <xf numFmtId="0" fontId="26" fillId="0" borderId="2" xfId="0" applyFont="1" applyFill="1" applyBorder="1" applyAlignment="1">
      <alignment horizontal="left" vertical="center" wrapText="1" indent="3"/>
    </xf>
    <xf numFmtId="166" fontId="0" fillId="0" borderId="0" xfId="0" applyNumberFormat="1" applyFont="1" applyFill="1" applyBorder="1" applyAlignment="1">
      <alignment horizontal="center" vertical="center"/>
    </xf>
    <xf numFmtId="0" fontId="27" fillId="0" borderId="16" xfId="0" applyFont="1" applyFill="1" applyBorder="1" applyAlignment="1">
      <alignment horizontal="center" wrapText="1"/>
    </xf>
    <xf numFmtId="0" fontId="25" fillId="0" borderId="0" xfId="0" applyFont="1" applyFill="1" applyBorder="1" applyAlignment="1">
      <alignment horizontal="left" vertical="center" wrapText="1"/>
    </xf>
    <xf numFmtId="0" fontId="27" fillId="0" borderId="16" xfId="0" applyFont="1" applyFill="1" applyBorder="1" applyAlignment="1">
      <alignment horizontal="center"/>
    </xf>
    <xf numFmtId="0" fontId="9" fillId="0" borderId="0" xfId="0" applyFont="1" applyAlignment="1">
      <alignment horizontal="left" wrapText="1"/>
    </xf>
    <xf numFmtId="0" fontId="0" fillId="0" borderId="0" xfId="0"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24" xfId="0" applyBorder="1" applyAlignment="1">
      <alignment horizontal="center"/>
    </xf>
    <xf numFmtId="0" fontId="1" fillId="0" borderId="0" xfId="0" applyFont="1" applyAlignment="1">
      <alignment horizontal="center" vertical="center" textRotation="90"/>
    </xf>
    <xf numFmtId="0" fontId="1" fillId="0" borderId="2" xfId="0" applyFont="1" applyBorder="1" applyAlignment="1">
      <alignment horizontal="center"/>
    </xf>
    <xf numFmtId="3" fontId="0" fillId="0" borderId="1" xfId="2" applyNumberFormat="1" applyFont="1" applyBorder="1" applyAlignment="1">
      <alignment horizontal="center"/>
    </xf>
    <xf numFmtId="3" fontId="9" fillId="0" borderId="1" xfId="2" applyNumberFormat="1" applyFont="1" applyBorder="1" applyAlignment="1">
      <alignment horizontal="center"/>
    </xf>
    <xf numFmtId="3" fontId="9" fillId="0" borderId="16" xfId="2" applyNumberFormat="1" applyFont="1" applyBorder="1" applyAlignment="1">
      <alignment horizontal="center"/>
    </xf>
    <xf numFmtId="0" fontId="1" fillId="0" borderId="14" xfId="0" applyFont="1" applyBorder="1" applyAlignment="1">
      <alignment horizontal="center"/>
    </xf>
    <xf numFmtId="3" fontId="0" fillId="0" borderId="4" xfId="2" applyNumberFormat="1" applyFont="1" applyBorder="1" applyAlignment="1">
      <alignment horizontal="center"/>
    </xf>
    <xf numFmtId="3" fontId="9" fillId="0" borderId="0" xfId="2" applyNumberFormat="1" applyFont="1" applyBorder="1" applyAlignment="1">
      <alignment horizontal="center"/>
    </xf>
    <xf numFmtId="0" fontId="1" fillId="0" borderId="27"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left" indent="5"/>
    </xf>
    <xf numFmtId="3" fontId="9" fillId="0" borderId="4" xfId="2" applyNumberFormat="1" applyFont="1" applyBorder="1" applyAlignment="1">
      <alignment horizontal="center"/>
    </xf>
    <xf numFmtId="0" fontId="31" fillId="7" borderId="16" xfId="0" applyFont="1" applyFill="1" applyBorder="1" applyAlignment="1">
      <alignment wrapText="1"/>
    </xf>
    <xf numFmtId="0" fontId="31" fillId="7" borderId="3" xfId="0" applyFont="1" applyFill="1" applyBorder="1" applyAlignment="1">
      <alignment horizontal="left" vertical="top" wrapText="1"/>
    </xf>
    <xf numFmtId="0" fontId="31" fillId="7" borderId="0" xfId="0" applyFont="1" applyFill="1" applyBorder="1" applyAlignment="1">
      <alignment horizontal="left" vertical="top" wrapText="1"/>
    </xf>
    <xf numFmtId="0" fontId="31" fillId="7" borderId="9" xfId="0" applyFont="1" applyFill="1" applyBorder="1" applyAlignment="1">
      <alignment horizontal="left" vertical="top" wrapText="1"/>
    </xf>
    <xf numFmtId="0" fontId="31" fillId="7" borderId="78" xfId="0" applyFont="1" applyFill="1" applyBorder="1" applyAlignment="1">
      <alignment horizontal="left" vertical="top" wrapText="1"/>
    </xf>
    <xf numFmtId="0" fontId="31" fillId="7" borderId="16" xfId="0" applyFont="1" applyFill="1" applyBorder="1" applyAlignment="1">
      <alignment horizontal="left" vertical="top" wrapText="1"/>
    </xf>
    <xf numFmtId="0" fontId="31" fillId="7" borderId="79" xfId="0" applyFont="1" applyFill="1" applyBorder="1" applyAlignment="1">
      <alignment horizontal="left" vertical="top" wrapText="1"/>
    </xf>
    <xf numFmtId="0" fontId="25" fillId="0" borderId="0" xfId="0" applyFont="1" applyBorder="1" applyAlignment="1">
      <alignment horizontal="center" vertical="center" wrapText="1"/>
    </xf>
    <xf numFmtId="0" fontId="25" fillId="0" borderId="62" xfId="0" applyFont="1" applyBorder="1" applyAlignment="1">
      <alignment horizontal="center" vertical="center" wrapText="1"/>
    </xf>
    <xf numFmtId="0" fontId="23" fillId="10" borderId="47" xfId="1" applyFont="1" applyFill="1" applyBorder="1" applyAlignment="1" applyProtection="1">
      <alignment horizontal="center" vertical="center" wrapText="1"/>
    </xf>
    <xf numFmtId="0" fontId="23" fillId="10" borderId="49" xfId="1" applyFont="1" applyFill="1" applyBorder="1" applyAlignment="1" applyProtection="1">
      <alignment horizontal="center" vertical="center" wrapText="1"/>
    </xf>
    <xf numFmtId="0" fontId="23" fillId="10" borderId="70" xfId="1" applyFont="1" applyFill="1" applyBorder="1" applyAlignment="1" applyProtection="1">
      <alignment horizontal="center" vertical="center" wrapText="1"/>
    </xf>
    <xf numFmtId="0" fontId="23" fillId="10" borderId="71" xfId="1" applyFont="1" applyFill="1" applyBorder="1" applyAlignment="1" applyProtection="1">
      <alignment horizontal="center" vertical="center" wrapText="1"/>
    </xf>
    <xf numFmtId="0" fontId="23" fillId="10" borderId="50" xfId="1" applyFont="1" applyFill="1" applyBorder="1" applyAlignment="1" applyProtection="1">
      <alignment horizontal="center" vertical="center" wrapText="1"/>
    </xf>
    <xf numFmtId="0" fontId="23" fillId="10" borderId="52" xfId="1" applyFont="1" applyFill="1" applyBorder="1" applyAlignment="1" applyProtection="1">
      <alignment horizontal="center" vertical="center" wrapText="1"/>
    </xf>
    <xf numFmtId="0" fontId="25" fillId="0" borderId="0" xfId="0" applyFont="1" applyBorder="1" applyAlignment="1">
      <alignment horizontal="center" vertical="top" wrapText="1"/>
    </xf>
    <xf numFmtId="0" fontId="25" fillId="0" borderId="9" xfId="0" applyFont="1" applyBorder="1" applyAlignment="1">
      <alignment horizontal="center" vertical="top" wrapText="1"/>
    </xf>
    <xf numFmtId="0" fontId="23" fillId="5" borderId="72" xfId="1" applyFont="1" applyFill="1" applyBorder="1" applyAlignment="1" applyProtection="1">
      <alignment horizontal="center" vertical="center" wrapText="1"/>
    </xf>
    <xf numFmtId="0" fontId="23" fillId="5" borderId="73" xfId="1" applyFont="1" applyFill="1" applyBorder="1" applyAlignment="1" applyProtection="1">
      <alignment horizontal="center" vertical="center" wrapText="1"/>
    </xf>
    <xf numFmtId="0" fontId="23" fillId="5" borderId="74" xfId="1" applyFont="1" applyFill="1" applyBorder="1" applyAlignment="1" applyProtection="1">
      <alignment horizontal="center" vertical="center" wrapText="1"/>
    </xf>
    <xf numFmtId="0" fontId="23" fillId="5" borderId="75" xfId="1" applyFont="1" applyFill="1" applyBorder="1" applyAlignment="1" applyProtection="1">
      <alignment horizontal="center" vertical="center" wrapText="1"/>
    </xf>
    <xf numFmtId="0" fontId="23" fillId="5" borderId="76" xfId="1" applyFont="1" applyFill="1" applyBorder="1" applyAlignment="1" applyProtection="1">
      <alignment horizontal="center" vertical="center" wrapText="1"/>
    </xf>
    <xf numFmtId="0" fontId="23" fillId="5" borderId="77" xfId="1" applyFont="1" applyFill="1" applyBorder="1" applyAlignment="1" applyProtection="1">
      <alignment horizontal="center" vertical="center" wrapText="1"/>
    </xf>
    <xf numFmtId="0" fontId="31" fillId="7" borderId="5" xfId="0" applyFont="1" applyFill="1" applyBorder="1" applyAlignment="1">
      <alignment horizontal="left" vertical="center" wrapText="1"/>
    </xf>
    <xf numFmtId="0" fontId="31" fillId="7" borderId="4" xfId="0" applyFont="1" applyFill="1" applyBorder="1" applyAlignment="1">
      <alignment horizontal="left" vertical="center" wrapText="1"/>
    </xf>
    <xf numFmtId="0" fontId="31" fillId="7" borderId="24" xfId="0" applyFont="1" applyFill="1" applyBorder="1" applyAlignment="1">
      <alignment horizontal="left" vertical="center" wrapText="1"/>
    </xf>
    <xf numFmtId="0" fontId="31" fillId="7" borderId="3" xfId="0" applyFont="1" applyFill="1" applyBorder="1" applyAlignment="1">
      <alignment horizontal="left" vertical="center" wrapText="1"/>
    </xf>
    <xf numFmtId="0" fontId="31" fillId="7" borderId="0" xfId="0" applyFont="1" applyFill="1" applyBorder="1" applyAlignment="1">
      <alignment horizontal="left" vertical="center" wrapText="1"/>
    </xf>
    <xf numFmtId="0" fontId="31" fillId="7" borderId="9" xfId="0" applyFont="1" applyFill="1" applyBorder="1" applyAlignment="1">
      <alignment horizontal="left" vertical="center" wrapText="1"/>
    </xf>
    <xf numFmtId="0" fontId="31" fillId="7" borderId="78" xfId="0" applyFont="1" applyFill="1" applyBorder="1" applyAlignment="1">
      <alignment horizontal="left" vertical="center" wrapText="1"/>
    </xf>
    <xf numFmtId="0" fontId="31" fillId="7" borderId="16" xfId="0" applyFont="1" applyFill="1" applyBorder="1" applyAlignment="1">
      <alignment horizontal="left" vertical="center" wrapText="1"/>
    </xf>
    <xf numFmtId="0" fontId="31" fillId="7" borderId="79" xfId="0" applyFont="1" applyFill="1" applyBorder="1" applyAlignment="1">
      <alignment horizontal="left" vertical="center" wrapText="1"/>
    </xf>
    <xf numFmtId="0" fontId="1" fillId="0" borderId="0" xfId="0" applyFont="1" applyBorder="1" applyAlignment="1">
      <alignment horizontal="left"/>
    </xf>
    <xf numFmtId="0" fontId="49" fillId="0" borderId="0" xfId="0" applyFont="1" applyBorder="1" applyAlignment="1">
      <alignment horizontal="center" vertical="center" wrapText="1"/>
    </xf>
    <xf numFmtId="0" fontId="54" fillId="0" borderId="0" xfId="0" applyFont="1" applyFill="1" applyBorder="1" applyAlignment="1">
      <alignment horizontal="left" wrapText="1"/>
    </xf>
    <xf numFmtId="0" fontId="0" fillId="0" borderId="0" xfId="0" applyBorder="1" applyAlignment="1">
      <alignment horizontal="center"/>
    </xf>
    <xf numFmtId="0" fontId="0" fillId="0" borderId="0" xfId="0" applyBorder="1" applyAlignment="1">
      <alignment horizontal="center" wrapText="1"/>
    </xf>
    <xf numFmtId="0" fontId="64" fillId="0" borderId="0" xfId="0" applyFont="1" applyAlignment="1">
      <alignment horizontal="center" wrapText="1"/>
    </xf>
    <xf numFmtId="0" fontId="0" fillId="0" borderId="7" xfId="0" applyBorder="1" applyAlignment="1">
      <alignment horizontal="center"/>
    </xf>
    <xf numFmtId="0" fontId="0" fillId="0" borderId="14" xfId="0" applyBorder="1" applyAlignment="1">
      <alignment horizontal="center"/>
    </xf>
    <xf numFmtId="0" fontId="0" fillId="0" borderId="58" xfId="0" applyBorder="1" applyAlignment="1">
      <alignment horizontal="center"/>
    </xf>
    <xf numFmtId="0" fontId="0" fillId="0" borderId="25" xfId="0" applyBorder="1" applyAlignment="1">
      <alignment horizontal="center"/>
    </xf>
    <xf numFmtId="0" fontId="0" fillId="0" borderId="59" xfId="0" applyBorder="1" applyAlignment="1">
      <alignment horizontal="center"/>
    </xf>
    <xf numFmtId="0" fontId="7" fillId="0" borderId="0" xfId="0" applyFont="1" applyAlignment="1">
      <alignment horizontal="center" vertical="center"/>
    </xf>
    <xf numFmtId="0" fontId="7" fillId="0" borderId="0" xfId="0" applyFont="1" applyBorder="1" applyAlignment="1">
      <alignment horizontal="center"/>
    </xf>
    <xf numFmtId="0" fontId="23" fillId="7" borderId="11" xfId="0" applyFont="1" applyFill="1" applyBorder="1" applyAlignment="1">
      <alignment horizontal="center"/>
    </xf>
    <xf numFmtId="0" fontId="7" fillId="0" borderId="9" xfId="0" applyFont="1" applyBorder="1" applyAlignment="1">
      <alignment horizontal="center"/>
    </xf>
    <xf numFmtId="0" fontId="7" fillId="0" borderId="0" xfId="0" applyFont="1" applyAlignment="1">
      <alignment horizontal="center"/>
    </xf>
    <xf numFmtId="0" fontId="23" fillId="14" borderId="11" xfId="0" applyFont="1" applyFill="1" applyBorder="1" applyAlignment="1">
      <alignment horizontal="center"/>
    </xf>
    <xf numFmtId="0" fontId="0" fillId="0" borderId="0" xfId="0" applyAlignment="1">
      <alignment horizontal="center" wrapText="1"/>
    </xf>
    <xf numFmtId="0" fontId="0" fillId="0" borderId="2" xfId="0" applyBorder="1" applyAlignment="1">
      <alignment horizontal="center" wrapText="1"/>
    </xf>
    <xf numFmtId="0" fontId="11" fillId="0" borderId="14" xfId="0" applyFont="1" applyBorder="1" applyAlignment="1">
      <alignment horizontal="center"/>
    </xf>
    <xf numFmtId="0" fontId="7" fillId="0" borderId="0" xfId="0" applyFont="1" applyAlignment="1">
      <alignment horizontal="center" wrapText="1"/>
    </xf>
    <xf numFmtId="49" fontId="5" fillId="0" borderId="4" xfId="0" applyNumberFormat="1" applyFont="1" applyBorder="1" applyAlignment="1">
      <alignment horizontal="center" vertical="center"/>
    </xf>
    <xf numFmtId="0" fontId="1" fillId="0" borderId="0" xfId="0" applyFont="1" applyBorder="1" applyAlignment="1">
      <alignment horizontal="center" wrapText="1"/>
    </xf>
    <xf numFmtId="0" fontId="1" fillId="0" borderId="19" xfId="0" applyFont="1" applyBorder="1"/>
    <xf numFmtId="0" fontId="0" fillId="0" borderId="2" xfId="0" applyBorder="1" applyAlignment="1">
      <alignment horizontal="center"/>
    </xf>
    <xf numFmtId="0" fontId="9" fillId="0" borderId="2" xfId="0" applyFont="1" applyBorder="1" applyAlignment="1">
      <alignment horizontal="center"/>
    </xf>
    <xf numFmtId="0" fontId="23" fillId="7" borderId="11" xfId="0" applyFont="1" applyFill="1" applyBorder="1" applyAlignment="1">
      <alignment horizontal="left"/>
    </xf>
    <xf numFmtId="0" fontId="4" fillId="0" borderId="19" xfId="0" applyFont="1" applyBorder="1" applyAlignment="1">
      <alignment horizontal="left" vertical="top"/>
    </xf>
    <xf numFmtId="10" fontId="5" fillId="0" borderId="19" xfId="0" applyNumberFormat="1" applyFont="1" applyBorder="1" applyAlignment="1">
      <alignment horizontal="center"/>
    </xf>
    <xf numFmtId="0" fontId="5" fillId="0" borderId="14" xfId="0" applyFont="1" applyBorder="1" applyAlignment="1">
      <alignment horizontal="center"/>
    </xf>
    <xf numFmtId="0" fontId="5" fillId="0" borderId="5" xfId="0" applyFont="1" applyBorder="1" applyAlignment="1">
      <alignment horizontal="center" wrapText="1"/>
    </xf>
    <xf numFmtId="0" fontId="5" fillId="0" borderId="3" xfId="0" applyFont="1" applyBorder="1" applyAlignment="1">
      <alignment horizontal="center" wrapText="1"/>
    </xf>
    <xf numFmtId="0" fontId="5" fillId="0" borderId="6" xfId="0" applyFont="1" applyBorder="1" applyAlignment="1">
      <alignment horizontal="center" wrapText="1"/>
    </xf>
    <xf numFmtId="0" fontId="5" fillId="0" borderId="24" xfId="0" applyFont="1" applyBorder="1" applyAlignment="1">
      <alignment horizontal="center" wrapText="1"/>
    </xf>
    <xf numFmtId="0" fontId="5" fillId="0" borderId="9" xfId="0" applyFont="1" applyBorder="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center"/>
    </xf>
    <xf numFmtId="0" fontId="23" fillId="7" borderId="10" xfId="0" applyFont="1" applyFill="1" applyBorder="1" applyAlignment="1">
      <alignment horizontal="center"/>
    </xf>
    <xf numFmtId="0" fontId="23" fillId="7" borderId="12" xfId="0" applyFont="1" applyFill="1" applyBorder="1" applyAlignment="1">
      <alignment horizontal="center"/>
    </xf>
    <xf numFmtId="10" fontId="31" fillId="10" borderId="0" xfId="0" applyNumberFormat="1" applyFont="1" applyFill="1" applyBorder="1" applyAlignment="1">
      <alignment horizontal="center" wrapText="1"/>
    </xf>
    <xf numFmtId="10" fontId="1" fillId="0" borderId="0" xfId="0" applyNumberFormat="1" applyFont="1" applyBorder="1" applyAlignment="1">
      <alignment horizontal="center"/>
    </xf>
    <xf numFmtId="10" fontId="11" fillId="0" borderId="0" xfId="0" applyNumberFormat="1" applyFont="1" applyAlignment="1">
      <alignment horizontal="center"/>
    </xf>
    <xf numFmtId="0" fontId="1" fillId="0" borderId="2" xfId="0" applyFont="1" applyFill="1" applyBorder="1" applyAlignment="1">
      <alignment horizontal="center"/>
    </xf>
    <xf numFmtId="0" fontId="1" fillId="0" borderId="0" xfId="0" applyFont="1" applyBorder="1" applyAlignment="1">
      <alignment horizontal="center"/>
    </xf>
    <xf numFmtId="164" fontId="1" fillId="0" borderId="0" xfId="0" applyNumberFormat="1" applyFont="1" applyBorder="1" applyAlignment="1">
      <alignment horizontal="center"/>
    </xf>
    <xf numFmtId="164" fontId="11" fillId="0" borderId="4" xfId="0" applyNumberFormat="1" applyFont="1" applyBorder="1" applyAlignment="1">
      <alignment horizontal="center"/>
    </xf>
    <xf numFmtId="0" fontId="5" fillId="0" borderId="0" xfId="0" applyFont="1" applyBorder="1" applyAlignment="1">
      <alignment horizontal="center" wrapText="1"/>
    </xf>
    <xf numFmtId="0" fontId="5" fillId="0" borderId="4" xfId="0" applyFont="1" applyBorder="1" applyAlignment="1">
      <alignment horizontal="center" wrapText="1"/>
    </xf>
    <xf numFmtId="0" fontId="1" fillId="0" borderId="1" xfId="0" applyFont="1" applyBorder="1"/>
    <xf numFmtId="0" fontId="8" fillId="0" borderId="0" xfId="0" applyFont="1" applyAlignment="1">
      <alignment horizontal="left" vertical="top" wrapText="1"/>
    </xf>
    <xf numFmtId="0" fontId="11" fillId="0" borderId="4" xfId="0" applyFont="1" applyBorder="1" applyAlignment="1">
      <alignment horizontal="center"/>
    </xf>
    <xf numFmtId="0" fontId="31" fillId="10" borderId="0" xfId="0" applyFont="1" applyFill="1" applyBorder="1" applyAlignment="1">
      <alignment horizontal="center" wrapText="1"/>
    </xf>
    <xf numFmtId="2" fontId="11" fillId="0" borderId="4" xfId="0" applyNumberFormat="1" applyFont="1" applyBorder="1" applyAlignment="1">
      <alignment horizontal="center"/>
    </xf>
    <xf numFmtId="2" fontId="1" fillId="0" borderId="0" xfId="0" applyNumberFormat="1" applyFont="1" applyBorder="1" applyAlignment="1">
      <alignment horizontal="center"/>
    </xf>
    <xf numFmtId="0" fontId="1" fillId="0" borderId="0" xfId="0" applyFont="1" applyAlignment="1">
      <alignment horizont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29" xfId="0" applyFont="1" applyBorder="1" applyAlignment="1">
      <alignment horizontal="center" vertical="center"/>
    </xf>
    <xf numFmtId="0" fontId="13" fillId="0" borderId="0" xfId="0" applyFont="1" applyAlignment="1">
      <alignment horizontal="center" wrapText="1"/>
    </xf>
    <xf numFmtId="0" fontId="53" fillId="0" borderId="0" xfId="0" applyFont="1" applyAlignment="1">
      <alignment horizontal="left" vertical="top" wrapText="1"/>
    </xf>
    <xf numFmtId="0" fontId="1" fillId="0" borderId="0" xfId="0" applyFont="1" applyAlignment="1">
      <alignment horizontal="center"/>
    </xf>
    <xf numFmtId="0" fontId="0" fillId="0" borderId="7" xfId="0" applyBorder="1"/>
    <xf numFmtId="0" fontId="0" fillId="0" borderId="14" xfId="0" applyBorder="1"/>
    <xf numFmtId="0" fontId="0" fillId="0" borderId="7" xfId="0" applyBorder="1" applyAlignment="1">
      <alignment horizontal="left" vertical="top" wrapText="1"/>
    </xf>
    <xf numFmtId="0" fontId="0" fillId="0" borderId="14" xfId="0" applyBorder="1" applyAlignment="1">
      <alignment horizontal="left" vertical="top" wrapText="1"/>
    </xf>
    <xf numFmtId="0" fontId="25" fillId="0" borderId="0" xfId="0" applyFont="1" applyBorder="1" applyAlignment="1">
      <alignment vertical="top" wrapText="1"/>
    </xf>
    <xf numFmtId="0" fontId="25" fillId="0" borderId="23" xfId="0" applyFont="1" applyBorder="1"/>
    <xf numFmtId="0" fontId="25" fillId="0" borderId="22" xfId="0" applyFont="1" applyBorder="1"/>
    <xf numFmtId="0" fontId="25" fillId="0" borderId="0" xfId="0" applyFont="1" applyBorder="1" applyAlignment="1">
      <alignment horizontal="left" indent="1"/>
    </xf>
    <xf numFmtId="0" fontId="53" fillId="0" borderId="0" xfId="0" applyFont="1" applyBorder="1" applyAlignment="1">
      <alignment vertical="top" wrapText="1"/>
    </xf>
    <xf numFmtId="0" fontId="55" fillId="7" borderId="12" xfId="0" applyFont="1" applyFill="1" applyBorder="1" applyAlignment="1">
      <alignment horizontal="left"/>
    </xf>
    <xf numFmtId="166" fontId="25" fillId="2" borderId="31" xfId="0" applyNumberFormat="1" applyFont="1" applyFill="1" applyBorder="1" applyAlignment="1" applyProtection="1">
      <alignment horizontal="center"/>
      <protection locked="0"/>
    </xf>
    <xf numFmtId="166" fontId="25" fillId="2" borderId="34" xfId="0" applyNumberFormat="1" applyFont="1" applyFill="1" applyBorder="1" applyAlignment="1" applyProtection="1">
      <alignment horizontal="center"/>
      <protection locked="0"/>
    </xf>
    <xf numFmtId="166" fontId="25" fillId="2" borderId="37" xfId="0" applyNumberFormat="1" applyFont="1" applyFill="1" applyBorder="1" applyAlignment="1" applyProtection="1">
      <alignment horizontal="center"/>
      <protection locked="0"/>
    </xf>
    <xf numFmtId="166" fontId="25" fillId="2" borderId="32" xfId="0" applyNumberFormat="1" applyFont="1" applyFill="1" applyBorder="1" applyAlignment="1" applyProtection="1">
      <alignment horizontal="center"/>
      <protection locked="0"/>
    </xf>
    <xf numFmtId="166" fontId="25" fillId="2" borderId="35" xfId="0" applyNumberFormat="1" applyFont="1" applyFill="1" applyBorder="1" applyAlignment="1" applyProtection="1">
      <alignment horizontal="center"/>
      <protection locked="0"/>
    </xf>
    <xf numFmtId="166" fontId="25" fillId="2" borderId="38" xfId="0" applyNumberFormat="1" applyFont="1" applyFill="1" applyBorder="1" applyAlignment="1" applyProtection="1">
      <alignment horizontal="center"/>
      <protection locked="0"/>
    </xf>
    <xf numFmtId="168" fontId="31" fillId="2" borderId="7" xfId="3" applyNumberFormat="1" applyFont="1" applyFill="1" applyBorder="1" applyAlignment="1" applyProtection="1">
      <alignment horizontal="center" vertical="top" wrapText="1"/>
      <protection locked="0"/>
    </xf>
    <xf numFmtId="168" fontId="31" fillId="2" borderId="25" xfId="3" applyNumberFormat="1" applyFont="1" applyFill="1" applyBorder="1" applyAlignment="1" applyProtection="1">
      <alignment horizontal="center" vertical="top" wrapText="1"/>
      <protection locked="0"/>
    </xf>
    <xf numFmtId="0" fontId="27" fillId="0" borderId="0" xfId="0" applyFont="1" applyFill="1" applyBorder="1" applyAlignment="1" applyProtection="1">
      <alignment horizontal="left" vertical="top" wrapText="1"/>
      <protection locked="0"/>
    </xf>
    <xf numFmtId="168" fontId="31" fillId="2" borderId="46" xfId="3" applyNumberFormat="1" applyFont="1" applyFill="1" applyBorder="1" applyAlignment="1" applyProtection="1">
      <alignment horizontal="center" vertical="top" wrapText="1"/>
      <protection locked="0"/>
    </xf>
    <xf numFmtId="0" fontId="0" fillId="0" borderId="0" xfId="0" applyProtection="1">
      <protection locked="0"/>
    </xf>
    <xf numFmtId="10" fontId="31" fillId="2" borderId="7" xfId="3" applyNumberFormat="1" applyFont="1" applyFill="1" applyBorder="1" applyAlignment="1" applyProtection="1">
      <alignment horizontal="center" vertical="top" wrapText="1"/>
      <protection locked="0"/>
    </xf>
    <xf numFmtId="10" fontId="31" fillId="2" borderId="25" xfId="3" applyNumberFormat="1" applyFont="1" applyFill="1" applyBorder="1" applyAlignment="1" applyProtection="1">
      <alignment horizontal="center" vertical="top" wrapText="1"/>
      <protection locked="0"/>
    </xf>
    <xf numFmtId="49" fontId="41" fillId="2" borderId="7" xfId="0" applyNumberFormat="1" applyFont="1" applyFill="1" applyBorder="1" applyAlignment="1" applyProtection="1">
      <alignment horizontal="right" wrapText="1"/>
      <protection locked="0"/>
    </xf>
    <xf numFmtId="49" fontId="41" fillId="2" borderId="25" xfId="0" applyNumberFormat="1" applyFont="1" applyFill="1" applyBorder="1" applyAlignment="1" applyProtection="1">
      <alignment horizontal="right" wrapText="1"/>
      <protection locked="0"/>
    </xf>
    <xf numFmtId="168" fontId="25" fillId="2" borderId="31" xfId="3" applyNumberFormat="1" applyFont="1" applyFill="1" applyBorder="1" applyAlignment="1" applyProtection="1">
      <alignment horizontal="center"/>
      <protection locked="0"/>
    </xf>
    <xf numFmtId="168" fontId="25" fillId="2" borderId="34" xfId="3" applyNumberFormat="1" applyFont="1" applyFill="1" applyBorder="1" applyAlignment="1" applyProtection="1">
      <alignment horizontal="center"/>
      <protection locked="0"/>
    </xf>
    <xf numFmtId="168" fontId="31" fillId="2" borderId="46" xfId="3"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protection locked="0"/>
    </xf>
    <xf numFmtId="168" fontId="31" fillId="0" borderId="0" xfId="3" applyNumberFormat="1" applyFont="1" applyFill="1" applyBorder="1" applyAlignment="1" applyProtection="1">
      <alignment horizontal="center" vertical="center" wrapText="1"/>
      <protection locked="0"/>
    </xf>
    <xf numFmtId="1" fontId="31" fillId="2" borderId="46" xfId="3" applyNumberFormat="1" applyFont="1" applyFill="1" applyBorder="1" applyAlignment="1" applyProtection="1">
      <alignment horizontal="center" vertical="center" wrapText="1"/>
      <protection locked="0"/>
    </xf>
    <xf numFmtId="168" fontId="0" fillId="4" borderId="3" xfId="3" applyNumberFormat="1" applyFont="1" applyFill="1" applyBorder="1" applyProtection="1">
      <protection locked="0"/>
    </xf>
    <xf numFmtId="168" fontId="0" fillId="4" borderId="9" xfId="3" applyNumberFormat="1" applyFont="1" applyFill="1" applyBorder="1" applyProtection="1">
      <protection locked="0"/>
    </xf>
    <xf numFmtId="168" fontId="0" fillId="4" borderId="0" xfId="3" applyNumberFormat="1" applyFont="1" applyFill="1" applyBorder="1" applyProtection="1">
      <protection locked="0"/>
    </xf>
    <xf numFmtId="0" fontId="0" fillId="4" borderId="0" xfId="0" applyFill="1" applyBorder="1" applyProtection="1">
      <protection locked="0"/>
    </xf>
    <xf numFmtId="0" fontId="0" fillId="4" borderId="9" xfId="0" applyFill="1" applyBorder="1" applyProtection="1">
      <protection locked="0"/>
    </xf>
  </cellXfs>
  <cellStyles count="6">
    <cellStyle name="Comma" xfId="2" builtinId="3"/>
    <cellStyle name="Hyperlink" xfId="1" builtinId="8"/>
    <cellStyle name="Hyperlink 2" xfId="5"/>
    <cellStyle name="Normal" xfId="0" builtinId="0"/>
    <cellStyle name="Normal 2" xfId="4"/>
    <cellStyle name="Percent" xfId="3" builtinId="5"/>
  </cellStyles>
  <dxfs count="49">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1" tint="0.34998626667073579"/>
      </font>
      <fill>
        <patternFill>
          <bgColor theme="1" tint="0.34998626667073579"/>
        </patternFill>
      </fill>
      <border>
        <left/>
        <right/>
        <top/>
        <bottom/>
        <vertical/>
        <horizontal/>
      </border>
    </dxf>
    <dxf>
      <font>
        <color theme="1" tint="0.24994659260841701"/>
      </font>
      <fill>
        <patternFill patternType="solid">
          <fgColor theme="2" tint="-0.499984740745262"/>
          <bgColor theme="1" tint="0.24994659260841701"/>
        </patternFill>
      </fill>
    </dxf>
    <dxf>
      <font>
        <color theme="1" tint="0.34998626667073579"/>
      </font>
      <fill>
        <patternFill>
          <bgColor theme="1" tint="0.34998626667073579"/>
        </patternFill>
      </fill>
      <border>
        <left/>
        <right/>
        <top/>
        <bottom/>
        <vertical/>
        <horizontal/>
      </border>
    </dxf>
    <dxf>
      <font>
        <color theme="1" tint="0.34998626667073579"/>
      </font>
      <fill>
        <patternFill>
          <bgColor theme="1" tint="0.34998626667073579"/>
        </patternFill>
      </fill>
      <border>
        <left/>
        <right/>
        <top/>
        <bottom/>
        <vertical/>
        <horizontal/>
      </border>
    </dxf>
    <dxf>
      <font>
        <color theme="1" tint="0.24994659260841701"/>
      </font>
      <fill>
        <patternFill patternType="solid">
          <fgColor theme="2" tint="-0.499984740745262"/>
          <bgColor theme="1" tint="0.24994659260841701"/>
        </patternFill>
      </fill>
    </dxf>
    <dxf>
      <font>
        <color theme="1" tint="0.34998626667073579"/>
      </font>
      <fill>
        <patternFill>
          <bgColor theme="1" tint="0.34998626667073579"/>
        </patternFill>
      </fill>
      <border>
        <left/>
        <right/>
        <top/>
        <bottom/>
        <vertical/>
        <horizontal/>
      </border>
    </dxf>
    <dxf>
      <font>
        <b/>
        <i val="0"/>
        <strike val="0"/>
        <u val="double"/>
        <color rgb="FFFF0000"/>
      </font>
    </dxf>
    <dxf>
      <font>
        <color rgb="FF00B050"/>
      </font>
      <fill>
        <patternFill patternType="none">
          <bgColor auto="1"/>
        </patternFill>
      </fill>
    </dxf>
    <dxf>
      <font>
        <b/>
        <i val="0"/>
        <u val="double"/>
        <color rgb="FFFF0000"/>
      </font>
    </dxf>
  </dxfs>
  <tableStyles count="0" defaultTableStyle="TableStyleMedium2" defaultPivotStyle="PivotStyleLight16"/>
  <colors>
    <mruColors>
      <color rgb="FFF7FCFF"/>
      <color rgb="FFEBF7FF"/>
      <color rgb="FFDDF2FF"/>
      <color rgb="FFF2F2F2"/>
      <color rgb="FFCCECFF"/>
      <color rgb="FFCCFF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4.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5.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22065761353027"/>
          <c:y val="0.14067783491277192"/>
          <c:w val="0.84332543580810249"/>
          <c:h val="0.61305190609519711"/>
        </c:manualLayout>
      </c:layout>
      <c:barChart>
        <c:barDir val="col"/>
        <c:grouping val="clustered"/>
        <c:varyColors val="0"/>
        <c:ser>
          <c:idx val="4"/>
          <c:order val="0"/>
          <c:tx>
            <c:strRef>
              <c:f>'Input 4_RSV Season'!$AG$12</c:f>
              <c:strCache>
                <c:ptCount val="1"/>
                <c:pt idx="0">
                  <c:v>Provide intervention*</c:v>
                </c:pt>
              </c:strCache>
            </c:strRef>
          </c:tx>
          <c:spPr>
            <a:solidFill>
              <a:schemeClr val="accent4">
                <a:lumMod val="20000"/>
                <a:lumOff val="80000"/>
              </a:schemeClr>
            </a:solidFill>
            <a:ln>
              <a:noFill/>
            </a:ln>
            <a:effectLst/>
          </c:spPr>
          <c:invertIfNegative val="0"/>
          <c:val>
            <c:numRef>
              <c:f>'Input 4_RSV Season'!$AG$13:$AG$24</c:f>
              <c:numCache>
                <c:formatCode>0%</c:formatCode>
                <c:ptCount val="12"/>
                <c:pt idx="0">
                  <c:v>0</c:v>
                </c:pt>
                <c:pt idx="1">
                  <c:v>0</c:v>
                </c:pt>
                <c:pt idx="2">
                  <c:v>1</c:v>
                </c:pt>
                <c:pt idx="3">
                  <c:v>1</c:v>
                </c:pt>
                <c:pt idx="4">
                  <c:v>1</c:v>
                </c:pt>
                <c:pt idx="5">
                  <c:v>1</c:v>
                </c:pt>
                <c:pt idx="6">
                  <c:v>1</c:v>
                </c:pt>
                <c:pt idx="7">
                  <c:v>1</c:v>
                </c:pt>
                <c:pt idx="8">
                  <c:v>0</c:v>
                </c:pt>
                <c:pt idx="9">
                  <c:v>0</c:v>
                </c:pt>
                <c:pt idx="10">
                  <c:v>0</c:v>
                </c:pt>
                <c:pt idx="11">
                  <c:v>0</c:v>
                </c:pt>
              </c:numCache>
            </c:numRef>
          </c:val>
          <c:extLst>
            <c:ext xmlns:c16="http://schemas.microsoft.com/office/drawing/2014/chart" uri="{C3380CC4-5D6E-409C-BE32-E72D297353CC}">
              <c16:uniqueId val="{00000007-262A-4FBF-AD78-4233BA861660}"/>
            </c:ext>
          </c:extLst>
        </c:ser>
        <c:dLbls>
          <c:showLegendKey val="0"/>
          <c:showVal val="0"/>
          <c:showCatName val="0"/>
          <c:showSerName val="0"/>
          <c:showPercent val="0"/>
          <c:showBubbleSize val="0"/>
        </c:dLbls>
        <c:gapWidth val="0"/>
        <c:overlap val="-10"/>
        <c:axId val="428608920"/>
        <c:axId val="206050928"/>
      </c:barChart>
      <c:lineChart>
        <c:grouping val="standard"/>
        <c:varyColors val="0"/>
        <c:ser>
          <c:idx val="0"/>
          <c:order val="1"/>
          <c:tx>
            <c:strRef>
              <c:f>'Input 4_RSV Season'!$E$11</c:f>
              <c:strCache>
                <c:ptCount val="1"/>
                <c:pt idx="0">
                  <c:v>% cases, Your jurisdiction</c:v>
                </c:pt>
              </c:strCache>
            </c:strRef>
          </c:tx>
          <c:spPr>
            <a:ln w="28575" cap="rnd">
              <a:solidFill>
                <a:schemeClr val="accent1"/>
              </a:solidFill>
              <a:round/>
            </a:ln>
            <a:effectLst/>
          </c:spPr>
          <c:marker>
            <c:symbol val="none"/>
          </c:marker>
          <c:cat>
            <c:strRef>
              <c:f>'Input 4_RSV Season'!$C$13:$C$24</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'Input 4_RSV Season'!$E$13:$E$24</c:f>
              <c:numCache>
                <c:formatCode>0.0%</c:formatCode>
                <c:ptCount val="12"/>
                <c:pt idx="0">
                  <c:v>0</c:v>
                </c:pt>
                <c:pt idx="1">
                  <c:v>0</c:v>
                </c:pt>
                <c:pt idx="2">
                  <c:v>7.9000000000000001E-2</c:v>
                </c:pt>
                <c:pt idx="3">
                  <c:v>0.22899999999999998</c:v>
                </c:pt>
                <c:pt idx="4">
                  <c:v>0.32600000000000001</c:v>
                </c:pt>
                <c:pt idx="5">
                  <c:v>0.218</c:v>
                </c:pt>
                <c:pt idx="6">
                  <c:v>0.11700000000000001</c:v>
                </c:pt>
                <c:pt idx="7">
                  <c:v>3.1E-2</c:v>
                </c:pt>
                <c:pt idx="8">
                  <c:v>0</c:v>
                </c:pt>
                <c:pt idx="9">
                  <c:v>0</c:v>
                </c:pt>
                <c:pt idx="10">
                  <c:v>0</c:v>
                </c:pt>
                <c:pt idx="11">
                  <c:v>0</c:v>
                </c:pt>
              </c:numCache>
            </c:numRef>
          </c:val>
          <c:smooth val="0"/>
          <c:extLst>
            <c:ext xmlns:c16="http://schemas.microsoft.com/office/drawing/2014/chart" uri="{C3380CC4-5D6E-409C-BE32-E72D297353CC}">
              <c16:uniqueId val="{00000002-262A-4FBF-AD78-4233BA861660}"/>
            </c:ext>
          </c:extLst>
        </c:ser>
        <c:ser>
          <c:idx val="1"/>
          <c:order val="2"/>
          <c:tx>
            <c:strRef>
              <c:f>'Input 4_RSV Season'!$F$11</c:f>
              <c:strCache>
                <c:ptCount val="1"/>
                <c:pt idx="0">
                  <c:v>% cases, US*</c:v>
                </c:pt>
              </c:strCache>
            </c:strRef>
          </c:tx>
          <c:spPr>
            <a:ln w="28575" cap="rnd">
              <a:solidFill>
                <a:schemeClr val="accent2"/>
              </a:solidFill>
              <a:prstDash val="sysDash"/>
              <a:round/>
            </a:ln>
            <a:effectLst/>
          </c:spPr>
          <c:marker>
            <c:symbol val="circle"/>
            <c:size val="5"/>
            <c:spPr>
              <a:solidFill>
                <a:schemeClr val="accent2"/>
              </a:solidFill>
              <a:ln w="9525">
                <a:solidFill>
                  <a:schemeClr val="accent2"/>
                </a:solidFill>
              </a:ln>
              <a:effectLst/>
            </c:spPr>
          </c:marker>
          <c:dPt>
            <c:idx val="5"/>
            <c:marker>
              <c:symbol val="none"/>
            </c:marker>
            <c:bubble3D val="0"/>
            <c:spPr>
              <a:ln w="28575" cap="rnd">
                <a:solidFill>
                  <a:schemeClr val="accent2"/>
                </a:solidFill>
                <a:prstDash val="sysDash"/>
                <a:round/>
              </a:ln>
              <a:effectLst>
                <a:softEdge rad="0"/>
              </a:effectLst>
            </c:spPr>
            <c:extLst>
              <c:ext xmlns:c16="http://schemas.microsoft.com/office/drawing/2014/chart" uri="{C3380CC4-5D6E-409C-BE32-E72D297353CC}">
                <c16:uniqueId val="{00000004-262A-4FBF-AD78-4233BA861660}"/>
              </c:ext>
            </c:extLst>
          </c:dPt>
          <c:cat>
            <c:strRef>
              <c:f>'Input 4_RSV Season'!$C$13:$C$24</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'Input 4_RSV Season'!$AB$13:$AB$24</c:f>
              <c:numCache>
                <c:formatCode>0.0%</c:formatCode>
                <c:ptCount val="12"/>
                <c:pt idx="0">
                  <c:v>0.01</c:v>
                </c:pt>
                <c:pt idx="1">
                  <c:v>0.01</c:v>
                </c:pt>
                <c:pt idx="2">
                  <c:v>8.8999999999999996E-2</c:v>
                </c:pt>
                <c:pt idx="3">
                  <c:v>0.23899999999999999</c:v>
                </c:pt>
                <c:pt idx="4">
                  <c:v>0.33600000000000002</c:v>
                </c:pt>
                <c:pt idx="5">
                  <c:v>0.22800000000000001</c:v>
                </c:pt>
                <c:pt idx="6">
                  <c:v>0.127</c:v>
                </c:pt>
                <c:pt idx="7">
                  <c:v>4.1000000000000002E-2</c:v>
                </c:pt>
                <c:pt idx="8">
                  <c:v>0.01</c:v>
                </c:pt>
                <c:pt idx="9">
                  <c:v>0.01</c:v>
                </c:pt>
                <c:pt idx="10">
                  <c:v>0.01</c:v>
                </c:pt>
                <c:pt idx="11">
                  <c:v>0.01</c:v>
                </c:pt>
              </c:numCache>
            </c:numRef>
          </c:val>
          <c:smooth val="0"/>
          <c:extLst>
            <c:ext xmlns:c16="http://schemas.microsoft.com/office/drawing/2014/chart" uri="{C3380CC4-5D6E-409C-BE32-E72D297353CC}">
              <c16:uniqueId val="{00000005-262A-4FBF-AD78-4233BA861660}"/>
            </c:ext>
          </c:extLst>
        </c:ser>
        <c:dLbls>
          <c:showLegendKey val="0"/>
          <c:showVal val="0"/>
          <c:showCatName val="0"/>
          <c:showSerName val="0"/>
          <c:showPercent val="0"/>
          <c:showBubbleSize val="0"/>
        </c:dLbls>
        <c:marker val="1"/>
        <c:smooth val="0"/>
        <c:axId val="196066136"/>
        <c:axId val="196063840"/>
      </c:lineChart>
      <c:catAx>
        <c:axId val="196066136"/>
        <c:scaling>
          <c:orientation val="minMax"/>
        </c:scaling>
        <c:delete val="0"/>
        <c:axPos val="b"/>
        <c:title>
          <c:tx>
            <c:strRef>
              <c:f>'Input 4_RSV Season'!$C$11:$C$12</c:f>
              <c:strCache>
                <c:ptCount val="2"/>
                <c:pt idx="0">
                  <c:v>Month of Season</c:v>
                </c:pt>
              </c:strCache>
            </c:strRef>
          </c:tx>
          <c:layout>
            <c:manualLayout>
              <c:xMode val="edge"/>
              <c:yMode val="edge"/>
              <c:x val="0.42337667468345608"/>
              <c:y val="0.91375253967238268"/>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in"/>
        <c:minorTickMark val="none"/>
        <c:tickLblPos val="low"/>
        <c:spPr>
          <a:noFill/>
          <a:ln w="12700" cap="flat" cmpd="sng" algn="ctr">
            <a:solidFill>
              <a:schemeClr val="dk1"/>
            </a:solidFill>
            <a:prstDash val="solid"/>
            <a:miter lim="800000"/>
          </a:ln>
          <a:effectLst/>
        </c:spPr>
        <c:txPr>
          <a:bodyPr rot="-2700000" spcFirstLastPara="1" vertOverflow="ellipsis" wrap="square" anchor="ctr" anchorCtr="1"/>
          <a:lstStyle/>
          <a:p>
            <a:pPr>
              <a:defRPr sz="900" b="0" i="0" u="none" strike="noStrike" kern="1200" baseline="0">
                <a:solidFill>
                  <a:schemeClr val="bg2">
                    <a:lumMod val="50000"/>
                  </a:schemeClr>
                </a:solidFill>
                <a:latin typeface="+mn-lt"/>
                <a:ea typeface="+mn-ea"/>
                <a:cs typeface="+mn-cs"/>
              </a:defRPr>
            </a:pPr>
            <a:endParaRPr lang="en-US"/>
          </a:p>
        </c:txPr>
        <c:crossAx val="196063840"/>
        <c:crossesAt val="0"/>
        <c:auto val="0"/>
        <c:lblAlgn val="ctr"/>
        <c:lblOffset val="100"/>
        <c:noMultiLvlLbl val="1"/>
      </c:catAx>
      <c:valAx>
        <c:axId val="196063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 of Annual Cases</a:t>
                </a:r>
              </a:p>
            </c:rich>
          </c:tx>
          <c:layout>
            <c:manualLayout>
              <c:xMode val="edge"/>
              <c:yMode val="edge"/>
              <c:x val="9.0876680482845345E-3"/>
              <c:y val="0.1647370410703992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066136"/>
        <c:crossesAt val="1"/>
        <c:crossBetween val="midCat"/>
      </c:valAx>
      <c:valAx>
        <c:axId val="206050928"/>
        <c:scaling>
          <c:orientation val="minMax"/>
          <c:max val="1"/>
        </c:scaling>
        <c:delete val="0"/>
        <c:axPos val="r"/>
        <c:numFmt formatCode="0%" sourceLinked="1"/>
        <c:majorTickMark val="out"/>
        <c:minorTickMark val="none"/>
        <c:tickLblPos val="none"/>
        <c:spPr>
          <a:noFill/>
          <a:ln>
            <a:noFill/>
          </a:ln>
          <a:effectLst/>
        </c:spPr>
        <c:txPr>
          <a:bodyPr rot="-60000000" spcFirstLastPara="1" vertOverflow="ellipsis" vert="horz" wrap="square" anchor="ctr" anchorCtr="1"/>
          <a:lstStyle/>
          <a:p>
            <a:pPr>
              <a:defRPr sz="480" b="0" i="0" u="none" strike="noStrike" kern="1200" baseline="0">
                <a:solidFill>
                  <a:schemeClr val="tx1">
                    <a:lumMod val="65000"/>
                    <a:lumOff val="35000"/>
                  </a:schemeClr>
                </a:solidFill>
                <a:latin typeface="+mn-lt"/>
                <a:ea typeface="+mn-ea"/>
                <a:cs typeface="+mn-cs"/>
              </a:defRPr>
            </a:pPr>
            <a:endParaRPr lang="en-US"/>
          </a:p>
        </c:txPr>
        <c:crossAx val="428608920"/>
        <c:crosses val="max"/>
        <c:crossBetween val="between"/>
      </c:valAx>
      <c:dateAx>
        <c:axId val="428608920"/>
        <c:scaling>
          <c:orientation val="minMax"/>
        </c:scaling>
        <c:delete val="1"/>
        <c:axPos val="b"/>
        <c:numFmt formatCode="General" sourceLinked="1"/>
        <c:majorTickMark val="out"/>
        <c:minorTickMark val="none"/>
        <c:tickLblPos val="nextTo"/>
        <c:crossAx val="206050928"/>
        <c:crosses val="autoZero"/>
        <c:auto val="0"/>
        <c:lblOffset val="100"/>
        <c:baseTimeUnit val="days"/>
      </c:dateAx>
      <c:spPr>
        <a:noFill/>
        <a:ln>
          <a:noFill/>
        </a:ln>
        <a:effectLst/>
      </c:spPr>
    </c:plotArea>
    <c:legend>
      <c:legendPos val="r"/>
      <c:layout>
        <c:manualLayout>
          <c:xMode val="edge"/>
          <c:yMode val="edge"/>
          <c:x val="9.9744218723951499E-3"/>
          <c:y val="2.0331836173002639E-2"/>
          <c:w val="0.97195113005787248"/>
          <c:h val="0.1047127396080120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Hospitalizations</a:t>
            </a:r>
          </a:p>
        </c:rich>
      </c:tx>
      <c:layout/>
      <c:overlay val="0"/>
      <c:spPr>
        <a:noFill/>
        <a:ln>
          <a:noFill/>
        </a:ln>
        <a:effectLst/>
      </c:spPr>
    </c:title>
    <c:autoTitleDeleted val="0"/>
    <c:plotArea>
      <c:layout/>
      <c:lineChart>
        <c:grouping val="standard"/>
        <c:varyColors val="1"/>
        <c:ser>
          <c:idx val="0"/>
          <c:order val="0"/>
          <c:spPr>
            <a:ln w="25400">
              <a:noFill/>
            </a:ln>
          </c:spPr>
          <c:marker>
            <c:symbol val="dash"/>
            <c:size val="10"/>
            <c:spPr>
              <a:ln w="31750"/>
            </c:spPr>
          </c:marker>
          <c:dPt>
            <c:idx val="0"/>
            <c:marker>
              <c:spPr>
                <a:solidFill>
                  <a:schemeClr val="accent1"/>
                </a:solidFill>
                <a:ln w="31750">
                  <a:solidFill>
                    <a:schemeClr val="accent1"/>
                  </a:solidFill>
                </a:ln>
                <a:effectLst/>
              </c:spPr>
            </c:marker>
            <c:bubble3D val="0"/>
            <c:spPr>
              <a:ln w="25400" cap="rnd">
                <a:noFill/>
                <a:round/>
              </a:ln>
              <a:effectLst/>
            </c:spPr>
            <c:extLst>
              <c:ext xmlns:c16="http://schemas.microsoft.com/office/drawing/2014/chart" uri="{C3380CC4-5D6E-409C-BE32-E72D297353CC}">
                <c16:uniqueId val="{00000001-00F4-4098-921D-22638F904A9A}"/>
              </c:ext>
            </c:extLst>
          </c:dPt>
          <c:dPt>
            <c:idx val="1"/>
            <c:marker>
              <c:spPr>
                <a:solidFill>
                  <a:schemeClr val="accent2"/>
                </a:solidFill>
                <a:ln w="31750">
                  <a:solidFill>
                    <a:schemeClr val="accent2"/>
                  </a:solidFill>
                </a:ln>
                <a:effectLst/>
              </c:spPr>
            </c:marker>
            <c:bubble3D val="0"/>
            <c:spPr>
              <a:ln w="25400" cap="rnd">
                <a:noFill/>
                <a:round/>
              </a:ln>
              <a:effectLst/>
            </c:spPr>
            <c:extLst>
              <c:ext xmlns:c16="http://schemas.microsoft.com/office/drawing/2014/chart" uri="{C3380CC4-5D6E-409C-BE32-E72D297353CC}">
                <c16:uniqueId val="{00000003-00F4-4098-921D-22638F904A9A}"/>
              </c:ext>
            </c:extLst>
          </c:dPt>
          <c:dPt>
            <c:idx val="2"/>
            <c:marker>
              <c:spPr>
                <a:solidFill>
                  <a:schemeClr val="accent3"/>
                </a:solidFill>
                <a:ln w="31750">
                  <a:solidFill>
                    <a:schemeClr val="accent3"/>
                  </a:solidFill>
                </a:ln>
                <a:effectLst/>
              </c:spPr>
            </c:marker>
            <c:bubble3D val="0"/>
            <c:spPr>
              <a:ln w="25400" cap="rnd">
                <a:noFill/>
                <a:round/>
              </a:ln>
              <a:effectLst/>
            </c:spPr>
            <c:extLst>
              <c:ext xmlns:c16="http://schemas.microsoft.com/office/drawing/2014/chart" uri="{C3380CC4-5D6E-409C-BE32-E72D297353CC}">
                <c16:uniqueId val="{00000005-00F4-4098-921D-22638F904A9A}"/>
              </c:ext>
            </c:extLst>
          </c:dPt>
          <c:errBars>
            <c:errDir val="y"/>
            <c:errBarType val="both"/>
            <c:errValType val="cust"/>
            <c:noEndCap val="0"/>
            <c:plus>
              <c:numRef>
                <c:extLst>
                  <c:ext xmlns:c15="http://schemas.microsoft.com/office/drawing/2012/chart" uri="{02D57815-91ED-43cb-92C2-25804820EDAC}">
                    <c15:fullRef>
                      <c15:sqref>'Sensitivity wrksht_Maternal'!$E$34:$E$42</c15:sqref>
                    </c15:fullRef>
                  </c:ext>
                </c:extLst>
                <c:f>'Sensitivity wrksht_Maternal'!$E$34:$E$36</c:f>
                <c:numCache>
                  <c:formatCode>General</c:formatCode>
                  <c:ptCount val="3"/>
                  <c:pt idx="0">
                    <c:v>1960</c:v>
                  </c:pt>
                  <c:pt idx="1">
                    <c:v>-664.09886976096459</c:v>
                  </c:pt>
                  <c:pt idx="2">
                    <c:v>-650.87333874915021</c:v>
                  </c:pt>
                </c:numCache>
              </c:numRef>
            </c:plus>
            <c:minus>
              <c:numRef>
                <c:extLst>
                  <c:ext xmlns:c15="http://schemas.microsoft.com/office/drawing/2012/chart" uri="{02D57815-91ED-43cb-92C2-25804820EDAC}">
                    <c15:fullRef>
                      <c15:sqref>'Sensitivity wrksht_Maternal'!$D$34:$D$42</c15:sqref>
                    </c15:fullRef>
                  </c:ext>
                </c:extLst>
                <c:f>'Sensitivity wrksht_Maternal'!$D$34:$D$36</c:f>
                <c:numCache>
                  <c:formatCode>General</c:formatCode>
                  <c:ptCount val="3"/>
                  <c:pt idx="0">
                    <c:v>1800</c:v>
                  </c:pt>
                  <c:pt idx="1">
                    <c:v>-658.45423142050822</c:v>
                  </c:pt>
                  <c:pt idx="2">
                    <c:v>-460.07126624328521</c:v>
                  </c:pt>
                </c:numCache>
              </c:numRef>
            </c:minus>
            <c:spPr>
              <a:noFill/>
              <a:ln w="19050"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'Sensitivity wrksht_Maternal'!$B$34:$B$42</c15:sqref>
                  </c15:fullRef>
                </c:ext>
              </c:extLst>
              <c:f>'Sensitivity wrksht_Maternal'!$B$34:$B$36</c:f>
              <c:strCache>
                <c:ptCount val="3"/>
                <c:pt idx="0">
                  <c:v>RSV Rates Uncertainty*</c:v>
                </c:pt>
                <c:pt idx="1">
                  <c:v>Uptake Uncertainty^</c:v>
                </c:pt>
                <c:pt idx="2">
                  <c:v>Efficacy Uncertainty°</c:v>
                </c:pt>
              </c:strCache>
            </c:strRef>
          </c:cat>
          <c:val>
            <c:numRef>
              <c:extLst>
                <c:ext xmlns:c15="http://schemas.microsoft.com/office/drawing/2012/chart" uri="{02D57815-91ED-43cb-92C2-25804820EDAC}">
                  <c15:fullRef>
                    <c15:sqref>'Sensitivity wrksht_Maternal'!$C$34:$C$42</c15:sqref>
                  </c15:fullRef>
                </c:ext>
              </c:extLst>
              <c:f>'Sensitivity wrksht_Maternal'!$C$34:$C$36</c:f>
              <c:numCache>
                <c:formatCode>#,##0</c:formatCode>
                <c:ptCount val="3"/>
                <c:pt idx="0">
                  <c:v>8190</c:v>
                </c:pt>
                <c:pt idx="1">
                  <c:v>8190</c:v>
                </c:pt>
                <c:pt idx="2">
                  <c:v>8190</c:v>
                </c:pt>
              </c:numCache>
            </c:numRef>
          </c:val>
          <c:smooth val="0"/>
          <c:extLst>
            <c:ext xmlns:c16="http://schemas.microsoft.com/office/drawing/2014/chart" uri="{C3380CC4-5D6E-409C-BE32-E72D297353CC}">
              <c16:uniqueId val="{00000006-00F4-4098-921D-22638F904A9A}"/>
            </c:ext>
          </c:extLst>
        </c:ser>
        <c:dLbls>
          <c:showLegendKey val="0"/>
          <c:showVal val="0"/>
          <c:showCatName val="0"/>
          <c:showSerName val="0"/>
          <c:showPercent val="0"/>
          <c:showBubbleSize val="0"/>
        </c:dLbls>
        <c:marker val="1"/>
        <c:smooth val="0"/>
        <c:axId val="192806360"/>
        <c:axId val="192807672"/>
      </c:lineChart>
      <c:catAx>
        <c:axId val="192806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2807672"/>
        <c:crosses val="autoZero"/>
        <c:auto val="1"/>
        <c:lblAlgn val="ctr"/>
        <c:lblOffset val="100"/>
        <c:noMultiLvlLbl val="1"/>
      </c:catAx>
      <c:valAx>
        <c:axId val="192807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806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ED</a:t>
            </a:r>
          </a:p>
        </c:rich>
      </c:tx>
      <c:layout/>
      <c:overlay val="0"/>
      <c:spPr>
        <a:noFill/>
        <a:ln>
          <a:noFill/>
        </a:ln>
        <a:effectLst/>
      </c:spPr>
    </c:title>
    <c:autoTitleDeleted val="0"/>
    <c:plotArea>
      <c:layout/>
      <c:lineChart>
        <c:grouping val="standard"/>
        <c:varyColors val="1"/>
        <c:ser>
          <c:idx val="0"/>
          <c:order val="0"/>
          <c:spPr>
            <a:ln w="25400">
              <a:noFill/>
            </a:ln>
          </c:spPr>
          <c:marker>
            <c:symbol val="dash"/>
            <c:size val="10"/>
            <c:spPr>
              <a:ln w="31750"/>
            </c:spPr>
          </c:marker>
          <c:dPt>
            <c:idx val="0"/>
            <c:marker>
              <c:spPr>
                <a:solidFill>
                  <a:schemeClr val="accent4"/>
                </a:solidFill>
                <a:ln w="31750">
                  <a:solidFill>
                    <a:schemeClr val="accent4"/>
                  </a:solidFill>
                </a:ln>
                <a:effectLst/>
              </c:spPr>
            </c:marker>
            <c:bubble3D val="0"/>
            <c:spPr>
              <a:ln w="25400" cap="rnd">
                <a:noFill/>
                <a:round/>
              </a:ln>
              <a:effectLst/>
            </c:spPr>
            <c:extLst>
              <c:ext xmlns:c16="http://schemas.microsoft.com/office/drawing/2014/chart" uri="{C3380CC4-5D6E-409C-BE32-E72D297353CC}">
                <c16:uniqueId val="{00000001-BCAD-4F66-AE85-F131F99AE2B6}"/>
              </c:ext>
            </c:extLst>
          </c:dPt>
          <c:dPt>
            <c:idx val="1"/>
            <c:marker>
              <c:spPr>
                <a:solidFill>
                  <a:schemeClr val="accent5"/>
                </a:solidFill>
                <a:ln w="31750">
                  <a:solidFill>
                    <a:schemeClr val="accent5"/>
                  </a:solidFill>
                </a:ln>
                <a:effectLst/>
              </c:spPr>
            </c:marker>
            <c:bubble3D val="0"/>
            <c:spPr>
              <a:ln w="25400" cap="rnd">
                <a:noFill/>
                <a:round/>
              </a:ln>
              <a:effectLst/>
            </c:spPr>
            <c:extLst>
              <c:ext xmlns:c16="http://schemas.microsoft.com/office/drawing/2014/chart" uri="{C3380CC4-5D6E-409C-BE32-E72D297353CC}">
                <c16:uniqueId val="{00000003-BCAD-4F66-AE85-F131F99AE2B6}"/>
              </c:ext>
            </c:extLst>
          </c:dPt>
          <c:dPt>
            <c:idx val="2"/>
            <c:marker>
              <c:spPr>
                <a:solidFill>
                  <a:schemeClr val="accent6"/>
                </a:solidFill>
                <a:ln w="31750">
                  <a:solidFill>
                    <a:schemeClr val="accent6"/>
                  </a:solidFill>
                </a:ln>
                <a:effectLst/>
              </c:spPr>
            </c:marker>
            <c:bubble3D val="0"/>
            <c:spPr>
              <a:ln w="25400" cap="rnd">
                <a:noFill/>
                <a:round/>
              </a:ln>
              <a:effectLst/>
            </c:spPr>
            <c:extLst>
              <c:ext xmlns:c16="http://schemas.microsoft.com/office/drawing/2014/chart" uri="{C3380CC4-5D6E-409C-BE32-E72D297353CC}">
                <c16:uniqueId val="{00000005-BCAD-4F66-AE85-F131F99AE2B6}"/>
              </c:ext>
            </c:extLst>
          </c:dPt>
          <c:errBars>
            <c:errDir val="y"/>
            <c:errBarType val="both"/>
            <c:errValType val="cust"/>
            <c:noEndCap val="0"/>
            <c:plus>
              <c:numRef>
                <c:extLst>
                  <c:ext xmlns:c15="http://schemas.microsoft.com/office/drawing/2012/chart" uri="{02D57815-91ED-43cb-92C2-25804820EDAC}">
                    <c15:fullRef>
                      <c15:sqref>'Sensitivity wrksht_Maternal'!$E$34:$E$42</c15:sqref>
                    </c15:fullRef>
                  </c:ext>
                </c:extLst>
                <c:f>'Sensitivity wrksht_Maternal'!$E$37:$E$39</c:f>
                <c:numCache>
                  <c:formatCode>General</c:formatCode>
                  <c:ptCount val="3"/>
                  <c:pt idx="0">
                    <c:v>2820</c:v>
                  </c:pt>
                  <c:pt idx="1">
                    <c:v>-1458.5232200169266</c:v>
                  </c:pt>
                  <c:pt idx="2">
                    <c:v>-1429.1551814505438</c:v>
                  </c:pt>
                </c:numCache>
              </c:numRef>
            </c:plus>
            <c:minus>
              <c:numRef>
                <c:extLst>
                  <c:ext xmlns:c15="http://schemas.microsoft.com/office/drawing/2012/chart" uri="{02D57815-91ED-43cb-92C2-25804820EDAC}">
                    <c15:fullRef>
                      <c15:sqref>'Sensitivity wrksht_Maternal'!$D$34:$D$42</c15:sqref>
                    </c15:fullRef>
                  </c:ext>
                </c:extLst>
                <c:f>'Sensitivity wrksht_Maternal'!$D$37:$D$39</c:f>
                <c:numCache>
                  <c:formatCode>General</c:formatCode>
                  <c:ptCount val="3"/>
                  <c:pt idx="0">
                    <c:v>2820</c:v>
                  </c:pt>
                  <c:pt idx="1">
                    <c:v>-1459.6318424387246</c:v>
                  </c:pt>
                  <c:pt idx="2">
                    <c:v>-1021.9085830703734</c:v>
                  </c:pt>
                </c:numCache>
              </c:numRef>
            </c:minus>
            <c:spPr>
              <a:noFill/>
              <a:ln w="19050"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'Sensitivity wrksht_Maternal'!$B$34:$B$42</c15:sqref>
                  </c15:fullRef>
                </c:ext>
              </c:extLst>
              <c:f>'Sensitivity wrksht_Maternal'!$B$37:$B$39</c:f>
              <c:strCache>
                <c:ptCount val="3"/>
                <c:pt idx="0">
                  <c:v>RSV Rates Uncertainty*</c:v>
                </c:pt>
                <c:pt idx="1">
                  <c:v>Uptake Uncertainty^</c:v>
                </c:pt>
                <c:pt idx="2">
                  <c:v>Efficacy Uncertainty°</c:v>
                </c:pt>
              </c:strCache>
            </c:strRef>
          </c:cat>
          <c:val>
            <c:numRef>
              <c:extLst>
                <c:ext xmlns:c15="http://schemas.microsoft.com/office/drawing/2012/chart" uri="{02D57815-91ED-43cb-92C2-25804820EDAC}">
                  <c15:fullRef>
                    <c15:sqref>'Sensitivity wrksht_Maternal'!$C$34:$C$42</c15:sqref>
                  </c15:fullRef>
                </c:ext>
              </c:extLst>
              <c:f>'Sensitivity wrksht_Maternal'!$C$37:$C$39</c:f>
              <c:numCache>
                <c:formatCode>#,##0</c:formatCode>
                <c:ptCount val="3"/>
                <c:pt idx="0">
                  <c:v>19580</c:v>
                </c:pt>
                <c:pt idx="1">
                  <c:v>19580</c:v>
                </c:pt>
                <c:pt idx="2">
                  <c:v>19580</c:v>
                </c:pt>
              </c:numCache>
            </c:numRef>
          </c:val>
          <c:smooth val="0"/>
          <c:extLst>
            <c:ext xmlns:c15="http://schemas.microsoft.com/office/drawing/2012/chart" uri="{02D57815-91ED-43cb-92C2-25804820EDAC}">
              <c15:categoryFilterExceptions>
                <c15:categoryFilterException>
                  <c15:sqref>'Sensitivity wrksht_Maternal'!$C$34</c15:sqref>
                  <c15:spPr xmlns:c15="http://schemas.microsoft.com/office/drawing/2012/chart">
                    <a:ln w="25400" cap="rnd">
                      <a:noFill/>
                      <a:round/>
                    </a:ln>
                    <a:effectLst/>
                  </c15:spPr>
                  <c15:bubble3D val="0"/>
                  <c15:marker>
                    <c:spPr>
                      <a:solidFill>
                        <a:schemeClr val="accent1"/>
                      </a:solidFill>
                      <a:ln w="31750">
                        <a:solidFill>
                          <a:schemeClr val="accent1"/>
                        </a:solidFill>
                      </a:ln>
                      <a:effectLst/>
                    </c:spPr>
                  </c15:marker>
                </c15:categoryFilterException>
                <c15:categoryFilterException>
                  <c15:sqref>'Sensitivity wrksht_Maternal'!$C$35</c15:sqref>
                  <c15:spPr xmlns:c15="http://schemas.microsoft.com/office/drawing/2012/chart">
                    <a:ln w="25400" cap="rnd">
                      <a:noFill/>
                      <a:round/>
                    </a:ln>
                    <a:effectLst/>
                  </c15:spPr>
                  <c15:bubble3D val="0"/>
                  <c15:marker>
                    <c:spPr>
                      <a:solidFill>
                        <a:schemeClr val="accent2"/>
                      </a:solidFill>
                      <a:ln w="31750">
                        <a:solidFill>
                          <a:schemeClr val="accent2"/>
                        </a:solidFill>
                      </a:ln>
                      <a:effectLst/>
                    </c:spPr>
                  </c15:marker>
                </c15:categoryFilterException>
                <c15:categoryFilterException>
                  <c15:sqref>'Sensitivity wrksht_Maternal'!$C$36</c15:sqref>
                  <c15:spPr xmlns:c15="http://schemas.microsoft.com/office/drawing/2012/chart">
                    <a:ln w="25400" cap="rnd">
                      <a:noFill/>
                      <a:round/>
                    </a:ln>
                    <a:effectLst/>
                  </c15:spPr>
                  <c15:bubble3D val="0"/>
                  <c15:marker>
                    <c:spPr>
                      <a:solidFill>
                        <a:schemeClr val="accent3"/>
                      </a:solidFill>
                      <a:ln w="31750">
                        <a:solidFill>
                          <a:schemeClr val="accent3"/>
                        </a:solidFill>
                      </a:ln>
                      <a:effectLst/>
                    </c:spPr>
                  </c15:marker>
                </c15:categoryFilterException>
              </c15:categoryFilterExceptions>
            </c:ext>
            <c:ext xmlns:c16="http://schemas.microsoft.com/office/drawing/2014/chart" uri="{C3380CC4-5D6E-409C-BE32-E72D297353CC}">
              <c16:uniqueId val="{00000006-BCAD-4F66-AE85-F131F99AE2B6}"/>
            </c:ext>
          </c:extLst>
        </c:ser>
        <c:dLbls>
          <c:showLegendKey val="0"/>
          <c:showVal val="0"/>
          <c:showCatName val="0"/>
          <c:showSerName val="0"/>
          <c:showPercent val="0"/>
          <c:showBubbleSize val="0"/>
        </c:dLbls>
        <c:marker val="1"/>
        <c:smooth val="0"/>
        <c:axId val="192806360"/>
        <c:axId val="192807672"/>
      </c:lineChart>
      <c:catAx>
        <c:axId val="192806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2807672"/>
        <c:crosses val="autoZero"/>
        <c:auto val="1"/>
        <c:lblAlgn val="ctr"/>
        <c:lblOffset val="100"/>
        <c:noMultiLvlLbl val="1"/>
      </c:catAx>
      <c:valAx>
        <c:axId val="192807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806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Outpatient</a:t>
            </a:r>
          </a:p>
        </c:rich>
      </c:tx>
      <c:layout/>
      <c:overlay val="0"/>
      <c:spPr>
        <a:noFill/>
        <a:ln>
          <a:noFill/>
        </a:ln>
        <a:effectLst/>
      </c:spPr>
    </c:title>
    <c:autoTitleDeleted val="0"/>
    <c:plotArea>
      <c:layout/>
      <c:lineChart>
        <c:grouping val="standard"/>
        <c:varyColors val="1"/>
        <c:ser>
          <c:idx val="0"/>
          <c:order val="0"/>
          <c:spPr>
            <a:ln w="25400">
              <a:noFill/>
            </a:ln>
          </c:spPr>
          <c:marker>
            <c:symbol val="dash"/>
            <c:size val="10"/>
            <c:spPr>
              <a:ln w="31750"/>
            </c:spPr>
          </c:marker>
          <c:dPt>
            <c:idx val="0"/>
            <c:marker>
              <c:spPr>
                <a:solidFill>
                  <a:schemeClr val="accent1">
                    <a:lumMod val="60000"/>
                  </a:schemeClr>
                </a:solidFill>
                <a:ln w="31750">
                  <a:solidFill>
                    <a:schemeClr val="accent1">
                      <a:lumMod val="60000"/>
                    </a:schemeClr>
                  </a:solidFill>
                </a:ln>
                <a:effectLst/>
              </c:spPr>
            </c:marker>
            <c:bubble3D val="0"/>
            <c:spPr>
              <a:ln w="25400" cap="rnd">
                <a:noFill/>
                <a:round/>
              </a:ln>
              <a:effectLst/>
            </c:spPr>
            <c:extLst>
              <c:ext xmlns:c16="http://schemas.microsoft.com/office/drawing/2014/chart" uri="{C3380CC4-5D6E-409C-BE32-E72D297353CC}">
                <c16:uniqueId val="{00000001-26E5-4BC2-8E99-87910667466A}"/>
              </c:ext>
            </c:extLst>
          </c:dPt>
          <c:dPt>
            <c:idx val="1"/>
            <c:marker>
              <c:spPr>
                <a:solidFill>
                  <a:schemeClr val="accent2">
                    <a:lumMod val="60000"/>
                  </a:schemeClr>
                </a:solidFill>
                <a:ln w="31750">
                  <a:solidFill>
                    <a:schemeClr val="accent2">
                      <a:lumMod val="60000"/>
                    </a:schemeClr>
                  </a:solidFill>
                </a:ln>
                <a:effectLst/>
              </c:spPr>
            </c:marker>
            <c:bubble3D val="0"/>
            <c:spPr>
              <a:ln w="25400" cap="rnd">
                <a:noFill/>
                <a:round/>
              </a:ln>
              <a:effectLst/>
            </c:spPr>
            <c:extLst>
              <c:ext xmlns:c16="http://schemas.microsoft.com/office/drawing/2014/chart" uri="{C3380CC4-5D6E-409C-BE32-E72D297353CC}">
                <c16:uniqueId val="{00000003-26E5-4BC2-8E99-87910667466A}"/>
              </c:ext>
            </c:extLst>
          </c:dPt>
          <c:dPt>
            <c:idx val="2"/>
            <c:marker>
              <c:spPr>
                <a:solidFill>
                  <a:schemeClr val="accent3">
                    <a:lumMod val="60000"/>
                  </a:schemeClr>
                </a:solidFill>
                <a:ln w="31750">
                  <a:solidFill>
                    <a:schemeClr val="accent3">
                      <a:lumMod val="60000"/>
                    </a:schemeClr>
                  </a:solidFill>
                </a:ln>
                <a:effectLst/>
              </c:spPr>
            </c:marker>
            <c:bubble3D val="0"/>
            <c:spPr>
              <a:ln w="25400" cap="rnd">
                <a:noFill/>
                <a:round/>
              </a:ln>
              <a:effectLst/>
            </c:spPr>
            <c:extLst>
              <c:ext xmlns:c16="http://schemas.microsoft.com/office/drawing/2014/chart" uri="{C3380CC4-5D6E-409C-BE32-E72D297353CC}">
                <c16:uniqueId val="{00000005-26E5-4BC2-8E99-87910667466A}"/>
              </c:ext>
            </c:extLst>
          </c:dPt>
          <c:errBars>
            <c:errDir val="y"/>
            <c:errBarType val="both"/>
            <c:errValType val="cust"/>
            <c:noEndCap val="0"/>
            <c:plus>
              <c:numRef>
                <c:extLst>
                  <c:ext xmlns:c15="http://schemas.microsoft.com/office/drawing/2012/chart" uri="{02D57815-91ED-43cb-92C2-25804820EDAC}">
                    <c15:fullRef>
                      <c15:sqref>'Sensitivity wrksht_Maternal'!$E$34:$E$42</c15:sqref>
                    </c15:fullRef>
                  </c:ext>
                </c:extLst>
                <c:f>'Sensitivity wrksht_Maternal'!$E$40:$E$42</c:f>
                <c:numCache>
                  <c:formatCode>General</c:formatCode>
                  <c:ptCount val="3"/>
                  <c:pt idx="0">
                    <c:v>9760</c:v>
                  </c:pt>
                  <c:pt idx="1">
                    <c:v>-4444.6688810688065</c:v>
                  </c:pt>
                  <c:pt idx="2">
                    <c:v>-4355.8286802969596</c:v>
                  </c:pt>
                </c:numCache>
              </c:numRef>
            </c:plus>
            <c:minus>
              <c:numRef>
                <c:extLst>
                  <c:ext xmlns:c15="http://schemas.microsoft.com/office/drawing/2012/chart" uri="{02D57815-91ED-43cb-92C2-25804820EDAC}">
                    <c15:fullRef>
                      <c15:sqref>'Sensitivity wrksht_Maternal'!$D$34:$D$42</c15:sqref>
                    </c15:fullRef>
                  </c:ext>
                </c:extLst>
                <c:f>'Sensitivity wrksht_Maternal'!$D$40:$D$42</c:f>
                <c:numCache>
                  <c:formatCode>General</c:formatCode>
                  <c:ptCount val="3"/>
                  <c:pt idx="0">
                    <c:v>9690</c:v>
                  </c:pt>
                  <c:pt idx="1">
                    <c:v>-4439.3511961164768</c:v>
                  </c:pt>
                  <c:pt idx="2">
                    <c:v>-3106.7481845386646</c:v>
                  </c:pt>
                </c:numCache>
              </c:numRef>
            </c:minus>
            <c:spPr>
              <a:noFill/>
              <a:ln w="19050"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'Sensitivity wrksht_Maternal'!$B$34:$B$42</c15:sqref>
                  </c15:fullRef>
                </c:ext>
              </c:extLst>
              <c:f>'Sensitivity wrksht_Maternal'!$B$40:$B$42</c:f>
              <c:strCache>
                <c:ptCount val="3"/>
                <c:pt idx="0">
                  <c:v>RSV Rates Uncertainty*</c:v>
                </c:pt>
                <c:pt idx="1">
                  <c:v>Uptake Uncertainty^</c:v>
                </c:pt>
                <c:pt idx="2">
                  <c:v>Efficacy Uncertainty°</c:v>
                </c:pt>
              </c:strCache>
            </c:strRef>
          </c:cat>
          <c:val>
            <c:numRef>
              <c:extLst>
                <c:ext xmlns:c15="http://schemas.microsoft.com/office/drawing/2012/chart" uri="{02D57815-91ED-43cb-92C2-25804820EDAC}">
                  <c15:fullRef>
                    <c15:sqref>'Sensitivity wrksht_Maternal'!$C$34:$C$42</c15:sqref>
                  </c15:fullRef>
                </c:ext>
              </c:extLst>
              <c:f>'Sensitivity wrksht_Maternal'!$C$40:$C$42</c:f>
              <c:numCache>
                <c:formatCode>#,##0</c:formatCode>
                <c:ptCount val="3"/>
                <c:pt idx="0">
                  <c:v>58210</c:v>
                </c:pt>
                <c:pt idx="1">
                  <c:v>58210</c:v>
                </c:pt>
                <c:pt idx="2">
                  <c:v>58210</c:v>
                </c:pt>
              </c:numCache>
            </c:numRef>
          </c:val>
          <c:smooth val="0"/>
          <c:extLst>
            <c:ext xmlns:c15="http://schemas.microsoft.com/office/drawing/2012/chart" uri="{02D57815-91ED-43cb-92C2-25804820EDAC}">
              <c15:categoryFilterExceptions>
                <c15:categoryFilterException>
                  <c15:sqref>'Sensitivity wrksht_Maternal'!$C$34</c15:sqref>
                  <c15:spPr xmlns:c15="http://schemas.microsoft.com/office/drawing/2012/chart">
                    <a:ln w="25400" cap="rnd">
                      <a:noFill/>
                      <a:round/>
                    </a:ln>
                    <a:effectLst/>
                  </c15:spPr>
                  <c15:bubble3D val="0"/>
                  <c15:marker>
                    <c:spPr>
                      <a:solidFill>
                        <a:schemeClr val="accent1"/>
                      </a:solidFill>
                      <a:ln w="31750">
                        <a:solidFill>
                          <a:schemeClr val="accent1"/>
                        </a:solidFill>
                      </a:ln>
                      <a:effectLst/>
                    </c:spPr>
                  </c15:marker>
                </c15:categoryFilterException>
                <c15:categoryFilterException>
                  <c15:sqref>'Sensitivity wrksht_Maternal'!$C$35</c15:sqref>
                  <c15:spPr xmlns:c15="http://schemas.microsoft.com/office/drawing/2012/chart">
                    <a:ln w="25400" cap="rnd">
                      <a:noFill/>
                      <a:round/>
                    </a:ln>
                    <a:effectLst/>
                  </c15:spPr>
                  <c15:bubble3D val="0"/>
                  <c15:marker>
                    <c:spPr>
                      <a:solidFill>
                        <a:schemeClr val="accent2"/>
                      </a:solidFill>
                      <a:ln w="31750">
                        <a:solidFill>
                          <a:schemeClr val="accent2"/>
                        </a:solidFill>
                      </a:ln>
                      <a:effectLst/>
                    </c:spPr>
                  </c15:marker>
                </c15:categoryFilterException>
                <c15:categoryFilterException>
                  <c15:sqref>'Sensitivity wrksht_Maternal'!$C$36</c15:sqref>
                  <c15:spPr xmlns:c15="http://schemas.microsoft.com/office/drawing/2012/chart">
                    <a:ln w="25400" cap="rnd">
                      <a:noFill/>
                      <a:round/>
                    </a:ln>
                    <a:effectLst/>
                  </c15:spPr>
                  <c15:bubble3D val="0"/>
                  <c15:marker>
                    <c:spPr>
                      <a:solidFill>
                        <a:schemeClr val="accent3"/>
                      </a:solidFill>
                      <a:ln w="31750">
                        <a:solidFill>
                          <a:schemeClr val="accent3"/>
                        </a:solidFill>
                      </a:ln>
                      <a:effectLst/>
                    </c:spPr>
                  </c15:marker>
                </c15:categoryFilterException>
                <c15:categoryFilterException>
                  <c15:sqref>'Sensitivity wrksht_Maternal'!$C$37</c15:sqref>
                  <c15:spPr xmlns:c15="http://schemas.microsoft.com/office/drawing/2012/chart">
                    <a:ln w="25400" cap="rnd">
                      <a:noFill/>
                      <a:round/>
                    </a:ln>
                    <a:effectLst/>
                  </c15:spPr>
                  <c15:bubble3D val="0"/>
                  <c15:marker>
                    <c:spPr>
                      <a:solidFill>
                        <a:schemeClr val="accent4"/>
                      </a:solidFill>
                      <a:ln w="31750">
                        <a:solidFill>
                          <a:schemeClr val="accent4"/>
                        </a:solidFill>
                      </a:ln>
                      <a:effectLst/>
                    </c:spPr>
                  </c15:marker>
                </c15:categoryFilterException>
                <c15:categoryFilterException>
                  <c15:sqref>'Sensitivity wrksht_Maternal'!$C$38</c15:sqref>
                  <c15:spPr xmlns:c15="http://schemas.microsoft.com/office/drawing/2012/chart">
                    <a:ln w="25400" cap="rnd">
                      <a:noFill/>
                      <a:round/>
                    </a:ln>
                    <a:effectLst/>
                  </c15:spPr>
                  <c15:bubble3D val="0"/>
                  <c15:marker>
                    <c:spPr>
                      <a:solidFill>
                        <a:schemeClr val="accent5"/>
                      </a:solidFill>
                      <a:ln w="31750">
                        <a:solidFill>
                          <a:schemeClr val="accent5"/>
                        </a:solidFill>
                      </a:ln>
                      <a:effectLst/>
                    </c:spPr>
                  </c15:marker>
                </c15:categoryFilterException>
                <c15:categoryFilterException>
                  <c15:sqref>'Sensitivity wrksht_Maternal'!$C$39</c15:sqref>
                  <c15:spPr xmlns:c15="http://schemas.microsoft.com/office/drawing/2012/chart">
                    <a:ln w="25400" cap="rnd">
                      <a:noFill/>
                      <a:round/>
                    </a:ln>
                    <a:effectLst/>
                  </c15:spPr>
                  <c15:bubble3D val="0"/>
                  <c15:marker>
                    <c:spPr>
                      <a:solidFill>
                        <a:schemeClr val="accent6"/>
                      </a:solidFill>
                      <a:ln w="31750">
                        <a:solidFill>
                          <a:schemeClr val="accent6"/>
                        </a:solidFill>
                      </a:ln>
                      <a:effectLst/>
                    </c:spPr>
                  </c15:marker>
                </c15:categoryFilterException>
              </c15:categoryFilterExceptions>
            </c:ext>
            <c:ext xmlns:c16="http://schemas.microsoft.com/office/drawing/2014/chart" uri="{C3380CC4-5D6E-409C-BE32-E72D297353CC}">
              <c16:uniqueId val="{00000006-26E5-4BC2-8E99-87910667466A}"/>
            </c:ext>
          </c:extLst>
        </c:ser>
        <c:dLbls>
          <c:showLegendKey val="0"/>
          <c:showVal val="0"/>
          <c:showCatName val="0"/>
          <c:showSerName val="0"/>
          <c:showPercent val="0"/>
          <c:showBubbleSize val="0"/>
        </c:dLbls>
        <c:marker val="1"/>
        <c:smooth val="0"/>
        <c:axId val="192806360"/>
        <c:axId val="192807672"/>
      </c:lineChart>
      <c:catAx>
        <c:axId val="192806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2807672"/>
        <c:crosses val="autoZero"/>
        <c:auto val="1"/>
        <c:lblAlgn val="ctr"/>
        <c:lblOffset val="100"/>
        <c:noMultiLvlLbl val="1"/>
      </c:catAx>
      <c:valAx>
        <c:axId val="192807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a:pPr>
                <a:r>
                  <a:rPr lang="en-US" sz="1200"/>
                  <a:t>Visits</a:t>
                </a:r>
              </a:p>
            </c:rich>
          </c:tx>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806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Outpatient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Maternal_Vaccine!$B$580</c:f>
              <c:strCache>
                <c:ptCount val="1"/>
                <c:pt idx="0">
                  <c:v>Low Efficacy, Low RSV Rates</c:v>
                </c:pt>
              </c:strCache>
            </c:strRef>
          </c:tx>
          <c:spPr>
            <a:ln w="28575" cap="rnd">
              <a:solidFill>
                <a:schemeClr val="accent1"/>
              </a:solidFill>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Maternal_Vaccine!$B$582:$B$588</c:f>
              <c:numCache>
                <c:formatCode>_(* #,##0_);_(* \(#,##0\);_(* "-"??_);_(@_)</c:formatCode>
                <c:ptCount val="7"/>
                <c:pt idx="0">
                  <c:v>26150.295859327362</c:v>
                </c:pt>
                <c:pt idx="1">
                  <c:v>32209.062200031585</c:v>
                </c:pt>
                <c:pt idx="2">
                  <c:v>38267.828540735805</c:v>
                </c:pt>
                <c:pt idx="3">
                  <c:v>44326.594881440025</c:v>
                </c:pt>
                <c:pt idx="4">
                  <c:v>50385.361222144245</c:v>
                </c:pt>
                <c:pt idx="5">
                  <c:v>56444.127562848473</c:v>
                </c:pt>
                <c:pt idx="6">
                  <c:v>62502.893903552686</c:v>
                </c:pt>
              </c:numCache>
            </c:numRef>
          </c:val>
          <c:smooth val="0"/>
          <c:extLst>
            <c:ext xmlns:c16="http://schemas.microsoft.com/office/drawing/2014/chart" uri="{C3380CC4-5D6E-409C-BE32-E72D297353CC}">
              <c16:uniqueId val="{00000000-839C-4D61-9917-E1EA4083B624}"/>
            </c:ext>
          </c:extLst>
        </c:ser>
        <c:ser>
          <c:idx val="1"/>
          <c:order val="1"/>
          <c:tx>
            <c:strRef>
              <c:f>Maternal_Vaccine!$E$580</c:f>
              <c:strCache>
                <c:ptCount val="1"/>
                <c:pt idx="0">
                  <c:v>High Efficacy, High RSV Rates</c:v>
                </c:pt>
              </c:strCache>
            </c:strRef>
          </c:tx>
          <c:spPr>
            <a:ln w="28575" cap="rnd">
              <a:solidFill>
                <a:schemeClr val="accent1"/>
              </a:solidFill>
              <a:prstDash val="sysDash"/>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Maternal_Vaccine!$E$582:$E$588</c:f>
              <c:numCache>
                <c:formatCode>_(* #,##0_);_(* \(#,##0\);_(* "-"??_);_(@_)</c:formatCode>
                <c:ptCount val="7"/>
                <c:pt idx="0">
                  <c:v>39754.313448200934</c:v>
                </c:pt>
                <c:pt idx="1">
                  <c:v>49795.295129657228</c:v>
                </c:pt>
                <c:pt idx="2">
                  <c:v>59836.27681111353</c:v>
                </c:pt>
                <c:pt idx="3">
                  <c:v>69877.258492569832</c:v>
                </c:pt>
                <c:pt idx="4">
                  <c:v>79918.240174026141</c:v>
                </c:pt>
                <c:pt idx="5">
                  <c:v>89959.221855482436</c:v>
                </c:pt>
                <c:pt idx="6">
                  <c:v>100000.20353693872</c:v>
                </c:pt>
              </c:numCache>
            </c:numRef>
          </c:val>
          <c:smooth val="0"/>
          <c:extLst>
            <c:ext xmlns:c16="http://schemas.microsoft.com/office/drawing/2014/chart" uri="{C3380CC4-5D6E-409C-BE32-E72D297353CC}">
              <c16:uniqueId val="{00000001-839C-4D61-9917-E1EA4083B624}"/>
            </c:ext>
          </c:extLst>
        </c:ser>
        <c:dLbls>
          <c:showLegendKey val="0"/>
          <c:showVal val="0"/>
          <c:showCatName val="0"/>
          <c:showSerName val="0"/>
          <c:showPercent val="0"/>
          <c:showBubbleSize val="0"/>
        </c:dLbls>
        <c:smooth val="0"/>
        <c:axId val="223843824"/>
        <c:axId val="223845792"/>
      </c:lineChart>
      <c:catAx>
        <c:axId val="2238438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Immunization Uptake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5792"/>
        <c:crosses val="autoZero"/>
        <c:auto val="1"/>
        <c:lblAlgn val="ctr"/>
        <c:lblOffset val="100"/>
        <c:noMultiLvlLbl val="0"/>
      </c:catAx>
      <c:valAx>
        <c:axId val="22384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Visits</a:t>
                </a:r>
                <a:endParaRPr lang="en-US" b="1"/>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3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Maternal_Vaccine!$B$580</c:f>
              <c:strCache>
                <c:ptCount val="1"/>
                <c:pt idx="0">
                  <c:v>Low Efficacy, Low RSV Rates</c:v>
                </c:pt>
              </c:strCache>
            </c:strRef>
          </c:tx>
          <c:spPr>
            <a:ln w="28575" cap="rnd">
              <a:solidFill>
                <a:schemeClr val="accent1"/>
              </a:solidFill>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Maternal_Vaccine!$C$582:$C$588</c:f>
              <c:numCache>
                <c:formatCode>_(* #,##0_);_(* \(#,##0\);_(* "-"??_);_(@_)</c:formatCode>
                <c:ptCount val="7"/>
                <c:pt idx="0">
                  <c:v>9528.7767914506621</c:v>
                </c:pt>
                <c:pt idx="1">
                  <c:v>11533.651056194398</c:v>
                </c:pt>
                <c:pt idx="2">
                  <c:v>13538.525320938137</c:v>
                </c:pt>
                <c:pt idx="3">
                  <c:v>15543.399585681873</c:v>
                </c:pt>
                <c:pt idx="4">
                  <c:v>17548.273850425605</c:v>
                </c:pt>
                <c:pt idx="5">
                  <c:v>19553.148115169344</c:v>
                </c:pt>
                <c:pt idx="6">
                  <c:v>21558.022379913076</c:v>
                </c:pt>
              </c:numCache>
            </c:numRef>
          </c:val>
          <c:smooth val="0"/>
          <c:extLst>
            <c:ext xmlns:c16="http://schemas.microsoft.com/office/drawing/2014/chart" uri="{C3380CC4-5D6E-409C-BE32-E72D297353CC}">
              <c16:uniqueId val="{00000000-2B56-4186-89C4-E2C2301F816E}"/>
            </c:ext>
          </c:extLst>
        </c:ser>
        <c:ser>
          <c:idx val="1"/>
          <c:order val="1"/>
          <c:tx>
            <c:strRef>
              <c:f>Maternal_Vaccine!$E$580</c:f>
              <c:strCache>
                <c:ptCount val="1"/>
                <c:pt idx="0">
                  <c:v>High Efficacy, High RSV Rates</c:v>
                </c:pt>
              </c:strCache>
            </c:strRef>
          </c:tx>
          <c:spPr>
            <a:ln w="28575" cap="rnd">
              <a:solidFill>
                <a:schemeClr val="accent1"/>
              </a:solidFill>
              <a:prstDash val="sysDash"/>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Maternal_Vaccine!$F$582:$F$588</c:f>
              <c:numCache>
                <c:formatCode>_(* #,##0_);_(* \(#,##0\);_(* "-"??_);_(@_)</c:formatCode>
                <c:ptCount val="7"/>
                <c:pt idx="0">
                  <c:v>13735.318195463169</c:v>
                </c:pt>
                <c:pt idx="1">
                  <c:v>16915.725469762649</c:v>
                </c:pt>
                <c:pt idx="2">
                  <c:v>20096.132744062121</c:v>
                </c:pt>
                <c:pt idx="3">
                  <c:v>23276.540018361597</c:v>
                </c:pt>
                <c:pt idx="4">
                  <c:v>26456.947292661076</c:v>
                </c:pt>
                <c:pt idx="5">
                  <c:v>29637.354566960552</c:v>
                </c:pt>
                <c:pt idx="6">
                  <c:v>32817.76184126002</c:v>
                </c:pt>
              </c:numCache>
            </c:numRef>
          </c:val>
          <c:smooth val="0"/>
          <c:extLst>
            <c:ext xmlns:c16="http://schemas.microsoft.com/office/drawing/2014/chart" uri="{C3380CC4-5D6E-409C-BE32-E72D297353CC}">
              <c16:uniqueId val="{00000001-2B56-4186-89C4-E2C2301F816E}"/>
            </c:ext>
          </c:extLst>
        </c:ser>
        <c:dLbls>
          <c:showLegendKey val="0"/>
          <c:showVal val="0"/>
          <c:showCatName val="0"/>
          <c:showSerName val="0"/>
          <c:showPercent val="0"/>
          <c:showBubbleSize val="0"/>
        </c:dLbls>
        <c:smooth val="0"/>
        <c:axId val="223843824"/>
        <c:axId val="223845792"/>
      </c:lineChart>
      <c:catAx>
        <c:axId val="2238438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Immunization Uptake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5792"/>
        <c:crosses val="autoZero"/>
        <c:auto val="1"/>
        <c:lblAlgn val="ctr"/>
        <c:lblOffset val="100"/>
        <c:noMultiLvlLbl val="0"/>
      </c:catAx>
      <c:valAx>
        <c:axId val="223845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3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Hospitalizations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Maternal_Vaccine!$B$580</c:f>
              <c:strCache>
                <c:ptCount val="1"/>
                <c:pt idx="0">
                  <c:v>Low Efficacy, Low RSV Rates</c:v>
                </c:pt>
              </c:strCache>
            </c:strRef>
          </c:tx>
          <c:spPr>
            <a:ln w="28575" cap="rnd">
              <a:solidFill>
                <a:schemeClr val="accent1"/>
              </a:solidFill>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Maternal_Vaccine!$D$582:$D$588</c:f>
              <c:numCache>
                <c:formatCode>_(* #,##0_);_(* \(#,##0\);_(* "-"??_);_(@_)</c:formatCode>
                <c:ptCount val="7"/>
                <c:pt idx="0">
                  <c:v>3258.528609825119</c:v>
                </c:pt>
                <c:pt idx="1">
                  <c:v>4089.4443387924384</c:v>
                </c:pt>
                <c:pt idx="2">
                  <c:v>4920.3600677597578</c:v>
                </c:pt>
                <c:pt idx="3">
                  <c:v>5751.2757967270772</c:v>
                </c:pt>
                <c:pt idx="4">
                  <c:v>6582.1915256943948</c:v>
                </c:pt>
                <c:pt idx="5">
                  <c:v>7413.1072546617143</c:v>
                </c:pt>
                <c:pt idx="6">
                  <c:v>8244.0229836290328</c:v>
                </c:pt>
              </c:numCache>
            </c:numRef>
          </c:val>
          <c:smooth val="0"/>
          <c:extLst>
            <c:ext xmlns:c16="http://schemas.microsoft.com/office/drawing/2014/chart" uri="{C3380CC4-5D6E-409C-BE32-E72D297353CC}">
              <c16:uniqueId val="{00000000-64DE-4032-B1EA-711BD63A0B56}"/>
            </c:ext>
          </c:extLst>
        </c:ser>
        <c:ser>
          <c:idx val="1"/>
          <c:order val="1"/>
          <c:tx>
            <c:strRef>
              <c:f>Maternal_Vaccine!$E$580</c:f>
              <c:strCache>
                <c:ptCount val="1"/>
                <c:pt idx="0">
                  <c:v>High Efficacy, High RSV Rates</c:v>
                </c:pt>
              </c:strCache>
            </c:strRef>
          </c:tx>
          <c:spPr>
            <a:ln w="28575" cap="rnd">
              <a:solidFill>
                <a:schemeClr val="accent1"/>
              </a:solidFill>
              <a:prstDash val="sysDash"/>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Maternal_Vaccine!$G$582:$G$588</c:f>
              <c:numCache>
                <c:formatCode>_(* #,##0_);_(* \(#,##0\);_(* "-"??_);_(@_)</c:formatCode>
                <c:ptCount val="7"/>
                <c:pt idx="0">
                  <c:v>4931.2689570720504</c:v>
                </c:pt>
                <c:pt idx="1">
                  <c:v>6636.1277679568348</c:v>
                </c:pt>
                <c:pt idx="2">
                  <c:v>8340.9865788416191</c:v>
                </c:pt>
                <c:pt idx="3">
                  <c:v>10045.845389726406</c:v>
                </c:pt>
                <c:pt idx="4">
                  <c:v>11750.70420061119</c:v>
                </c:pt>
                <c:pt idx="5">
                  <c:v>13455.563011495975</c:v>
                </c:pt>
                <c:pt idx="6">
                  <c:v>15160.421822380757</c:v>
                </c:pt>
              </c:numCache>
            </c:numRef>
          </c:val>
          <c:smooth val="0"/>
          <c:extLst>
            <c:ext xmlns:c16="http://schemas.microsoft.com/office/drawing/2014/chart" uri="{C3380CC4-5D6E-409C-BE32-E72D297353CC}">
              <c16:uniqueId val="{00000001-64DE-4032-B1EA-711BD63A0B56}"/>
            </c:ext>
          </c:extLst>
        </c:ser>
        <c:dLbls>
          <c:showLegendKey val="0"/>
          <c:showVal val="0"/>
          <c:showCatName val="0"/>
          <c:showSerName val="0"/>
          <c:showPercent val="0"/>
          <c:showBubbleSize val="0"/>
        </c:dLbls>
        <c:smooth val="0"/>
        <c:axId val="223843824"/>
        <c:axId val="223845792"/>
      </c:lineChart>
      <c:catAx>
        <c:axId val="2238438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Immunization Uptake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5792"/>
        <c:crosses val="autoZero"/>
        <c:auto val="1"/>
        <c:lblAlgn val="ctr"/>
        <c:lblOffset val="100"/>
        <c:noMultiLvlLbl val="0"/>
      </c:catAx>
      <c:valAx>
        <c:axId val="223845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3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ysClr val="windowText" lastClr="000000">
                    <a:lumMod val="65000"/>
                    <a:lumOff val="35000"/>
                  </a:sysClr>
                </a:solidFill>
                <a:latin typeface="+mn-lt"/>
                <a:ea typeface="+mn-ea"/>
                <a:cs typeface="+mn-cs"/>
              </a:defRPr>
            </a:pPr>
            <a:r>
              <a:rPr lang="en-US" sz="1120">
                <a:solidFill>
                  <a:sysClr val="windowText" lastClr="000000">
                    <a:lumMod val="65000"/>
                    <a:lumOff val="35000"/>
                  </a:sysClr>
                </a:solidFill>
              </a:rPr>
              <a:t>Estimated Medically-Attended RSV-associated lrti's Among children &lt;1 year of age, with intervention, by immunization option and setting</a:t>
            </a:r>
          </a:p>
        </c:rich>
      </c:tx>
      <c:layout>
        <c:manualLayout>
          <c:xMode val="edge"/>
          <c:yMode val="edge"/>
          <c:x val="0.11923111121917611"/>
          <c:y val="0"/>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6715549324869808"/>
          <c:y val="0.2421508567973506"/>
          <c:w val="0.81131217155978597"/>
          <c:h val="0.57498893790108696"/>
        </c:manualLayout>
      </c:layout>
      <c:barChart>
        <c:barDir val="col"/>
        <c:grouping val="clustered"/>
        <c:varyColors val="0"/>
        <c:ser>
          <c:idx val="0"/>
          <c:order val="0"/>
          <c:tx>
            <c:strRef>
              <c:f>Results!$S$3</c:f>
              <c:strCache>
                <c:ptCount val="1"/>
                <c:pt idx="0">
                  <c:v>Hospitalizations</c:v>
                </c:pt>
              </c:strCache>
            </c:strRef>
          </c:tx>
          <c:spPr>
            <a:solidFill>
              <a:schemeClr val="accent1"/>
            </a:solidFill>
            <a:ln>
              <a:noFill/>
            </a:ln>
            <a:effectLst/>
          </c:spPr>
          <c:invertIfNegative val="0"/>
          <c:dLbls>
            <c:dLbl>
              <c:idx val="0"/>
              <c:layout>
                <c:manualLayout>
                  <c:x val="-3.5983916234958599E-2"/>
                  <c:y val="1.8466219570100265E-2"/>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7.1391236891713186E-2"/>
                      <c:h val="4.8443326969230226E-2"/>
                    </c:manualLayout>
                  </c15:layout>
                </c:ext>
                <c:ext xmlns:c16="http://schemas.microsoft.com/office/drawing/2014/chart" uri="{C3380CC4-5D6E-409C-BE32-E72D297353CC}">
                  <c16:uniqueId val="{00000005-3203-48F1-8DAA-8C0EC854F501}"/>
                </c:ext>
              </c:extLst>
            </c:dLbl>
            <c:dLbl>
              <c:idx val="1"/>
              <c:layout>
                <c:manualLayout>
                  <c:x val="-3.750586029067042E-2"/>
                  <c:y val="9.273663576863018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203-48F1-8DAA-8C0EC854F501}"/>
                </c:ext>
              </c:extLst>
            </c:dLbl>
            <c:dLbl>
              <c:idx val="2"/>
              <c:layout>
                <c:manualLayout>
                  <c:x val="-4.12564463197376E-2"/>
                  <c:y val="1.316083590816958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3203-48F1-8DAA-8C0EC854F501}"/>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cust"/>
            <c:noEndCap val="0"/>
            <c:plus>
              <c:numRef>
                <c:f>Results!$AJ$13:$AJ$15</c:f>
                <c:numCache>
                  <c:formatCode>General</c:formatCode>
                  <c:ptCount val="3"/>
                  <c:pt idx="0">
                    <c:v>9700</c:v>
                  </c:pt>
                  <c:pt idx="1">
                    <c:v>4600</c:v>
                  </c:pt>
                  <c:pt idx="2">
                    <c:v>7700</c:v>
                  </c:pt>
                </c:numCache>
              </c:numRef>
            </c:plus>
            <c:minus>
              <c:numRef>
                <c:f>Results!$AI$13:$AI$15</c:f>
                <c:numCache>
                  <c:formatCode>General</c:formatCode>
                  <c:ptCount val="3"/>
                  <c:pt idx="0">
                    <c:v>8400</c:v>
                  </c:pt>
                  <c:pt idx="1">
                    <c:v>4100</c:v>
                  </c:pt>
                  <c:pt idx="2">
                    <c:v>6600</c:v>
                  </c:pt>
                </c:numCache>
              </c:numRef>
            </c:minus>
            <c:spPr>
              <a:noFill/>
              <a:ln w="15875">
                <a:solidFill>
                  <a:schemeClr val="tx1">
                    <a:lumMod val="65000"/>
                    <a:lumOff val="35000"/>
                  </a:schemeClr>
                </a:solidFill>
                <a:round/>
              </a:ln>
              <a:effectLst/>
            </c:spPr>
          </c:errBars>
          <c:cat>
            <c:strRef>
              <c:f>Results!$B$8:$B$10</c:f>
              <c:strCache>
                <c:ptCount val="3"/>
                <c:pt idx="0">
                  <c:v>Palivizumab</c:v>
                </c:pt>
                <c:pt idx="1">
                  <c:v>Antibody Candidate</c:v>
                </c:pt>
                <c:pt idx="2">
                  <c:v>Maternal Candidate</c:v>
                </c:pt>
              </c:strCache>
            </c:strRef>
          </c:cat>
          <c:val>
            <c:numRef>
              <c:f>Results!$S$8:$S$10</c:f>
              <c:numCache>
                <c:formatCode>#,##0</c:formatCode>
                <c:ptCount val="3"/>
                <c:pt idx="0">
                  <c:v>32400</c:v>
                </c:pt>
                <c:pt idx="1">
                  <c:v>15100</c:v>
                </c:pt>
                <c:pt idx="2">
                  <c:v>25000</c:v>
                </c:pt>
              </c:numCache>
            </c:numRef>
          </c:val>
          <c:extLst>
            <c:ext xmlns:c16="http://schemas.microsoft.com/office/drawing/2014/chart" uri="{C3380CC4-5D6E-409C-BE32-E72D297353CC}">
              <c16:uniqueId val="{00000006-C1BF-432D-9D86-6BDE38372E12}"/>
            </c:ext>
          </c:extLst>
        </c:ser>
        <c:ser>
          <c:idx val="1"/>
          <c:order val="1"/>
          <c:tx>
            <c:strRef>
              <c:f>Results!$J$3</c:f>
              <c:strCache>
                <c:ptCount val="1"/>
                <c:pt idx="0">
                  <c:v>ED Visits</c:v>
                </c:pt>
              </c:strCache>
            </c:strRef>
          </c:tx>
          <c:spPr>
            <a:solidFill>
              <a:schemeClr val="accent2"/>
            </a:solidFill>
            <a:ln>
              <a:noFill/>
            </a:ln>
            <a:effectLst/>
          </c:spPr>
          <c:invertIfNegative val="0"/>
          <c:dLbls>
            <c:dLbl>
              <c:idx val="0"/>
              <c:layout>
                <c:manualLayout>
                  <c:x val="-5.6591892698450282E-2"/>
                  <c:y val="2.111637877726004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203-48F1-8DAA-8C0EC854F501}"/>
                </c:ext>
              </c:extLst>
            </c:dLbl>
            <c:dLbl>
              <c:idx val="1"/>
              <c:layout>
                <c:manualLayout>
                  <c:x val="-5.7154536840556311E-2"/>
                  <c:y val="1.619876049525223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3203-48F1-8DAA-8C0EC854F501}"/>
                </c:ext>
              </c:extLst>
            </c:dLbl>
            <c:dLbl>
              <c:idx val="2"/>
              <c:layout>
                <c:manualLayout>
                  <c:x val="-5.6874504054888489E-2"/>
                  <c:y val="1.133665883387613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3203-48F1-8DAA-8C0EC854F501}"/>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cust"/>
            <c:noEndCap val="0"/>
            <c:plus>
              <c:numRef>
                <c:f>Results!$AL$13:$AL$15</c:f>
                <c:numCache>
                  <c:formatCode>General</c:formatCode>
                  <c:ptCount val="3"/>
                  <c:pt idx="0">
                    <c:v>20800</c:v>
                  </c:pt>
                  <c:pt idx="1">
                    <c:v>10400</c:v>
                  </c:pt>
                  <c:pt idx="2">
                    <c:v>18400</c:v>
                  </c:pt>
                </c:numCache>
              </c:numRef>
            </c:plus>
            <c:minus>
              <c:numRef>
                <c:f>Results!$AK$13:$AK$15</c:f>
                <c:numCache>
                  <c:formatCode>General</c:formatCode>
                  <c:ptCount val="3"/>
                  <c:pt idx="0">
                    <c:v>20700</c:v>
                  </c:pt>
                  <c:pt idx="1">
                    <c:v>10300</c:v>
                  </c:pt>
                  <c:pt idx="2">
                    <c:v>18300</c:v>
                  </c:pt>
                </c:numCache>
              </c:numRef>
            </c:minus>
            <c:spPr>
              <a:noFill/>
              <a:ln w="15875">
                <a:solidFill>
                  <a:schemeClr val="tx1">
                    <a:lumMod val="65000"/>
                    <a:lumOff val="35000"/>
                  </a:schemeClr>
                </a:solidFill>
                <a:round/>
              </a:ln>
              <a:effectLst/>
            </c:spPr>
          </c:errBars>
          <c:cat>
            <c:strRef>
              <c:f>Results!$B$8:$B$10</c:f>
              <c:strCache>
                <c:ptCount val="3"/>
                <c:pt idx="0">
                  <c:v>Palivizumab</c:v>
                </c:pt>
                <c:pt idx="1">
                  <c:v>Antibody Candidate</c:v>
                </c:pt>
                <c:pt idx="2">
                  <c:v>Maternal Candidate</c:v>
                </c:pt>
              </c:strCache>
            </c:strRef>
          </c:cat>
          <c:val>
            <c:numRef>
              <c:f>Results!$L$8:$L$10</c:f>
              <c:numCache>
                <c:formatCode>#,##0</c:formatCode>
                <c:ptCount val="3"/>
                <c:pt idx="0">
                  <c:v>144000</c:v>
                </c:pt>
                <c:pt idx="1">
                  <c:v>72000</c:v>
                </c:pt>
                <c:pt idx="2">
                  <c:v>127600</c:v>
                </c:pt>
              </c:numCache>
            </c:numRef>
          </c:val>
          <c:extLst>
            <c:ext xmlns:c16="http://schemas.microsoft.com/office/drawing/2014/chart" uri="{C3380CC4-5D6E-409C-BE32-E72D297353CC}">
              <c16:uniqueId val="{00000007-C1BF-432D-9D86-6BDE38372E12}"/>
            </c:ext>
          </c:extLst>
        </c:ser>
        <c:ser>
          <c:idx val="2"/>
          <c:order val="2"/>
          <c:tx>
            <c:strRef>
              <c:f>Results!$C$3</c:f>
              <c:strCache>
                <c:ptCount val="1"/>
                <c:pt idx="0">
                  <c:v>Outpatient Clinic Visits</c:v>
                </c:pt>
              </c:strCache>
            </c:strRef>
          </c:tx>
          <c:spPr>
            <a:solidFill>
              <a:schemeClr val="accent3"/>
            </a:solidFill>
            <a:ln>
              <a:noFill/>
            </a:ln>
            <a:effectLst/>
          </c:spPr>
          <c:invertIfNegative val="0"/>
          <c:dLbls>
            <c:dLbl>
              <c:idx val="0"/>
              <c:layout>
                <c:manualLayout>
                  <c:x val="-7.3844184490871934E-2"/>
                  <c:y val="6.075337062038204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203-48F1-8DAA-8C0EC854F501}"/>
                </c:ext>
              </c:extLst>
            </c:dLbl>
            <c:dLbl>
              <c:idx val="1"/>
              <c:layout>
                <c:manualLayout>
                  <c:x val="-6.2819828727891339E-2"/>
                  <c:y val="6.5983427464237132E-2"/>
                </c:manualLayout>
              </c:layout>
              <c:spPr>
                <a:noFill/>
                <a:ln>
                  <a:noFill/>
                </a:ln>
                <a:effectLst/>
              </c:spPr>
              <c:txPr>
                <a:bodyPr rot="0" spcFirstLastPara="1" vertOverflow="overflow" horzOverflow="overflow" vert="horz" wrap="none" lIns="91440" tIns="91440" rIns="182880" bIns="182880" anchor="ctr" anchorCtr="0">
                  <a:noAutofit/>
                </a:bodyPr>
                <a:lstStyle/>
                <a:p>
                  <a:pPr algn="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8.8812219453919025E-2"/>
                      <c:h val="9.7053262687934308E-2"/>
                    </c:manualLayout>
                  </c15:layout>
                </c:ext>
                <c:ext xmlns:c16="http://schemas.microsoft.com/office/drawing/2014/chart" uri="{C3380CC4-5D6E-409C-BE32-E72D297353CC}">
                  <c16:uniqueId val="{00000001-3203-48F1-8DAA-8C0EC854F501}"/>
                </c:ext>
              </c:extLst>
            </c:dLbl>
            <c:dLbl>
              <c:idx val="2"/>
              <c:layout>
                <c:manualLayout>
                  <c:x val="-6.2820306437426268E-2"/>
                  <c:y val="5.76768688273796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203-48F1-8DAA-8C0EC854F501}"/>
                </c:ext>
              </c:extLst>
            </c:dLbl>
            <c:spPr>
              <a:noFill/>
              <a:ln>
                <a:noFill/>
              </a:ln>
              <a:effectLst/>
            </c:spPr>
            <c:txPr>
              <a:bodyPr rot="0" spcFirstLastPara="1" vertOverflow="overflow" horzOverflow="overflow" vert="horz" wrap="none" lIns="91440" tIns="91440" rIns="182880" bIns="182880" anchor="ctr" anchorCtr="0">
                <a:spAutoFit/>
              </a:bodyPr>
              <a:lstStyle/>
              <a:p>
                <a:pPr algn="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errBars>
            <c:errBarType val="both"/>
            <c:errValType val="cust"/>
            <c:noEndCap val="0"/>
            <c:plus>
              <c:numRef>
                <c:f>Results!$AN$13:$AN$15</c:f>
                <c:numCache>
                  <c:formatCode>General</c:formatCode>
                  <c:ptCount val="3"/>
                  <c:pt idx="0">
                    <c:v>67200</c:v>
                  </c:pt>
                  <c:pt idx="1">
                    <c:v>35400</c:v>
                  </c:pt>
                  <c:pt idx="2">
                    <c:v>58800</c:v>
                  </c:pt>
                </c:numCache>
              </c:numRef>
            </c:plus>
            <c:minus>
              <c:numRef>
                <c:f>Results!$AM$13:$AM$15</c:f>
                <c:numCache>
                  <c:formatCode>General</c:formatCode>
                  <c:ptCount val="3"/>
                  <c:pt idx="0">
                    <c:v>66300</c:v>
                  </c:pt>
                  <c:pt idx="1">
                    <c:v>35100</c:v>
                  </c:pt>
                  <c:pt idx="2">
                    <c:v>58000</c:v>
                  </c:pt>
                </c:numCache>
              </c:numRef>
            </c:minus>
            <c:spPr>
              <a:noFill/>
              <a:ln w="15875">
                <a:solidFill>
                  <a:schemeClr val="tx1">
                    <a:lumMod val="65000"/>
                    <a:lumOff val="35000"/>
                  </a:schemeClr>
                </a:solidFill>
                <a:round/>
              </a:ln>
              <a:effectLst/>
            </c:spPr>
          </c:errBars>
          <c:cat>
            <c:strRef>
              <c:f>Results!$B$8:$B$10</c:f>
              <c:strCache>
                <c:ptCount val="3"/>
                <c:pt idx="0">
                  <c:v>Palivizumab</c:v>
                </c:pt>
                <c:pt idx="1">
                  <c:v>Antibody Candidate</c:v>
                </c:pt>
                <c:pt idx="2">
                  <c:v>Maternal Candidate</c:v>
                </c:pt>
              </c:strCache>
            </c:strRef>
          </c:cat>
          <c:val>
            <c:numRef>
              <c:f>Results!$E$8:$E$10</c:f>
              <c:numCache>
                <c:formatCode>#,##0</c:formatCode>
                <c:ptCount val="3"/>
                <c:pt idx="0">
                  <c:v>398900</c:v>
                </c:pt>
                <c:pt idx="1">
                  <c:v>210900</c:v>
                </c:pt>
                <c:pt idx="2">
                  <c:v>349100</c:v>
                </c:pt>
              </c:numCache>
            </c:numRef>
          </c:val>
          <c:extLst>
            <c:ext xmlns:c16="http://schemas.microsoft.com/office/drawing/2014/chart" uri="{C3380CC4-5D6E-409C-BE32-E72D297353CC}">
              <c16:uniqueId val="{00000008-C1BF-432D-9D86-6BDE38372E12}"/>
            </c:ext>
          </c:extLst>
        </c:ser>
        <c:dLbls>
          <c:dLblPos val="outEnd"/>
          <c:showLegendKey val="0"/>
          <c:showVal val="1"/>
          <c:showCatName val="0"/>
          <c:showSerName val="0"/>
          <c:showPercent val="0"/>
          <c:showBubbleSize val="0"/>
        </c:dLbls>
        <c:gapWidth val="245"/>
        <c:overlap val="-50"/>
        <c:axId val="197974208"/>
        <c:axId val="197971584"/>
      </c:barChart>
      <c:catAx>
        <c:axId val="197974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endParaRPr lang="en-US"/>
          </a:p>
        </c:txPr>
        <c:crossAx val="197971584"/>
        <c:crosses val="autoZero"/>
        <c:auto val="1"/>
        <c:lblAlgn val="ctr"/>
        <c:lblOffset val="100"/>
        <c:noMultiLvlLbl val="0"/>
      </c:catAx>
      <c:valAx>
        <c:axId val="197971584"/>
        <c:scaling>
          <c:orientation val="minMax"/>
        </c:scaling>
        <c:delete val="0"/>
        <c:axPos val="l"/>
        <c:title>
          <c:tx>
            <c:rich>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n-US" sz="1100" b="1"/>
                  <a:t>Visits</a:t>
                </a:r>
              </a:p>
            </c:rich>
          </c:tx>
          <c:layout>
            <c:manualLayout>
              <c:xMode val="edge"/>
              <c:yMode val="edge"/>
              <c:x val="1.3954878786527705E-3"/>
              <c:y val="0.46030380448067254"/>
            </c:manualLayout>
          </c:layout>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7974208"/>
        <c:crosses val="autoZero"/>
        <c:crossBetween val="between"/>
      </c:valAx>
      <c:spPr>
        <a:noFill/>
        <a:ln w="25400">
          <a:noFill/>
        </a:ln>
        <a:effectLst/>
      </c:spPr>
    </c:plotArea>
    <c:legend>
      <c:legendPos val="t"/>
      <c:layout>
        <c:manualLayout>
          <c:xMode val="edge"/>
          <c:yMode val="edge"/>
          <c:x val="0.18080022592070158"/>
          <c:y val="0.17085514834205934"/>
          <c:w val="0.6383995481585969"/>
          <c:h val="6.5241648458864113E-2"/>
        </c:manualLayout>
      </c:layout>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ysClr val="windowText" lastClr="000000">
                    <a:lumMod val="65000"/>
                    <a:lumOff val="35000"/>
                  </a:sysClr>
                </a:solidFill>
                <a:latin typeface="+mn-lt"/>
                <a:ea typeface="+mn-ea"/>
                <a:cs typeface="+mn-cs"/>
              </a:defRPr>
            </a:pPr>
            <a:r>
              <a:rPr lang="en-US" sz="1120">
                <a:solidFill>
                  <a:sysClr val="windowText" lastClr="000000">
                    <a:lumMod val="65000"/>
                    <a:lumOff val="35000"/>
                  </a:sysClr>
                </a:solidFill>
              </a:rPr>
              <a:t>Estimated Prevented Medically-Attended RSV-associated LRTI's Among Children &lt;1 Year of AGe, with Intervention, By Immunization option and Setting</a:t>
            </a:r>
          </a:p>
        </c:rich>
      </c:tx>
      <c:layout>
        <c:manualLayout>
          <c:xMode val="edge"/>
          <c:yMode val="edge"/>
          <c:x val="0.14876173895267053"/>
          <c:y val="0"/>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ysClr val="windowText" lastClr="000000">
                  <a:lumMod val="65000"/>
                  <a:lumOff val="35000"/>
                </a:sysClr>
              </a:solidFill>
              <a:latin typeface="+mn-lt"/>
              <a:ea typeface="+mn-ea"/>
              <a:cs typeface="+mn-cs"/>
            </a:defRPr>
          </a:pPr>
          <a:endParaRPr lang="en-US"/>
        </a:p>
      </c:txPr>
    </c:title>
    <c:autoTitleDeleted val="0"/>
    <c:plotArea>
      <c:layout>
        <c:manualLayout>
          <c:layoutTarget val="inner"/>
          <c:xMode val="edge"/>
          <c:yMode val="edge"/>
          <c:x val="0.14358217699655607"/>
          <c:y val="0.26863021727779185"/>
          <c:w val="0.84529644883366817"/>
          <c:h val="0.54949042171778095"/>
        </c:manualLayout>
      </c:layout>
      <c:barChart>
        <c:barDir val="col"/>
        <c:grouping val="clustered"/>
        <c:varyColors val="0"/>
        <c:ser>
          <c:idx val="0"/>
          <c:order val="0"/>
          <c:tx>
            <c:strRef>
              <c:f>Results!$S$3</c:f>
              <c:strCache>
                <c:ptCount val="1"/>
                <c:pt idx="0">
                  <c:v>Hospitalizations</c:v>
                </c:pt>
              </c:strCache>
            </c:strRef>
          </c:tx>
          <c:spPr>
            <a:solidFill>
              <a:schemeClr val="accent1"/>
            </a:solidFill>
            <a:ln>
              <a:noFill/>
            </a:ln>
            <a:effectLst/>
          </c:spPr>
          <c:invertIfNegative val="0"/>
          <c:dLbls>
            <c:dLbl>
              <c:idx val="0"/>
              <c:layout>
                <c:manualLayout>
                  <c:x val="-4.2393410852713177E-2"/>
                  <c:y val="6.742179072276035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557-4CE1-A04D-22B1B4DEB683}"/>
                </c:ext>
              </c:extLst>
            </c:dLbl>
            <c:dLbl>
              <c:idx val="1"/>
              <c:layout>
                <c:manualLayout>
                  <c:x val="-4.2393410852713177E-2"/>
                  <c:y val="1.68554476806903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557-4CE1-A04D-22B1B4DEB683}"/>
                </c:ext>
              </c:extLst>
            </c:dLbl>
            <c:dLbl>
              <c:idx val="2"/>
              <c:layout>
                <c:manualLayout>
                  <c:x val="-4.0374677002583979E-2"/>
                  <c:y val="6.742179072276159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557-4CE1-A04D-22B1B4DEB683}"/>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cust"/>
            <c:noEndCap val="0"/>
            <c:plus>
              <c:numRef>
                <c:f>Results!$AJ$20:$AJ$22</c:f>
                <c:numCache>
                  <c:formatCode>General</c:formatCode>
                  <c:ptCount val="3"/>
                  <c:pt idx="0">
                    <c:v>20</c:v>
                  </c:pt>
                  <c:pt idx="1">
                    <c:v>5020</c:v>
                  </c:pt>
                  <c:pt idx="2">
                    <c:v>1960</c:v>
                  </c:pt>
                </c:numCache>
              </c:numRef>
            </c:plus>
            <c:minus>
              <c:numRef>
                <c:f>Results!$AI$20:$AI$22</c:f>
                <c:numCache>
                  <c:formatCode>General</c:formatCode>
                  <c:ptCount val="3"/>
                  <c:pt idx="0">
                    <c:v>20</c:v>
                  </c:pt>
                  <c:pt idx="1">
                    <c:v>4370</c:v>
                  </c:pt>
                  <c:pt idx="2">
                    <c:v>1800</c:v>
                  </c:pt>
                </c:numCache>
              </c:numRef>
            </c:minus>
            <c:spPr>
              <a:noFill/>
              <a:ln w="15875">
                <a:solidFill>
                  <a:schemeClr val="tx1">
                    <a:lumMod val="65000"/>
                    <a:lumOff val="35000"/>
                  </a:schemeClr>
                </a:solidFill>
                <a:round/>
              </a:ln>
              <a:effectLst/>
            </c:spPr>
          </c:errBars>
          <c:cat>
            <c:strRef>
              <c:f>Results!$B$8:$B$10</c:f>
              <c:strCache>
                <c:ptCount val="3"/>
                <c:pt idx="0">
                  <c:v>Palivizumab</c:v>
                </c:pt>
                <c:pt idx="1">
                  <c:v>Antibody Candidate</c:v>
                </c:pt>
                <c:pt idx="2">
                  <c:v>Maternal Candidate</c:v>
                </c:pt>
              </c:strCache>
            </c:strRef>
          </c:cat>
          <c:val>
            <c:numRef>
              <c:f>Results!$S$14:$S$16</c:f>
              <c:numCache>
                <c:formatCode>#,##0</c:formatCode>
                <c:ptCount val="3"/>
                <c:pt idx="0">
                  <c:v>780</c:v>
                </c:pt>
                <c:pt idx="1">
                  <c:v>18140</c:v>
                </c:pt>
                <c:pt idx="2">
                  <c:v>8190</c:v>
                </c:pt>
              </c:numCache>
            </c:numRef>
          </c:val>
          <c:extLst>
            <c:ext xmlns:c16="http://schemas.microsoft.com/office/drawing/2014/chart" uri="{C3380CC4-5D6E-409C-BE32-E72D297353CC}">
              <c16:uniqueId val="{00000000-D58D-490D-8525-EA7451FD9A1E}"/>
            </c:ext>
          </c:extLst>
        </c:ser>
        <c:ser>
          <c:idx val="1"/>
          <c:order val="1"/>
          <c:tx>
            <c:strRef>
              <c:f>Results!$J$3</c:f>
              <c:strCache>
                <c:ptCount val="1"/>
                <c:pt idx="0">
                  <c:v>ED Visits</c:v>
                </c:pt>
              </c:strCache>
            </c:strRef>
          </c:tx>
          <c:spPr>
            <a:solidFill>
              <a:schemeClr val="accent2"/>
            </a:solidFill>
            <a:ln>
              <a:noFill/>
            </a:ln>
            <a:effectLst/>
          </c:spPr>
          <c:invertIfNegative val="0"/>
          <c:dLbls>
            <c:dLbl>
              <c:idx val="0"/>
              <c:layout>
                <c:manualLayout>
                  <c:x val="-3.6337227753775583E-2"/>
                  <c:y val="-1.045696957021855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557-4CE1-A04D-22B1B4DEB683}"/>
                </c:ext>
              </c:extLst>
            </c:dLbl>
            <c:dLbl>
              <c:idx val="1"/>
              <c:layout>
                <c:manualLayout>
                  <c:x val="-6.5265841769778773E-2"/>
                  <c:y val="2.1737390934241329E-2"/>
                </c:manualLayout>
              </c:layout>
              <c:spPr>
                <a:no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15:layout>
                    <c:manualLayout>
                      <c:w val="7.9952033612077547E-2"/>
                      <c:h val="4.0402640810675364E-2"/>
                    </c:manualLayout>
                  </c15:layout>
                </c:ext>
                <c:ext xmlns:c16="http://schemas.microsoft.com/office/drawing/2014/chart" uri="{C3380CC4-5D6E-409C-BE32-E72D297353CC}">
                  <c16:uniqueId val="{00000001-D557-4CE1-A04D-22B1B4DEB683}"/>
                </c:ext>
              </c:extLst>
            </c:dLbl>
            <c:dLbl>
              <c:idx val="2"/>
              <c:layout>
                <c:manualLayout>
                  <c:x val="-4.1035992005224529E-2"/>
                  <c:y val="6.7421379919270002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557-4CE1-A04D-22B1B4DEB683}"/>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cust"/>
            <c:noEndCap val="0"/>
            <c:plus>
              <c:numRef>
                <c:f>Results!$AL$20:$AL$22</c:f>
                <c:numCache>
                  <c:formatCode>General</c:formatCode>
                  <c:ptCount val="3"/>
                  <c:pt idx="0">
                    <c:v>470</c:v>
                  </c:pt>
                  <c:pt idx="1">
                    <c:v>10840</c:v>
                  </c:pt>
                  <c:pt idx="2">
                    <c:v>2820</c:v>
                  </c:pt>
                </c:numCache>
              </c:numRef>
            </c:plus>
            <c:minus>
              <c:numRef>
                <c:f>Results!$AK$20:$AK$22</c:f>
                <c:numCache>
                  <c:formatCode>General</c:formatCode>
                  <c:ptCount val="3"/>
                  <c:pt idx="0">
                    <c:v>470</c:v>
                  </c:pt>
                  <c:pt idx="1">
                    <c:v>10820</c:v>
                  </c:pt>
                  <c:pt idx="2">
                    <c:v>2820</c:v>
                  </c:pt>
                </c:numCache>
              </c:numRef>
            </c:minus>
            <c:spPr>
              <a:noFill/>
              <a:ln w="15875">
                <a:solidFill>
                  <a:schemeClr val="tx1">
                    <a:lumMod val="65000"/>
                    <a:lumOff val="35000"/>
                  </a:schemeClr>
                </a:solidFill>
                <a:round/>
              </a:ln>
              <a:effectLst/>
            </c:spPr>
          </c:errBars>
          <c:cat>
            <c:strRef>
              <c:f>Results!$B$8:$B$10</c:f>
              <c:strCache>
                <c:ptCount val="3"/>
                <c:pt idx="0">
                  <c:v>Palivizumab</c:v>
                </c:pt>
                <c:pt idx="1">
                  <c:v>Antibody Candidate</c:v>
                </c:pt>
                <c:pt idx="2">
                  <c:v>Maternal Candidate</c:v>
                </c:pt>
              </c:strCache>
            </c:strRef>
          </c:cat>
          <c:val>
            <c:numRef>
              <c:f>Results!$L$14:$L$16</c:f>
              <c:numCache>
                <c:formatCode>#,##0</c:formatCode>
                <c:ptCount val="3"/>
                <c:pt idx="0">
                  <c:v>3240</c:v>
                </c:pt>
                <c:pt idx="1">
                  <c:v>75250</c:v>
                </c:pt>
                <c:pt idx="2">
                  <c:v>19580</c:v>
                </c:pt>
              </c:numCache>
            </c:numRef>
          </c:val>
          <c:extLst>
            <c:ext xmlns:c16="http://schemas.microsoft.com/office/drawing/2014/chart" uri="{C3380CC4-5D6E-409C-BE32-E72D297353CC}">
              <c16:uniqueId val="{00000001-D58D-490D-8525-EA7451FD9A1E}"/>
            </c:ext>
          </c:extLst>
        </c:ser>
        <c:ser>
          <c:idx val="2"/>
          <c:order val="2"/>
          <c:tx>
            <c:strRef>
              <c:f>Results!$C$3</c:f>
              <c:strCache>
                <c:ptCount val="1"/>
                <c:pt idx="0">
                  <c:v>Outpatient Clinic Visits</c:v>
                </c:pt>
              </c:strCache>
            </c:strRef>
          </c:tx>
          <c:spPr>
            <a:solidFill>
              <a:schemeClr val="accent3"/>
            </a:solidFill>
            <a:ln>
              <a:noFill/>
            </a:ln>
            <a:effectLst/>
          </c:spPr>
          <c:invertIfNegative val="0"/>
          <c:dLbls>
            <c:dLbl>
              <c:idx val="0"/>
              <c:layout>
                <c:manualLayout>
                  <c:x val="-3.8355943152454816E-2"/>
                  <c:y val="-1.01132686084142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557-4CE1-A04D-22B1B4DEB683}"/>
                </c:ext>
              </c:extLst>
            </c:dLbl>
            <c:dLbl>
              <c:idx val="1"/>
              <c:layout>
                <c:manualLayout>
                  <c:x val="-6.4975960905320609E-2"/>
                  <c:y val="4.378206177290436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57-4CE1-A04D-22B1B4DEB683}"/>
                </c:ext>
              </c:extLst>
            </c:dLbl>
            <c:dLbl>
              <c:idx val="2"/>
              <c:layout>
                <c:manualLayout>
                  <c:x val="-4.6430841088043552E-2"/>
                  <c:y val="6.68622735785136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557-4CE1-A04D-22B1B4DEB683}"/>
                </c:ext>
              </c:extLst>
            </c:dLbl>
            <c:spPr>
              <a:no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errBars>
            <c:errBarType val="both"/>
            <c:errValType val="cust"/>
            <c:noEndCap val="0"/>
            <c:plus>
              <c:numRef>
                <c:f>Results!$AN$20:$AN$22</c:f>
                <c:numCache>
                  <c:formatCode>General</c:formatCode>
                  <c:ptCount val="3"/>
                  <c:pt idx="0">
                    <c:v>1420</c:v>
                  </c:pt>
                  <c:pt idx="1">
                    <c:v>33180</c:v>
                  </c:pt>
                  <c:pt idx="2">
                    <c:v>9760</c:v>
                  </c:pt>
                </c:numCache>
              </c:numRef>
            </c:plus>
            <c:minus>
              <c:numRef>
                <c:f>Results!$AM$20:$AM$22</c:f>
                <c:numCache>
                  <c:formatCode>General</c:formatCode>
                  <c:ptCount val="3"/>
                  <c:pt idx="0">
                    <c:v>1410</c:v>
                  </c:pt>
                  <c:pt idx="1">
                    <c:v>32660</c:v>
                  </c:pt>
                  <c:pt idx="2">
                    <c:v>9690</c:v>
                  </c:pt>
                </c:numCache>
              </c:numRef>
            </c:minus>
            <c:spPr>
              <a:noFill/>
              <a:ln w="15875">
                <a:solidFill>
                  <a:schemeClr val="tx1">
                    <a:lumMod val="65000"/>
                    <a:lumOff val="35000"/>
                  </a:schemeClr>
                </a:solidFill>
                <a:round/>
              </a:ln>
              <a:effectLst/>
            </c:spPr>
          </c:errBars>
          <c:cat>
            <c:strRef>
              <c:f>Results!$B$8:$B$10</c:f>
              <c:strCache>
                <c:ptCount val="3"/>
                <c:pt idx="0">
                  <c:v>Palivizumab</c:v>
                </c:pt>
                <c:pt idx="1">
                  <c:v>Antibody Candidate</c:v>
                </c:pt>
                <c:pt idx="2">
                  <c:v>Maternal Candidate</c:v>
                </c:pt>
              </c:strCache>
            </c:strRef>
          </c:cat>
          <c:val>
            <c:numRef>
              <c:f>Results!$E$14:$E$16</c:f>
              <c:numCache>
                <c:formatCode>#,##0</c:formatCode>
                <c:ptCount val="3"/>
                <c:pt idx="0">
                  <c:v>8460</c:v>
                </c:pt>
                <c:pt idx="1">
                  <c:v>196470</c:v>
                </c:pt>
                <c:pt idx="2">
                  <c:v>58210</c:v>
                </c:pt>
              </c:numCache>
            </c:numRef>
          </c:val>
          <c:extLst>
            <c:ext xmlns:c16="http://schemas.microsoft.com/office/drawing/2014/chart" uri="{C3380CC4-5D6E-409C-BE32-E72D297353CC}">
              <c16:uniqueId val="{00000002-D58D-490D-8525-EA7451FD9A1E}"/>
            </c:ext>
          </c:extLst>
        </c:ser>
        <c:dLbls>
          <c:dLblPos val="outEnd"/>
          <c:showLegendKey val="0"/>
          <c:showVal val="1"/>
          <c:showCatName val="0"/>
          <c:showSerName val="0"/>
          <c:showPercent val="0"/>
          <c:showBubbleSize val="0"/>
        </c:dLbls>
        <c:gapWidth val="245"/>
        <c:overlap val="-50"/>
        <c:axId val="197974208"/>
        <c:axId val="197971584"/>
      </c:barChart>
      <c:catAx>
        <c:axId val="1979742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cap="all" spc="120" normalizeH="0" baseline="0">
                <a:solidFill>
                  <a:schemeClr val="tx1">
                    <a:lumMod val="65000"/>
                    <a:lumOff val="35000"/>
                  </a:schemeClr>
                </a:solidFill>
                <a:latin typeface="+mn-lt"/>
                <a:ea typeface="+mn-ea"/>
                <a:cs typeface="+mn-cs"/>
              </a:defRPr>
            </a:pPr>
            <a:endParaRPr lang="en-US"/>
          </a:p>
        </c:txPr>
        <c:crossAx val="197971584"/>
        <c:crosses val="autoZero"/>
        <c:auto val="1"/>
        <c:lblAlgn val="ctr"/>
        <c:lblOffset val="100"/>
        <c:noMultiLvlLbl val="0"/>
      </c:catAx>
      <c:valAx>
        <c:axId val="197971584"/>
        <c:scaling>
          <c:orientation val="minMax"/>
        </c:scaling>
        <c:delete val="0"/>
        <c:axPos val="l"/>
        <c:title>
          <c:tx>
            <c:rich>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n-US" sz="1100" b="1"/>
                  <a:t>Visits</a:t>
                </a:r>
              </a:p>
            </c:rich>
          </c:tx>
          <c:layout>
            <c:manualLayout>
              <c:xMode val="edge"/>
              <c:yMode val="edge"/>
              <c:x val="1.9242532303759478E-3"/>
              <c:y val="0.48619199195845209"/>
            </c:manualLayout>
          </c:layout>
          <c:overlay val="0"/>
          <c:spPr>
            <a:noFill/>
            <a:ln>
              <a:noFill/>
            </a:ln>
            <a:effectLst/>
          </c:spPr>
          <c:txPr>
            <a:bodyPr rot="-540000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7974208"/>
        <c:crosses val="autoZero"/>
        <c:crossBetween val="between"/>
      </c:valAx>
      <c:spPr>
        <a:noFill/>
        <a:ln>
          <a:noFill/>
        </a:ln>
        <a:effectLst/>
      </c:spPr>
    </c:plotArea>
    <c:legend>
      <c:legendPos val="t"/>
      <c:layout>
        <c:manualLayout>
          <c:xMode val="edge"/>
          <c:yMode val="edge"/>
          <c:x val="0.19693831650324017"/>
          <c:y val="0.18510043768318565"/>
          <c:w val="0.67789873827726044"/>
          <c:h val="6.3011503113081749E-2"/>
        </c:manualLayout>
      </c:layout>
      <c:overlay val="0"/>
      <c:spPr>
        <a:solidFill>
          <a:schemeClr val="bg1"/>
        </a:solid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Hospitalizations</a:t>
            </a:r>
          </a:p>
        </c:rich>
      </c:tx>
      <c:layout/>
      <c:overlay val="0"/>
      <c:spPr>
        <a:noFill/>
        <a:ln>
          <a:noFill/>
        </a:ln>
        <a:effectLst/>
      </c:spPr>
    </c:title>
    <c:autoTitleDeleted val="0"/>
    <c:plotArea>
      <c:layout/>
      <c:lineChart>
        <c:grouping val="standard"/>
        <c:varyColors val="1"/>
        <c:ser>
          <c:idx val="0"/>
          <c:order val="0"/>
          <c:spPr>
            <a:ln w="25400">
              <a:noFill/>
            </a:ln>
          </c:spPr>
          <c:marker>
            <c:symbol val="dash"/>
            <c:size val="10"/>
            <c:spPr>
              <a:ln w="31750"/>
            </c:spPr>
          </c:marker>
          <c:dPt>
            <c:idx val="0"/>
            <c:marker>
              <c:spPr>
                <a:solidFill>
                  <a:schemeClr val="accent1"/>
                </a:solidFill>
                <a:ln w="31750">
                  <a:solidFill>
                    <a:schemeClr val="accent1"/>
                  </a:solidFill>
                </a:ln>
                <a:effectLst/>
              </c:spPr>
            </c:marker>
            <c:bubble3D val="0"/>
            <c:spPr>
              <a:ln w="25400" cap="rnd">
                <a:noFill/>
                <a:round/>
              </a:ln>
              <a:effectLst/>
            </c:spPr>
            <c:extLst>
              <c:ext xmlns:c16="http://schemas.microsoft.com/office/drawing/2014/chart" uri="{C3380CC4-5D6E-409C-BE32-E72D297353CC}">
                <c16:uniqueId val="{00000001-F94F-4A59-A12F-4F874A769831}"/>
              </c:ext>
            </c:extLst>
          </c:dPt>
          <c:dPt>
            <c:idx val="1"/>
            <c:marker>
              <c:spPr>
                <a:solidFill>
                  <a:schemeClr val="accent2"/>
                </a:solidFill>
                <a:ln w="31750">
                  <a:solidFill>
                    <a:schemeClr val="accent2"/>
                  </a:solidFill>
                </a:ln>
                <a:effectLst/>
              </c:spPr>
            </c:marker>
            <c:bubble3D val="0"/>
            <c:spPr>
              <a:ln w="25400" cap="rnd">
                <a:noFill/>
                <a:round/>
              </a:ln>
              <a:effectLst/>
            </c:spPr>
            <c:extLst>
              <c:ext xmlns:c16="http://schemas.microsoft.com/office/drawing/2014/chart" uri="{C3380CC4-5D6E-409C-BE32-E72D297353CC}">
                <c16:uniqueId val="{00000003-F94F-4A59-A12F-4F874A769831}"/>
              </c:ext>
            </c:extLst>
          </c:dPt>
          <c:dPt>
            <c:idx val="2"/>
            <c:marker>
              <c:spPr>
                <a:solidFill>
                  <a:schemeClr val="accent3"/>
                </a:solidFill>
                <a:ln w="31750">
                  <a:solidFill>
                    <a:schemeClr val="accent3"/>
                  </a:solidFill>
                </a:ln>
                <a:effectLst/>
              </c:spPr>
            </c:marker>
            <c:bubble3D val="0"/>
            <c:spPr>
              <a:ln w="25400" cap="rnd">
                <a:noFill/>
                <a:round/>
              </a:ln>
              <a:effectLst/>
            </c:spPr>
            <c:extLst>
              <c:ext xmlns:c16="http://schemas.microsoft.com/office/drawing/2014/chart" uri="{C3380CC4-5D6E-409C-BE32-E72D297353CC}">
                <c16:uniqueId val="{00000001-AB95-42BF-854A-38BC3817D03F}"/>
              </c:ext>
            </c:extLst>
          </c:dPt>
          <c:errBars>
            <c:errDir val="y"/>
            <c:errBarType val="both"/>
            <c:errValType val="cust"/>
            <c:noEndCap val="0"/>
            <c:plus>
              <c:numRef>
                <c:extLst>
                  <c:ext xmlns:c15="http://schemas.microsoft.com/office/drawing/2012/chart" uri="{02D57815-91ED-43cb-92C2-25804820EDAC}">
                    <c15:fullRef>
                      <c15:sqref>'Sensitivity wrksht_Antibody'!$E$34:$E$42</c15:sqref>
                    </c15:fullRef>
                  </c:ext>
                </c:extLst>
                <c:f>'Sensitivity wrksht_Antibody'!$E$34:$E$36</c:f>
                <c:numCache>
                  <c:formatCode>General</c:formatCode>
                  <c:ptCount val="3"/>
                  <c:pt idx="0">
                    <c:v>5020</c:v>
                  </c:pt>
                  <c:pt idx="1">
                    <c:v>-1094.1234988768883</c:v>
                  </c:pt>
                  <c:pt idx="2">
                    <c:v>-1585.5433625624028</c:v>
                  </c:pt>
                </c:numCache>
              </c:numRef>
            </c:plus>
            <c:minus>
              <c:numRef>
                <c:extLst>
                  <c:ext xmlns:c15="http://schemas.microsoft.com/office/drawing/2012/chart" uri="{02D57815-91ED-43cb-92C2-25804820EDAC}">
                    <c15:fullRef>
                      <c15:sqref>'Sensitivity wrksht_Antibody'!$D$34:$D$42</c15:sqref>
                    </c15:fullRef>
                  </c:ext>
                </c:extLst>
                <c:f>'Sensitivity wrksht_Antibody'!$D$34:$D$36</c:f>
                <c:numCache>
                  <c:formatCode>General</c:formatCode>
                  <c:ptCount val="3"/>
                  <c:pt idx="0">
                    <c:v>4370</c:v>
                  </c:pt>
                  <c:pt idx="1">
                    <c:v>-1097.8640740825795</c:v>
                  </c:pt>
                  <c:pt idx="2">
                    <c:v>-1135.737180578024</c:v>
                  </c:pt>
                </c:numCache>
              </c:numRef>
            </c:minus>
            <c:spPr>
              <a:noFill/>
              <a:ln w="19050"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'Sensitivity wrksht_Antibody'!$B$34:$B$42</c15:sqref>
                  </c15:fullRef>
                </c:ext>
              </c:extLst>
              <c:f>'Sensitivity wrksht_Antibody'!$B$34:$B$36</c:f>
              <c:strCache>
                <c:ptCount val="3"/>
                <c:pt idx="0">
                  <c:v>RSV Rates Uncertainty*</c:v>
                </c:pt>
                <c:pt idx="1">
                  <c:v>Uptake Uncertainty^</c:v>
                </c:pt>
                <c:pt idx="2">
                  <c:v>Efficacy Uncertainty°</c:v>
                </c:pt>
              </c:strCache>
            </c:strRef>
          </c:cat>
          <c:val>
            <c:numRef>
              <c:extLst>
                <c:ext xmlns:c15="http://schemas.microsoft.com/office/drawing/2012/chart" uri="{02D57815-91ED-43cb-92C2-25804820EDAC}">
                  <c15:fullRef>
                    <c15:sqref>'Sensitivity wrksht_Antibody'!$C$34:$C$42</c15:sqref>
                  </c15:fullRef>
                </c:ext>
              </c:extLst>
              <c:f>'Sensitivity wrksht_Antibody'!$C$34:$C$36</c:f>
              <c:numCache>
                <c:formatCode>#,##0</c:formatCode>
                <c:ptCount val="3"/>
                <c:pt idx="0">
                  <c:v>18140</c:v>
                </c:pt>
                <c:pt idx="1">
                  <c:v>18140</c:v>
                </c:pt>
                <c:pt idx="2">
                  <c:v>18140</c:v>
                </c:pt>
              </c:numCache>
            </c:numRef>
          </c:val>
          <c:smooth val="0"/>
          <c:extLst>
            <c:ext xmlns:c16="http://schemas.microsoft.com/office/drawing/2014/chart" uri="{C3380CC4-5D6E-409C-BE32-E72D297353CC}">
              <c16:uniqueId val="{00000000-AB95-42BF-854A-38BC3817D03F}"/>
            </c:ext>
          </c:extLst>
        </c:ser>
        <c:dLbls>
          <c:showLegendKey val="0"/>
          <c:showVal val="0"/>
          <c:showCatName val="0"/>
          <c:showSerName val="0"/>
          <c:showPercent val="0"/>
          <c:showBubbleSize val="0"/>
        </c:dLbls>
        <c:marker val="1"/>
        <c:smooth val="0"/>
        <c:axId val="192806360"/>
        <c:axId val="192807672"/>
      </c:lineChart>
      <c:catAx>
        <c:axId val="192806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2807672"/>
        <c:crosses val="autoZero"/>
        <c:auto val="1"/>
        <c:lblAlgn val="ctr"/>
        <c:lblOffset val="100"/>
        <c:noMultiLvlLbl val="1"/>
      </c:catAx>
      <c:valAx>
        <c:axId val="192807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806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ED</a:t>
            </a:r>
          </a:p>
        </c:rich>
      </c:tx>
      <c:layout/>
      <c:overlay val="0"/>
      <c:spPr>
        <a:noFill/>
        <a:ln>
          <a:noFill/>
        </a:ln>
        <a:effectLst/>
      </c:spPr>
    </c:title>
    <c:autoTitleDeleted val="0"/>
    <c:plotArea>
      <c:layout/>
      <c:lineChart>
        <c:grouping val="standard"/>
        <c:varyColors val="1"/>
        <c:ser>
          <c:idx val="0"/>
          <c:order val="0"/>
          <c:spPr>
            <a:ln w="25400">
              <a:noFill/>
            </a:ln>
          </c:spPr>
          <c:marker>
            <c:symbol val="dash"/>
            <c:size val="10"/>
            <c:spPr>
              <a:ln w="31750"/>
            </c:spPr>
          </c:marker>
          <c:dPt>
            <c:idx val="0"/>
            <c:marker>
              <c:spPr>
                <a:solidFill>
                  <a:schemeClr val="accent4"/>
                </a:solidFill>
                <a:ln w="31750">
                  <a:solidFill>
                    <a:schemeClr val="accent4"/>
                  </a:solidFill>
                </a:ln>
                <a:effectLst/>
              </c:spPr>
            </c:marker>
            <c:bubble3D val="0"/>
            <c:spPr>
              <a:ln w="25400" cap="rnd">
                <a:noFill/>
                <a:round/>
              </a:ln>
              <a:effectLst/>
            </c:spPr>
            <c:extLst>
              <c:ext xmlns:c16="http://schemas.microsoft.com/office/drawing/2014/chart" uri="{C3380CC4-5D6E-409C-BE32-E72D297353CC}">
                <c16:uniqueId val="{00000001-08FE-407A-8C0F-0E18920ED232}"/>
              </c:ext>
            </c:extLst>
          </c:dPt>
          <c:dPt>
            <c:idx val="1"/>
            <c:marker>
              <c:spPr>
                <a:solidFill>
                  <a:schemeClr val="accent5"/>
                </a:solidFill>
                <a:ln w="31750">
                  <a:solidFill>
                    <a:schemeClr val="accent5"/>
                  </a:solidFill>
                </a:ln>
                <a:effectLst/>
              </c:spPr>
            </c:marker>
            <c:bubble3D val="0"/>
            <c:spPr>
              <a:ln w="25400" cap="rnd">
                <a:noFill/>
                <a:round/>
              </a:ln>
              <a:effectLst/>
            </c:spPr>
            <c:extLst>
              <c:ext xmlns:c16="http://schemas.microsoft.com/office/drawing/2014/chart" uri="{C3380CC4-5D6E-409C-BE32-E72D297353CC}">
                <c16:uniqueId val="{00000003-08FE-407A-8C0F-0E18920ED232}"/>
              </c:ext>
            </c:extLst>
          </c:dPt>
          <c:dPt>
            <c:idx val="2"/>
            <c:marker>
              <c:spPr>
                <a:solidFill>
                  <a:schemeClr val="accent6"/>
                </a:solidFill>
                <a:ln w="31750">
                  <a:solidFill>
                    <a:schemeClr val="accent6"/>
                  </a:solidFill>
                </a:ln>
                <a:effectLst/>
              </c:spPr>
            </c:marker>
            <c:bubble3D val="0"/>
            <c:spPr>
              <a:ln w="25400" cap="rnd">
                <a:noFill/>
                <a:round/>
              </a:ln>
              <a:effectLst/>
            </c:spPr>
            <c:extLst>
              <c:ext xmlns:c16="http://schemas.microsoft.com/office/drawing/2014/chart" uri="{C3380CC4-5D6E-409C-BE32-E72D297353CC}">
                <c16:uniqueId val="{00000005-08FE-407A-8C0F-0E18920ED232}"/>
              </c:ext>
            </c:extLst>
          </c:dPt>
          <c:errBars>
            <c:errDir val="y"/>
            <c:errBarType val="both"/>
            <c:errValType val="cust"/>
            <c:noEndCap val="0"/>
            <c:plus>
              <c:numRef>
                <c:extLst>
                  <c:ext xmlns:c15="http://schemas.microsoft.com/office/drawing/2012/chart" uri="{02D57815-91ED-43cb-92C2-25804820EDAC}">
                    <c15:fullRef>
                      <c15:sqref>'Sensitivity wrksht_Antibody'!$E$34:$E$42</c15:sqref>
                    </c15:fullRef>
                  </c:ext>
                </c:extLst>
                <c:f>'Sensitivity wrksht_Antibody'!$E$37:$E$39</c:f>
                <c:numCache>
                  <c:formatCode>General</c:formatCode>
                  <c:ptCount val="3"/>
                  <c:pt idx="0">
                    <c:v>10840</c:v>
                  </c:pt>
                  <c:pt idx="1">
                    <c:v>-4548.1919311660022</c:v>
                  </c:pt>
                  <c:pt idx="2">
                    <c:v>-6586.4721499166626</c:v>
                  </c:pt>
                </c:numCache>
              </c:numRef>
            </c:plus>
            <c:minus>
              <c:numRef>
                <c:extLst>
                  <c:ext xmlns:c15="http://schemas.microsoft.com/office/drawing/2012/chart" uri="{02D57815-91ED-43cb-92C2-25804820EDAC}">
                    <c15:fullRef>
                      <c15:sqref>'Sensitivity wrksht_Antibody'!$D$34:$D$42</c15:sqref>
                    </c15:fullRef>
                  </c:ext>
                </c:extLst>
                <c:f>'Sensitivity wrksht_Antibody'!$D$37:$D$39</c:f>
                <c:numCache>
                  <c:formatCode>General</c:formatCode>
                  <c:ptCount val="3"/>
                  <c:pt idx="0">
                    <c:v>10820</c:v>
                  </c:pt>
                  <c:pt idx="1">
                    <c:v>-4543.5954381979827</c:v>
                  </c:pt>
                  <c:pt idx="2">
                    <c:v>-4700.6831131107319</c:v>
                  </c:pt>
                </c:numCache>
              </c:numRef>
            </c:minus>
            <c:spPr>
              <a:noFill/>
              <a:ln w="19050"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'Sensitivity wrksht_Antibody'!$B$34:$B$42</c15:sqref>
                  </c15:fullRef>
                </c:ext>
              </c:extLst>
              <c:f>'Sensitivity wrksht_Antibody'!$B$37:$B$39</c:f>
              <c:strCache>
                <c:ptCount val="3"/>
                <c:pt idx="0">
                  <c:v>RSV Rates Uncertainty*</c:v>
                </c:pt>
                <c:pt idx="1">
                  <c:v>Uptake Uncertainty^</c:v>
                </c:pt>
                <c:pt idx="2">
                  <c:v>Efficacy Uncertainty°</c:v>
                </c:pt>
              </c:strCache>
            </c:strRef>
          </c:cat>
          <c:val>
            <c:numRef>
              <c:extLst>
                <c:ext xmlns:c15="http://schemas.microsoft.com/office/drawing/2012/chart" uri="{02D57815-91ED-43cb-92C2-25804820EDAC}">
                  <c15:fullRef>
                    <c15:sqref>'Sensitivity wrksht_Antibody'!$C$34:$C$42</c15:sqref>
                  </c15:fullRef>
                </c:ext>
              </c:extLst>
              <c:f>'Sensitivity wrksht_Antibody'!$C$37:$C$39</c:f>
              <c:numCache>
                <c:formatCode>#,##0</c:formatCode>
                <c:ptCount val="3"/>
                <c:pt idx="0">
                  <c:v>75250</c:v>
                </c:pt>
                <c:pt idx="1">
                  <c:v>75250</c:v>
                </c:pt>
                <c:pt idx="2">
                  <c:v>75250</c:v>
                </c:pt>
              </c:numCache>
            </c:numRef>
          </c:val>
          <c:smooth val="0"/>
          <c:extLst>
            <c:ext xmlns:c15="http://schemas.microsoft.com/office/drawing/2012/chart" uri="{02D57815-91ED-43cb-92C2-25804820EDAC}">
              <c15:categoryFilterExceptions>
                <c15:categoryFilterException>
                  <c15:sqref>'Sensitivity wrksht_Antibody'!$C$34</c15:sqref>
                  <c15:spPr xmlns:c15="http://schemas.microsoft.com/office/drawing/2012/chart">
                    <a:ln w="25400" cap="rnd">
                      <a:noFill/>
                      <a:round/>
                    </a:ln>
                    <a:effectLst/>
                  </c15:spPr>
                  <c15:bubble3D val="0"/>
                  <c15:marker>
                    <c:spPr>
                      <a:solidFill>
                        <a:schemeClr val="accent1"/>
                      </a:solidFill>
                      <a:ln w="31750">
                        <a:solidFill>
                          <a:schemeClr val="accent1"/>
                        </a:solidFill>
                      </a:ln>
                      <a:effectLst/>
                    </c:spPr>
                  </c15:marker>
                </c15:categoryFilterException>
                <c15:categoryFilterException>
                  <c15:sqref>'Sensitivity wrksht_Antibody'!$C$35</c15:sqref>
                  <c15:spPr xmlns:c15="http://schemas.microsoft.com/office/drawing/2012/chart">
                    <a:ln w="25400" cap="rnd">
                      <a:noFill/>
                      <a:round/>
                    </a:ln>
                    <a:effectLst/>
                  </c15:spPr>
                  <c15:bubble3D val="0"/>
                  <c15:marker>
                    <c:spPr>
                      <a:solidFill>
                        <a:schemeClr val="accent2"/>
                      </a:solidFill>
                      <a:ln w="31750">
                        <a:solidFill>
                          <a:schemeClr val="accent2"/>
                        </a:solidFill>
                      </a:ln>
                      <a:effectLst/>
                    </c:spPr>
                  </c15:marker>
                </c15:categoryFilterException>
                <c15:categoryFilterException>
                  <c15:sqref>'Sensitivity wrksht_Antibody'!$C$36</c15:sqref>
                  <c15:spPr xmlns:c15="http://schemas.microsoft.com/office/drawing/2012/chart">
                    <a:ln w="25400" cap="rnd">
                      <a:noFill/>
                      <a:round/>
                    </a:ln>
                    <a:effectLst/>
                  </c15:spPr>
                  <c15:bubble3D val="0"/>
                  <c15:marker>
                    <c:spPr>
                      <a:solidFill>
                        <a:schemeClr val="accent3"/>
                      </a:solidFill>
                      <a:ln w="31750">
                        <a:solidFill>
                          <a:schemeClr val="accent3"/>
                        </a:solidFill>
                      </a:ln>
                      <a:effectLst/>
                    </c:spPr>
                  </c15:marker>
                </c15:categoryFilterException>
              </c15:categoryFilterExceptions>
            </c:ext>
            <c:ext xmlns:c16="http://schemas.microsoft.com/office/drawing/2014/chart" uri="{C3380CC4-5D6E-409C-BE32-E72D297353CC}">
              <c16:uniqueId val="{00000006-10A7-485B-98C5-746E44B0D3C0}"/>
            </c:ext>
          </c:extLst>
        </c:ser>
        <c:dLbls>
          <c:showLegendKey val="0"/>
          <c:showVal val="0"/>
          <c:showCatName val="0"/>
          <c:showSerName val="0"/>
          <c:showPercent val="0"/>
          <c:showBubbleSize val="0"/>
        </c:dLbls>
        <c:marker val="1"/>
        <c:smooth val="0"/>
        <c:axId val="192806360"/>
        <c:axId val="192807672"/>
      </c:lineChart>
      <c:catAx>
        <c:axId val="192806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2807672"/>
        <c:crosses val="autoZero"/>
        <c:auto val="1"/>
        <c:lblAlgn val="ctr"/>
        <c:lblOffset val="100"/>
        <c:noMultiLvlLbl val="1"/>
      </c:catAx>
      <c:valAx>
        <c:axId val="192807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806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Outpatient</a:t>
            </a:r>
          </a:p>
        </c:rich>
      </c:tx>
      <c:layout/>
      <c:overlay val="0"/>
      <c:spPr>
        <a:noFill/>
        <a:ln>
          <a:noFill/>
        </a:ln>
        <a:effectLst/>
      </c:spPr>
    </c:title>
    <c:autoTitleDeleted val="0"/>
    <c:plotArea>
      <c:layout/>
      <c:lineChart>
        <c:grouping val="standard"/>
        <c:varyColors val="1"/>
        <c:ser>
          <c:idx val="0"/>
          <c:order val="0"/>
          <c:spPr>
            <a:ln w="25400">
              <a:noFill/>
            </a:ln>
          </c:spPr>
          <c:marker>
            <c:symbol val="dash"/>
            <c:size val="10"/>
            <c:spPr>
              <a:ln w="31750"/>
            </c:spPr>
          </c:marker>
          <c:dPt>
            <c:idx val="0"/>
            <c:marker>
              <c:spPr>
                <a:solidFill>
                  <a:schemeClr val="accent1">
                    <a:lumMod val="60000"/>
                  </a:schemeClr>
                </a:solidFill>
                <a:ln w="31750">
                  <a:solidFill>
                    <a:schemeClr val="accent1">
                      <a:lumMod val="60000"/>
                    </a:schemeClr>
                  </a:solidFill>
                </a:ln>
                <a:effectLst/>
              </c:spPr>
            </c:marker>
            <c:bubble3D val="0"/>
            <c:spPr>
              <a:ln w="25400" cap="rnd">
                <a:noFill/>
                <a:round/>
              </a:ln>
              <a:effectLst/>
            </c:spPr>
            <c:extLst>
              <c:ext xmlns:c16="http://schemas.microsoft.com/office/drawing/2014/chart" uri="{C3380CC4-5D6E-409C-BE32-E72D297353CC}">
                <c16:uniqueId val="{00000001-774A-4645-B678-B9FF2ED1B447}"/>
              </c:ext>
            </c:extLst>
          </c:dPt>
          <c:dPt>
            <c:idx val="1"/>
            <c:marker>
              <c:spPr>
                <a:solidFill>
                  <a:schemeClr val="accent2">
                    <a:lumMod val="60000"/>
                  </a:schemeClr>
                </a:solidFill>
                <a:ln w="31750">
                  <a:solidFill>
                    <a:schemeClr val="accent2">
                      <a:lumMod val="60000"/>
                    </a:schemeClr>
                  </a:solidFill>
                </a:ln>
                <a:effectLst/>
              </c:spPr>
            </c:marker>
            <c:bubble3D val="0"/>
            <c:spPr>
              <a:ln w="25400" cap="rnd">
                <a:noFill/>
                <a:round/>
              </a:ln>
              <a:effectLst/>
            </c:spPr>
            <c:extLst>
              <c:ext xmlns:c16="http://schemas.microsoft.com/office/drawing/2014/chart" uri="{C3380CC4-5D6E-409C-BE32-E72D297353CC}">
                <c16:uniqueId val="{00000003-774A-4645-B678-B9FF2ED1B447}"/>
              </c:ext>
            </c:extLst>
          </c:dPt>
          <c:dPt>
            <c:idx val="2"/>
            <c:marker>
              <c:spPr>
                <a:solidFill>
                  <a:schemeClr val="accent3">
                    <a:lumMod val="60000"/>
                  </a:schemeClr>
                </a:solidFill>
                <a:ln w="31750">
                  <a:solidFill>
                    <a:schemeClr val="accent3">
                      <a:lumMod val="60000"/>
                    </a:schemeClr>
                  </a:solidFill>
                </a:ln>
                <a:effectLst/>
              </c:spPr>
            </c:marker>
            <c:bubble3D val="0"/>
            <c:spPr>
              <a:ln w="25400" cap="rnd">
                <a:noFill/>
                <a:round/>
              </a:ln>
              <a:effectLst/>
            </c:spPr>
            <c:extLst>
              <c:ext xmlns:c16="http://schemas.microsoft.com/office/drawing/2014/chart" uri="{C3380CC4-5D6E-409C-BE32-E72D297353CC}">
                <c16:uniqueId val="{00000005-774A-4645-B678-B9FF2ED1B447}"/>
              </c:ext>
            </c:extLst>
          </c:dPt>
          <c:errBars>
            <c:errDir val="y"/>
            <c:errBarType val="both"/>
            <c:errValType val="cust"/>
            <c:noEndCap val="0"/>
            <c:plus>
              <c:numRef>
                <c:extLst>
                  <c:ext xmlns:c15="http://schemas.microsoft.com/office/drawing/2012/chart" uri="{02D57815-91ED-43cb-92C2-25804820EDAC}">
                    <c15:fullRef>
                      <c15:sqref>'Sensitivity wrksht_Antibody'!$E$34:$E$42</c15:sqref>
                    </c15:fullRef>
                  </c:ext>
                </c:extLst>
                <c:f>'Sensitivity wrksht_Antibody'!$E$40:$E$42</c:f>
                <c:numCache>
                  <c:formatCode>General</c:formatCode>
                  <c:ptCount val="3"/>
                  <c:pt idx="0">
                    <c:v>33180</c:v>
                  </c:pt>
                  <c:pt idx="1">
                    <c:v>-11865.451238176436</c:v>
                  </c:pt>
                  <c:pt idx="2">
                    <c:v>-17187.462234928942</c:v>
                  </c:pt>
                </c:numCache>
              </c:numRef>
            </c:plus>
            <c:minus>
              <c:numRef>
                <c:extLst>
                  <c:ext xmlns:c15="http://schemas.microsoft.com/office/drawing/2012/chart" uri="{02D57815-91ED-43cb-92C2-25804820EDAC}">
                    <c15:fullRef>
                      <c15:sqref>'Sensitivity wrksht_Antibody'!$D$34:$D$42</c15:sqref>
                    </c15:fullRef>
                  </c:ext>
                </c:extLst>
                <c:f>'Sensitivity wrksht_Antibody'!$D$40:$D$42</c:f>
                <c:numCache>
                  <c:formatCode>General</c:formatCode>
                  <c:ptCount val="3"/>
                  <c:pt idx="0">
                    <c:v>32660</c:v>
                  </c:pt>
                  <c:pt idx="1">
                    <c:v>-11873.479216414475</c:v>
                  </c:pt>
                  <c:pt idx="2">
                    <c:v>-12283.639863438904</c:v>
                  </c:pt>
                </c:numCache>
              </c:numRef>
            </c:minus>
            <c:spPr>
              <a:noFill/>
              <a:ln w="19050" cap="flat" cmpd="sng" algn="ctr">
                <a:solidFill>
                  <a:schemeClr val="tx1">
                    <a:lumMod val="65000"/>
                    <a:lumOff val="35000"/>
                  </a:schemeClr>
                </a:solidFill>
                <a:round/>
              </a:ln>
              <a:effectLst/>
            </c:spPr>
          </c:errBars>
          <c:cat>
            <c:strRef>
              <c:extLst>
                <c:ext xmlns:c15="http://schemas.microsoft.com/office/drawing/2012/chart" uri="{02D57815-91ED-43cb-92C2-25804820EDAC}">
                  <c15:fullRef>
                    <c15:sqref>'Sensitivity wrksht_Antibody'!$B$34:$B$42</c15:sqref>
                  </c15:fullRef>
                </c:ext>
              </c:extLst>
              <c:f>'Sensitivity wrksht_Antibody'!$B$40:$B$42</c:f>
              <c:strCache>
                <c:ptCount val="3"/>
                <c:pt idx="0">
                  <c:v>RSV Rates Uncertainty*</c:v>
                </c:pt>
                <c:pt idx="1">
                  <c:v>Uptake Uncertainty^</c:v>
                </c:pt>
                <c:pt idx="2">
                  <c:v>Efficacy Uncertainty°</c:v>
                </c:pt>
              </c:strCache>
            </c:strRef>
          </c:cat>
          <c:val>
            <c:numRef>
              <c:extLst>
                <c:ext xmlns:c15="http://schemas.microsoft.com/office/drawing/2012/chart" uri="{02D57815-91ED-43cb-92C2-25804820EDAC}">
                  <c15:fullRef>
                    <c15:sqref>'Sensitivity wrksht_Antibody'!$C$34:$C$42</c15:sqref>
                  </c15:fullRef>
                </c:ext>
              </c:extLst>
              <c:f>'Sensitivity wrksht_Antibody'!$C$40:$C$42</c:f>
              <c:numCache>
                <c:formatCode>#,##0</c:formatCode>
                <c:ptCount val="3"/>
                <c:pt idx="0">
                  <c:v>196470</c:v>
                </c:pt>
                <c:pt idx="1">
                  <c:v>196470</c:v>
                </c:pt>
                <c:pt idx="2">
                  <c:v>196470</c:v>
                </c:pt>
              </c:numCache>
            </c:numRef>
          </c:val>
          <c:smooth val="0"/>
          <c:extLst>
            <c:ext xmlns:c15="http://schemas.microsoft.com/office/drawing/2012/chart" uri="{02D57815-91ED-43cb-92C2-25804820EDAC}">
              <c15:categoryFilterExceptions>
                <c15:categoryFilterException>
                  <c15:sqref>'Sensitivity wrksht_Antibody'!$C$34</c15:sqref>
                  <c15:spPr xmlns:c15="http://schemas.microsoft.com/office/drawing/2012/chart">
                    <a:ln w="25400" cap="rnd">
                      <a:noFill/>
                      <a:round/>
                    </a:ln>
                    <a:effectLst/>
                  </c15:spPr>
                  <c15:bubble3D val="0"/>
                  <c15:marker>
                    <c:spPr>
                      <a:solidFill>
                        <a:schemeClr val="accent1"/>
                      </a:solidFill>
                      <a:ln w="31750">
                        <a:solidFill>
                          <a:schemeClr val="accent1"/>
                        </a:solidFill>
                      </a:ln>
                      <a:effectLst/>
                    </c:spPr>
                  </c15:marker>
                </c15:categoryFilterException>
                <c15:categoryFilterException>
                  <c15:sqref>'Sensitivity wrksht_Antibody'!$C$35</c15:sqref>
                  <c15:spPr xmlns:c15="http://schemas.microsoft.com/office/drawing/2012/chart">
                    <a:ln w="25400" cap="rnd">
                      <a:noFill/>
                      <a:round/>
                    </a:ln>
                    <a:effectLst/>
                  </c15:spPr>
                  <c15:bubble3D val="0"/>
                  <c15:marker>
                    <c:spPr>
                      <a:solidFill>
                        <a:schemeClr val="accent2"/>
                      </a:solidFill>
                      <a:ln w="31750">
                        <a:solidFill>
                          <a:schemeClr val="accent2"/>
                        </a:solidFill>
                      </a:ln>
                      <a:effectLst/>
                    </c:spPr>
                  </c15:marker>
                </c15:categoryFilterException>
                <c15:categoryFilterException>
                  <c15:sqref>'Sensitivity wrksht_Antibody'!$C$36</c15:sqref>
                  <c15:spPr xmlns:c15="http://schemas.microsoft.com/office/drawing/2012/chart">
                    <a:ln w="25400" cap="rnd">
                      <a:noFill/>
                      <a:round/>
                    </a:ln>
                    <a:effectLst/>
                  </c15:spPr>
                  <c15:bubble3D val="0"/>
                  <c15:marker>
                    <c:spPr>
                      <a:solidFill>
                        <a:schemeClr val="accent3"/>
                      </a:solidFill>
                      <a:ln w="31750">
                        <a:solidFill>
                          <a:schemeClr val="accent3"/>
                        </a:solidFill>
                      </a:ln>
                      <a:effectLst/>
                    </c:spPr>
                  </c15:marker>
                </c15:categoryFilterException>
                <c15:categoryFilterException>
                  <c15:sqref>'Sensitivity wrksht_Antibody'!$C$37</c15:sqref>
                  <c15:spPr xmlns:c15="http://schemas.microsoft.com/office/drawing/2012/chart">
                    <a:ln w="25400" cap="rnd">
                      <a:noFill/>
                      <a:round/>
                    </a:ln>
                    <a:effectLst/>
                  </c15:spPr>
                  <c15:bubble3D val="0"/>
                  <c15:marker>
                    <c:spPr>
                      <a:solidFill>
                        <a:schemeClr val="accent4"/>
                      </a:solidFill>
                      <a:ln w="31750">
                        <a:solidFill>
                          <a:schemeClr val="accent4"/>
                        </a:solidFill>
                      </a:ln>
                      <a:effectLst/>
                    </c:spPr>
                  </c15:marker>
                </c15:categoryFilterException>
                <c15:categoryFilterException>
                  <c15:sqref>'Sensitivity wrksht_Antibody'!$C$38</c15:sqref>
                  <c15:spPr xmlns:c15="http://schemas.microsoft.com/office/drawing/2012/chart">
                    <a:ln w="25400" cap="rnd">
                      <a:noFill/>
                      <a:round/>
                    </a:ln>
                    <a:effectLst/>
                  </c15:spPr>
                  <c15:bubble3D val="0"/>
                  <c15:marker>
                    <c:spPr>
                      <a:solidFill>
                        <a:schemeClr val="accent5"/>
                      </a:solidFill>
                      <a:ln w="31750">
                        <a:solidFill>
                          <a:schemeClr val="accent5"/>
                        </a:solidFill>
                      </a:ln>
                      <a:effectLst/>
                    </c:spPr>
                  </c15:marker>
                </c15:categoryFilterException>
                <c15:categoryFilterException>
                  <c15:sqref>'Sensitivity wrksht_Antibody'!$C$39</c15:sqref>
                  <c15:spPr xmlns:c15="http://schemas.microsoft.com/office/drawing/2012/chart">
                    <a:ln w="25400" cap="rnd">
                      <a:noFill/>
                      <a:round/>
                    </a:ln>
                    <a:effectLst/>
                  </c15:spPr>
                  <c15:bubble3D val="0"/>
                  <c15:marker>
                    <c:spPr>
                      <a:solidFill>
                        <a:schemeClr val="accent6"/>
                      </a:solidFill>
                      <a:ln w="31750">
                        <a:solidFill>
                          <a:schemeClr val="accent6"/>
                        </a:solidFill>
                      </a:ln>
                      <a:effectLst/>
                    </c:spPr>
                  </c15:marker>
                </c15:categoryFilterException>
              </c15:categoryFilterExceptions>
            </c:ext>
            <c:ext xmlns:c16="http://schemas.microsoft.com/office/drawing/2014/chart" uri="{C3380CC4-5D6E-409C-BE32-E72D297353CC}">
              <c16:uniqueId val="{00000006-0F18-4431-91CF-9215074E1A3F}"/>
            </c:ext>
          </c:extLst>
        </c:ser>
        <c:dLbls>
          <c:showLegendKey val="0"/>
          <c:showVal val="0"/>
          <c:showCatName val="0"/>
          <c:showSerName val="0"/>
          <c:showPercent val="0"/>
          <c:showBubbleSize val="0"/>
        </c:dLbls>
        <c:marker val="1"/>
        <c:smooth val="0"/>
        <c:axId val="192806360"/>
        <c:axId val="192807672"/>
      </c:lineChart>
      <c:catAx>
        <c:axId val="19280636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92807672"/>
        <c:crosses val="autoZero"/>
        <c:auto val="1"/>
        <c:lblAlgn val="ctr"/>
        <c:lblOffset val="100"/>
        <c:noMultiLvlLbl val="1"/>
      </c:catAx>
      <c:valAx>
        <c:axId val="192807672"/>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200"/>
                </a:pPr>
                <a:r>
                  <a:rPr lang="en-US" sz="1200"/>
                  <a:t>Visits</a:t>
                </a:r>
              </a:p>
            </c:rich>
          </c:tx>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28063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Outpatient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Antibody_Candidate!$B$300:$D$300</c:f>
              <c:strCache>
                <c:ptCount val="1"/>
                <c:pt idx="0">
                  <c:v>Low Efficacy, Low RSV Rates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Antibody_Candidate!$B$302:$B$308</c:f>
              <c:numCache>
                <c:formatCode>_(* #,##0_);_(* \(#,##0\);_(* "-"??_);_(@_)</c:formatCode>
                <c:ptCount val="7"/>
                <c:pt idx="0">
                  <c:v>57368.653381415301</c:v>
                </c:pt>
                <c:pt idx="1">
                  <c:v>75429.28607693268</c:v>
                </c:pt>
                <c:pt idx="2">
                  <c:v>93489.918772450052</c:v>
                </c:pt>
                <c:pt idx="3">
                  <c:v>111550.55146796744</c:v>
                </c:pt>
                <c:pt idx="4">
                  <c:v>129611.18416348481</c:v>
                </c:pt>
                <c:pt idx="5">
                  <c:v>147671.81685900217</c:v>
                </c:pt>
                <c:pt idx="6">
                  <c:v>165732.44955451955</c:v>
                </c:pt>
              </c:numCache>
            </c:numRef>
          </c:val>
          <c:smooth val="0"/>
          <c:extLst>
            <c:ext xmlns:c16="http://schemas.microsoft.com/office/drawing/2014/chart" uri="{C3380CC4-5D6E-409C-BE32-E72D297353CC}">
              <c16:uniqueId val="{00000004-E7F9-428A-8BC1-0A6308D2E558}"/>
            </c:ext>
          </c:extLst>
        </c:ser>
        <c:ser>
          <c:idx val="1"/>
          <c:order val="1"/>
          <c:tx>
            <c:strRef>
              <c:f>Antibody_Candidate!$E$300:$G$300</c:f>
              <c:strCache>
                <c:ptCount val="1"/>
                <c:pt idx="0">
                  <c:v>High Efficacy, High RSV Rates</c:v>
                </c:pt>
              </c:strCache>
            </c:strRef>
          </c:tx>
          <c:spPr>
            <a:ln w="28575" cap="rnd">
              <a:solidFill>
                <a:schemeClr val="accent1"/>
              </a:solidFill>
              <a:prstDash val="sysDash"/>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Antibody_Candidate!$E$302:$E$308</c:f>
              <c:numCache>
                <c:formatCode>_(* #,##0_);_(* \(#,##0\);_(* "-"??_);_(@_)</c:formatCode>
                <c:ptCount val="7"/>
                <c:pt idx="0">
                  <c:v>93644.822290968383</c:v>
                </c:pt>
                <c:pt idx="1">
                  <c:v>123125.81303324147</c:v>
                </c:pt>
                <c:pt idx="2">
                  <c:v>152606.80377551453</c:v>
                </c:pt>
                <c:pt idx="3">
                  <c:v>182087.79451778761</c:v>
                </c:pt>
                <c:pt idx="4">
                  <c:v>211568.78526006071</c:v>
                </c:pt>
                <c:pt idx="5">
                  <c:v>241049.77600233379</c:v>
                </c:pt>
                <c:pt idx="6">
                  <c:v>270530.76674460678</c:v>
                </c:pt>
              </c:numCache>
            </c:numRef>
          </c:val>
          <c:smooth val="0"/>
          <c:extLst>
            <c:ext xmlns:c16="http://schemas.microsoft.com/office/drawing/2014/chart" uri="{C3380CC4-5D6E-409C-BE32-E72D297353CC}">
              <c16:uniqueId val="{00000005-E7F9-428A-8BC1-0A6308D2E558}"/>
            </c:ext>
          </c:extLst>
        </c:ser>
        <c:dLbls>
          <c:showLegendKey val="0"/>
          <c:showVal val="0"/>
          <c:showCatName val="0"/>
          <c:showSerName val="0"/>
          <c:showPercent val="0"/>
          <c:showBubbleSize val="0"/>
        </c:dLbls>
        <c:smooth val="0"/>
        <c:axId val="223843824"/>
        <c:axId val="223845792"/>
      </c:lineChart>
      <c:catAx>
        <c:axId val="2238438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Immunization Uptake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5792"/>
        <c:crosses val="autoZero"/>
        <c:auto val="1"/>
        <c:lblAlgn val="ctr"/>
        <c:lblOffset val="100"/>
        <c:noMultiLvlLbl val="0"/>
      </c:catAx>
      <c:valAx>
        <c:axId val="223845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200" b="1"/>
                  <a:t>Visits</a:t>
                </a:r>
                <a:endParaRPr lang="en-US" b="1"/>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3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ED</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Antibody_Candidate!$B$300:$D$300</c:f>
              <c:strCache>
                <c:ptCount val="1"/>
                <c:pt idx="0">
                  <c:v>Low Efficacy, Low RSV Rates</c:v>
                </c:pt>
              </c:strCache>
            </c:strRef>
          </c:tx>
          <c:spPr>
            <a:ln w="28575" cap="rnd">
              <a:solidFill>
                <a:schemeClr val="accent1"/>
              </a:solidFill>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Antibody_Candidate!$C$302:$C$308</c:f>
              <c:numCache>
                <c:formatCode>_(* #,##0_);_(* \(#,##0\);_(* "-"??_);_(@_)</c:formatCode>
                <c:ptCount val="7"/>
                <c:pt idx="0">
                  <c:v>22562.856320486695</c:v>
                </c:pt>
                <c:pt idx="1">
                  <c:v>29666.029160483202</c:v>
                </c:pt>
                <c:pt idx="2">
                  <c:v>36769.202000479709</c:v>
                </c:pt>
                <c:pt idx="3">
                  <c:v>43872.374840476201</c:v>
                </c:pt>
                <c:pt idx="4">
                  <c:v>50975.547680472708</c:v>
                </c:pt>
                <c:pt idx="5">
                  <c:v>58078.7205204692</c:v>
                </c:pt>
                <c:pt idx="6">
                  <c:v>65181.893360465707</c:v>
                </c:pt>
              </c:numCache>
            </c:numRef>
          </c:val>
          <c:smooth val="0"/>
          <c:extLst>
            <c:ext xmlns:c16="http://schemas.microsoft.com/office/drawing/2014/chart" uri="{C3380CC4-5D6E-409C-BE32-E72D297353CC}">
              <c16:uniqueId val="{00000000-8158-49F0-A156-469573154586}"/>
            </c:ext>
          </c:extLst>
        </c:ser>
        <c:ser>
          <c:idx val="1"/>
          <c:order val="1"/>
          <c:tx>
            <c:strRef>
              <c:f>Antibody_Candidate!$E$300:$G$300</c:f>
              <c:strCache>
                <c:ptCount val="1"/>
                <c:pt idx="0">
                  <c:v>High Efficacy, High RSV Rates</c:v>
                </c:pt>
              </c:strCache>
            </c:strRef>
          </c:tx>
          <c:spPr>
            <a:ln w="28575" cap="rnd">
              <a:solidFill>
                <a:schemeClr val="accent1"/>
              </a:solidFill>
              <a:prstDash val="sysDash"/>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Antibody_Candidate!$F$302:$F$308</c:f>
              <c:numCache>
                <c:formatCode>_(* #,##0_);_(* \(#,##0\);_(* "-"??_);_(@_)</c:formatCode>
                <c:ptCount val="7"/>
                <c:pt idx="0">
                  <c:v>35104.300223446146</c:v>
                </c:pt>
                <c:pt idx="1">
                  <c:v>46155.733976887146</c:v>
                </c:pt>
                <c:pt idx="2">
                  <c:v>57207.167730328125</c:v>
                </c:pt>
                <c:pt idx="3">
                  <c:v>68258.601483769104</c:v>
                </c:pt>
                <c:pt idx="4">
                  <c:v>79310.03523721009</c:v>
                </c:pt>
                <c:pt idx="5">
                  <c:v>90361.46899065109</c:v>
                </c:pt>
                <c:pt idx="6">
                  <c:v>101412.90274409205</c:v>
                </c:pt>
              </c:numCache>
            </c:numRef>
          </c:val>
          <c:smooth val="0"/>
          <c:extLst>
            <c:ext xmlns:c16="http://schemas.microsoft.com/office/drawing/2014/chart" uri="{C3380CC4-5D6E-409C-BE32-E72D297353CC}">
              <c16:uniqueId val="{00000001-8158-49F0-A156-469573154586}"/>
            </c:ext>
          </c:extLst>
        </c:ser>
        <c:dLbls>
          <c:showLegendKey val="0"/>
          <c:showVal val="0"/>
          <c:showCatName val="0"/>
          <c:showSerName val="0"/>
          <c:showPercent val="0"/>
          <c:showBubbleSize val="0"/>
        </c:dLbls>
        <c:smooth val="0"/>
        <c:axId val="223843824"/>
        <c:axId val="223845792"/>
      </c:lineChart>
      <c:catAx>
        <c:axId val="2238438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Immunization Uptake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5792"/>
        <c:crosses val="autoZero"/>
        <c:auto val="1"/>
        <c:lblAlgn val="ctr"/>
        <c:lblOffset val="100"/>
        <c:noMultiLvlLbl val="0"/>
      </c:catAx>
      <c:valAx>
        <c:axId val="223845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3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Hospitalizations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Antibody_Candidate!$B$300:$D$300</c:f>
              <c:strCache>
                <c:ptCount val="1"/>
                <c:pt idx="0">
                  <c:v>Low Efficacy, Low RSV Rates</c:v>
                </c:pt>
              </c:strCache>
            </c:strRef>
          </c:tx>
          <c:spPr>
            <a:ln w="28575" cap="rnd">
              <a:solidFill>
                <a:schemeClr val="accent1"/>
              </a:solidFill>
              <a:round/>
            </a:ln>
            <a:effectLst/>
          </c:spPr>
          <c:marker>
            <c:symbol val="none"/>
          </c:marker>
          <c:trendline>
            <c:spPr>
              <a:ln w="19050" cap="rnd">
                <a:solidFill>
                  <a:schemeClr val="accent1"/>
                </a:solidFill>
                <a:prstDash val="sysDot"/>
              </a:ln>
              <a:effectLst/>
            </c:spPr>
            <c:trendlineType val="linear"/>
            <c:dispRSqr val="0"/>
            <c:dispEq val="0"/>
          </c:trendline>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Antibody_Candidate!$D$302:$D$308</c:f>
              <c:numCache>
                <c:formatCode>_(* #,##0_);_(* \(#,##0\);_(* "-"??_);_(@_)</c:formatCode>
                <c:ptCount val="7"/>
                <c:pt idx="0">
                  <c:v>5277.312681232911</c:v>
                </c:pt>
                <c:pt idx="1">
                  <c:v>6707.1677523055369</c:v>
                </c:pt>
                <c:pt idx="2">
                  <c:v>8137.0228233781609</c:v>
                </c:pt>
                <c:pt idx="3">
                  <c:v>9566.8778944507867</c:v>
                </c:pt>
                <c:pt idx="4">
                  <c:v>10996.73296552341</c:v>
                </c:pt>
                <c:pt idx="5">
                  <c:v>12426.588036596035</c:v>
                </c:pt>
                <c:pt idx="6">
                  <c:v>13856.44310766866</c:v>
                </c:pt>
              </c:numCache>
            </c:numRef>
          </c:val>
          <c:smooth val="0"/>
          <c:extLst>
            <c:ext xmlns:c16="http://schemas.microsoft.com/office/drawing/2014/chart" uri="{C3380CC4-5D6E-409C-BE32-E72D297353CC}">
              <c16:uniqueId val="{00000000-D8E0-4EF8-8300-0238CB259BDC}"/>
            </c:ext>
          </c:extLst>
        </c:ser>
        <c:ser>
          <c:idx val="1"/>
          <c:order val="1"/>
          <c:tx>
            <c:strRef>
              <c:f>Antibody_Candidate!$E$300:$G$300</c:f>
              <c:strCache>
                <c:ptCount val="1"/>
                <c:pt idx="0">
                  <c:v>High Efficacy, High RSV Rates</c:v>
                </c:pt>
              </c:strCache>
            </c:strRef>
          </c:tx>
          <c:spPr>
            <a:ln w="28575" cap="rnd">
              <a:solidFill>
                <a:schemeClr val="accent1"/>
              </a:solidFill>
              <a:prstDash val="sysDash"/>
              <a:round/>
            </a:ln>
            <a:effectLst/>
          </c:spPr>
          <c:marker>
            <c:symbol val="none"/>
          </c:marker>
          <c:cat>
            <c:numRef>
              <c:f>Antibody_Candidate!$A$302:$A$308</c:f>
              <c:numCache>
                <c:formatCode>0%</c:formatCode>
                <c:ptCount val="7"/>
                <c:pt idx="0">
                  <c:v>0.2</c:v>
                </c:pt>
                <c:pt idx="1">
                  <c:v>0.30000000000000004</c:v>
                </c:pt>
                <c:pt idx="2">
                  <c:v>0.4</c:v>
                </c:pt>
                <c:pt idx="3">
                  <c:v>0.5</c:v>
                </c:pt>
                <c:pt idx="4">
                  <c:v>0.6</c:v>
                </c:pt>
                <c:pt idx="5">
                  <c:v>0.7</c:v>
                </c:pt>
                <c:pt idx="6">
                  <c:v>0.79999999999999993</c:v>
                </c:pt>
              </c:numCache>
            </c:numRef>
          </c:cat>
          <c:val>
            <c:numRef>
              <c:f>Antibody_Candidate!$G$302:$G$308</c:f>
              <c:numCache>
                <c:formatCode>_(* #,##0_);_(* \(#,##0\);_(* "-"??_);_(@_)</c:formatCode>
                <c:ptCount val="7"/>
                <c:pt idx="0">
                  <c:v>8857.3375716878345</c:v>
                </c:pt>
                <c:pt idx="1">
                  <c:v>11944.739998598878</c:v>
                </c:pt>
                <c:pt idx="2">
                  <c:v>15032.142425509912</c:v>
                </c:pt>
                <c:pt idx="3">
                  <c:v>18119.544852420953</c:v>
                </c:pt>
                <c:pt idx="4">
                  <c:v>21206.947279331995</c:v>
                </c:pt>
                <c:pt idx="5">
                  <c:v>24294.349706243032</c:v>
                </c:pt>
                <c:pt idx="6">
                  <c:v>27381.75213315407</c:v>
                </c:pt>
              </c:numCache>
            </c:numRef>
          </c:val>
          <c:smooth val="0"/>
          <c:extLst>
            <c:ext xmlns:c16="http://schemas.microsoft.com/office/drawing/2014/chart" uri="{C3380CC4-5D6E-409C-BE32-E72D297353CC}">
              <c16:uniqueId val="{00000001-D8E0-4EF8-8300-0238CB259BDC}"/>
            </c:ext>
          </c:extLst>
        </c:ser>
        <c:dLbls>
          <c:showLegendKey val="0"/>
          <c:showVal val="0"/>
          <c:showCatName val="0"/>
          <c:showSerName val="0"/>
          <c:showPercent val="0"/>
          <c:showBubbleSize val="0"/>
        </c:dLbls>
        <c:smooth val="0"/>
        <c:axId val="223843824"/>
        <c:axId val="223845792"/>
      </c:lineChart>
      <c:catAx>
        <c:axId val="223843824"/>
        <c:scaling>
          <c:orientation val="minMax"/>
        </c:scaling>
        <c:delete val="0"/>
        <c:axPos val="b"/>
        <c:title>
          <c:tx>
            <c:rich>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a:t>Immunization Uptake</a:t>
                </a:r>
              </a:p>
            </c:rich>
          </c:tx>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5792"/>
        <c:crosses val="autoZero"/>
        <c:auto val="1"/>
        <c:lblAlgn val="ctr"/>
        <c:lblOffset val="100"/>
        <c:noMultiLvlLbl val="0"/>
      </c:catAx>
      <c:valAx>
        <c:axId val="223845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2384382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5" Type="http://schemas.openxmlformats.org/officeDocument/2006/relationships/chart" Target="../charts/chart8.xml"/><Relationship Id="rId4"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editAs="oneCell">
    <xdr:from>
      <xdr:col>3</xdr:col>
      <xdr:colOff>152399</xdr:colOff>
      <xdr:row>0</xdr:row>
      <xdr:rowOff>41032</xdr:rowOff>
    </xdr:from>
    <xdr:to>
      <xdr:col>12</xdr:col>
      <xdr:colOff>715106</xdr:colOff>
      <xdr:row>5</xdr:row>
      <xdr:rowOff>273916</xdr:rowOff>
    </xdr:to>
    <xdr:pic>
      <xdr:nvPicPr>
        <xdr:cNvPr id="2" name="Picture 1"/>
        <xdr:cNvPicPr>
          <a:picLocks noChangeAspect="1"/>
        </xdr:cNvPicPr>
      </xdr:nvPicPr>
      <xdr:blipFill>
        <a:blip xmlns:r="http://schemas.openxmlformats.org/officeDocument/2006/relationships" r:embed="rId1"/>
        <a:stretch>
          <a:fillRect/>
        </a:stretch>
      </xdr:blipFill>
      <xdr:spPr>
        <a:xfrm>
          <a:off x="1752599" y="41032"/>
          <a:ext cx="5697415" cy="1598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480060</xdr:colOff>
      <xdr:row>24</xdr:row>
      <xdr:rowOff>18139</xdr:rowOff>
    </xdr:from>
    <xdr:to>
      <xdr:col>18</xdr:col>
      <xdr:colOff>446652</xdr:colOff>
      <xdr:row>38</xdr:row>
      <xdr:rowOff>115890</xdr:rowOff>
    </xdr:to>
    <xdr:grpSp>
      <xdr:nvGrpSpPr>
        <xdr:cNvPr id="30" name="Group 29"/>
        <xdr:cNvGrpSpPr/>
      </xdr:nvGrpSpPr>
      <xdr:grpSpPr>
        <a:xfrm>
          <a:off x="4774969" y="4631703"/>
          <a:ext cx="6062592" cy="2619278"/>
          <a:chOff x="4503420" y="3751939"/>
          <a:chExt cx="6062592" cy="2658071"/>
        </a:xfrm>
      </xdr:grpSpPr>
      <xdr:grpSp>
        <xdr:nvGrpSpPr>
          <xdr:cNvPr id="13" name="Group 12"/>
          <xdr:cNvGrpSpPr/>
        </xdr:nvGrpSpPr>
        <xdr:grpSpPr>
          <a:xfrm>
            <a:off x="4564380" y="3751939"/>
            <a:ext cx="6001632" cy="2658071"/>
            <a:chOff x="4564380" y="3751939"/>
            <a:chExt cx="6001632" cy="2658071"/>
          </a:xfrm>
        </xdr:grpSpPr>
        <xdr:pic>
          <xdr:nvPicPr>
            <xdr:cNvPr id="3" name="Picture 2"/>
            <xdr:cNvPicPr>
              <a:picLocks noChangeAspect="1"/>
            </xdr:cNvPicPr>
          </xdr:nvPicPr>
          <xdr:blipFill>
            <a:blip xmlns:r="http://schemas.openxmlformats.org/officeDocument/2006/relationships" r:embed="rId1"/>
            <a:stretch>
              <a:fillRect/>
            </a:stretch>
          </xdr:blipFill>
          <xdr:spPr>
            <a:xfrm>
              <a:off x="4846320" y="3751939"/>
              <a:ext cx="5654115" cy="2505174"/>
            </a:xfrm>
            <a:prstGeom prst="rect">
              <a:avLst/>
            </a:prstGeom>
          </xdr:spPr>
        </xdr:pic>
        <xdr:sp macro="" textlink="">
          <xdr:nvSpPr>
            <xdr:cNvPr id="4" name="Oval 3"/>
            <xdr:cNvSpPr/>
          </xdr:nvSpPr>
          <xdr:spPr>
            <a:xfrm>
              <a:off x="4914900" y="5669280"/>
              <a:ext cx="1348740" cy="723900"/>
            </a:xfrm>
            <a:prstGeom prst="ellipse">
              <a:avLst/>
            </a:prstGeom>
            <a:noFill/>
            <a:ln w="28575">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6" name="Picture 5"/>
            <xdr:cNvPicPr>
              <a:picLocks noChangeAspect="1"/>
            </xdr:cNvPicPr>
          </xdr:nvPicPr>
          <xdr:blipFill>
            <a:blip xmlns:r="http://schemas.openxmlformats.org/officeDocument/2006/relationships" r:embed="rId2"/>
            <a:stretch>
              <a:fillRect/>
            </a:stretch>
          </xdr:blipFill>
          <xdr:spPr>
            <a:xfrm>
              <a:off x="9182100" y="5654040"/>
              <a:ext cx="1383912" cy="755970"/>
            </a:xfrm>
            <a:prstGeom prst="rect">
              <a:avLst/>
            </a:prstGeom>
          </xdr:spPr>
        </xdr:pic>
        <xdr:cxnSp macro="">
          <xdr:nvCxnSpPr>
            <xdr:cNvPr id="8" name="Straight Arrow Connector 7"/>
            <xdr:cNvCxnSpPr/>
          </xdr:nvCxnSpPr>
          <xdr:spPr>
            <a:xfrm>
              <a:off x="4587240" y="5257800"/>
              <a:ext cx="472440" cy="50292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 name="Straight Arrow Connector 8"/>
            <xdr:cNvCxnSpPr/>
          </xdr:nvCxnSpPr>
          <xdr:spPr>
            <a:xfrm>
              <a:off x="4564380" y="5257800"/>
              <a:ext cx="4663440" cy="52578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grpSp>
      <xdr:sp macro="" textlink="">
        <xdr:nvSpPr>
          <xdr:cNvPr id="18" name="Oval 17"/>
          <xdr:cNvSpPr/>
        </xdr:nvSpPr>
        <xdr:spPr>
          <a:xfrm>
            <a:off x="6347460" y="4312920"/>
            <a:ext cx="685800" cy="754380"/>
          </a:xfrm>
          <a:prstGeom prst="ellipse">
            <a:avLst/>
          </a:prstGeom>
          <a:no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 name="Oval 18"/>
          <xdr:cNvSpPr/>
        </xdr:nvSpPr>
        <xdr:spPr>
          <a:xfrm>
            <a:off x="7551420" y="4274820"/>
            <a:ext cx="685800" cy="754380"/>
          </a:xfrm>
          <a:prstGeom prst="ellipse">
            <a:avLst/>
          </a:prstGeom>
          <a:noFill/>
          <a:ln w="28575">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3" name="Straight Arrow Connector 22"/>
          <xdr:cNvCxnSpPr/>
        </xdr:nvCxnSpPr>
        <xdr:spPr>
          <a:xfrm>
            <a:off x="4541520" y="3916680"/>
            <a:ext cx="1859280" cy="480060"/>
          </a:xfrm>
          <a:prstGeom prst="straightConnector1">
            <a:avLst/>
          </a:prstGeom>
          <a:ln w="28575">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6" name="Straight Arrow Connector 25"/>
          <xdr:cNvCxnSpPr/>
        </xdr:nvCxnSpPr>
        <xdr:spPr>
          <a:xfrm>
            <a:off x="4503420" y="3909060"/>
            <a:ext cx="3124200" cy="457200"/>
          </a:xfrm>
          <a:prstGeom prst="straightConnector1">
            <a:avLst/>
          </a:prstGeom>
          <a:ln w="28575">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226180</xdr:colOff>
      <xdr:row>10</xdr:row>
      <xdr:rowOff>133133</xdr:rowOff>
    </xdr:from>
    <xdr:to>
      <xdr:col>18</xdr:col>
      <xdr:colOff>405848</xdr:colOff>
      <xdr:row>25</xdr:row>
      <xdr:rowOff>23522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2599</xdr:colOff>
      <xdr:row>17</xdr:row>
      <xdr:rowOff>57148</xdr:rowOff>
    </xdr:from>
    <xdr:to>
      <xdr:col>10</xdr:col>
      <xdr:colOff>541020</xdr:colOff>
      <xdr:row>34</xdr:row>
      <xdr:rowOff>45720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865</xdr:colOff>
      <xdr:row>17</xdr:row>
      <xdr:rowOff>39832</xdr:rowOff>
    </xdr:from>
    <xdr:to>
      <xdr:col>22</xdr:col>
      <xdr:colOff>17318</xdr:colOff>
      <xdr:row>34</xdr:row>
      <xdr:rowOff>49357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0.01615</cdr:x>
      <cdr:y>0.93926</cdr:y>
    </cdr:from>
    <cdr:to>
      <cdr:x>0.46499</cdr:x>
      <cdr:y>0.99794</cdr:y>
    </cdr:to>
    <cdr:sp macro="" textlink="">
      <cdr:nvSpPr>
        <cdr:cNvPr id="2" name="TextBox 1"/>
        <cdr:cNvSpPr txBox="1"/>
      </cdr:nvSpPr>
      <cdr:spPr>
        <a:xfrm xmlns:a="http://schemas.openxmlformats.org/drawingml/2006/main">
          <a:off x="100445" y="3548496"/>
          <a:ext cx="2791691" cy="2216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Error bars reflect uncertainty in RSV Rates</a:t>
          </a:r>
        </a:p>
      </cdr:txBody>
    </cdr:sp>
  </cdr:relSizeAnchor>
</c:userShapes>
</file>

<file path=xl/drawings/drawing6.xml><?xml version="1.0" encoding="utf-8"?>
<c:userShapes xmlns:c="http://schemas.openxmlformats.org/drawingml/2006/chart">
  <cdr:relSizeAnchor xmlns:cdr="http://schemas.openxmlformats.org/drawingml/2006/chartDrawing">
    <cdr:from>
      <cdr:x>0</cdr:x>
      <cdr:y>0.93452</cdr:y>
    </cdr:from>
    <cdr:to>
      <cdr:x>0.44802</cdr:x>
      <cdr:y>0.99312</cdr:y>
    </cdr:to>
    <cdr:sp macro="" textlink="">
      <cdr:nvSpPr>
        <cdr:cNvPr id="3" name="TextBox 1"/>
        <cdr:cNvSpPr txBox="1"/>
      </cdr:nvSpPr>
      <cdr:spPr>
        <a:xfrm xmlns:a="http://schemas.openxmlformats.org/drawingml/2006/main">
          <a:off x="0" y="3535218"/>
          <a:ext cx="2791691" cy="22167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900"/>
            <a:t>* Error bars reflect uncertainty in RSV Rates</a:t>
          </a:r>
        </a:p>
      </cdr:txBody>
    </cdr:sp>
  </cdr:relSizeAnchor>
</c:userShapes>
</file>

<file path=xl/drawings/drawing7.xml><?xml version="1.0" encoding="utf-8"?>
<xdr:wsDr xmlns:xdr="http://schemas.openxmlformats.org/drawingml/2006/spreadsheetDrawing" xmlns:a="http://schemas.openxmlformats.org/drawingml/2006/main">
  <xdr:twoCellAnchor>
    <xdr:from>
      <xdr:col>12</xdr:col>
      <xdr:colOff>257177</xdr:colOff>
      <xdr:row>4</xdr:row>
      <xdr:rowOff>76200</xdr:rowOff>
    </xdr:from>
    <xdr:to>
      <xdr:col>19</xdr:col>
      <xdr:colOff>247650</xdr:colOff>
      <xdr:row>23</xdr:row>
      <xdr:rowOff>169334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200025</xdr:colOff>
      <xdr:row>4</xdr:row>
      <xdr:rowOff>76200</xdr:rowOff>
    </xdr:from>
    <xdr:to>
      <xdr:col>12</xdr:col>
      <xdr:colOff>247650</xdr:colOff>
      <xdr:row>23</xdr:row>
      <xdr:rowOff>169334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xdr:colOff>
      <xdr:row>4</xdr:row>
      <xdr:rowOff>76201</xdr:rowOff>
    </xdr:from>
    <xdr:to>
      <xdr:col>7</xdr:col>
      <xdr:colOff>200025</xdr:colOff>
      <xdr:row>23</xdr:row>
      <xdr:rowOff>169335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26</xdr:row>
      <xdr:rowOff>95249</xdr:rowOff>
    </xdr:from>
    <xdr:to>
      <xdr:col>7</xdr:col>
      <xdr:colOff>238125</xdr:colOff>
      <xdr:row>44</xdr:row>
      <xdr:rowOff>76199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238125</xdr:colOff>
      <xdr:row>26</xdr:row>
      <xdr:rowOff>95250</xdr:rowOff>
    </xdr:from>
    <xdr:to>
      <xdr:col>12</xdr:col>
      <xdr:colOff>266700</xdr:colOff>
      <xdr:row>44</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266700</xdr:colOff>
      <xdr:row>26</xdr:row>
      <xdr:rowOff>95250</xdr:rowOff>
    </xdr:from>
    <xdr:to>
      <xdr:col>19</xdr:col>
      <xdr:colOff>247650</xdr:colOff>
      <xdr:row>44</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12</xdr:col>
      <xdr:colOff>257177</xdr:colOff>
      <xdr:row>4</xdr:row>
      <xdr:rowOff>76200</xdr:rowOff>
    </xdr:from>
    <xdr:to>
      <xdr:col>19</xdr:col>
      <xdr:colOff>247650</xdr:colOff>
      <xdr:row>22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200025</xdr:colOff>
      <xdr:row>4</xdr:row>
      <xdr:rowOff>76200</xdr:rowOff>
    </xdr:from>
    <xdr:to>
      <xdr:col>12</xdr:col>
      <xdr:colOff>247650</xdr:colOff>
      <xdr:row>22</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47625</xdr:colOff>
      <xdr:row>4</xdr:row>
      <xdr:rowOff>76201</xdr:rowOff>
    </xdr:from>
    <xdr:to>
      <xdr:col>7</xdr:col>
      <xdr:colOff>200025</xdr:colOff>
      <xdr:row>22</xdr:row>
      <xdr:rowOff>152401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47625</xdr:colOff>
      <xdr:row>27</xdr:row>
      <xdr:rowOff>95249</xdr:rowOff>
    </xdr:from>
    <xdr:to>
      <xdr:col>7</xdr:col>
      <xdr:colOff>238125</xdr:colOff>
      <xdr:row>46</xdr:row>
      <xdr:rowOff>76199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238125</xdr:colOff>
      <xdr:row>27</xdr:row>
      <xdr:rowOff>95250</xdr:rowOff>
    </xdr:from>
    <xdr:to>
      <xdr:col>12</xdr:col>
      <xdr:colOff>266700</xdr:colOff>
      <xdr:row>46</xdr:row>
      <xdr:rowOff>76200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266700</xdr:colOff>
      <xdr:row>27</xdr:row>
      <xdr:rowOff>95250</xdr:rowOff>
    </xdr:from>
    <xdr:to>
      <xdr:col>19</xdr:col>
      <xdr:colOff>247650</xdr:colOff>
      <xdr:row>46</xdr:row>
      <xdr:rowOff>76200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1</xdr:colOff>
      <xdr:row>9</xdr:row>
      <xdr:rowOff>152401</xdr:rowOff>
    </xdr:from>
    <xdr:to>
      <xdr:col>11</xdr:col>
      <xdr:colOff>228601</xdr:colOff>
      <xdr:row>13</xdr:row>
      <xdr:rowOff>133351</xdr:rowOff>
    </xdr:to>
    <xdr:sp macro="" textlink="">
      <xdr:nvSpPr>
        <xdr:cNvPr id="2" name="Right Arrow 1"/>
        <xdr:cNvSpPr/>
      </xdr:nvSpPr>
      <xdr:spPr>
        <a:xfrm>
          <a:off x="4819651" y="1885951"/>
          <a:ext cx="1447800" cy="7429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uu8/Desktop/Anthrax%20Assist%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TRODUCTION"/>
      <sheetName val="GETTING STARTED"/>
      <sheetName val="INTERPRETATION IN A REAL EVENT"/>
      <sheetName val="Timeline"/>
      <sheetName val="CASE_COUNTS"/>
      <sheetName val="INCUBATION"/>
      <sheetName val="Info Inputs ORIG"/>
      <sheetName val="PEP_Decisions"/>
      <sheetName val="IMPACT_ON_HLTHCARE"/>
      <sheetName val="Epi-Curve Model"/>
      <sheetName val="PEP Impact Model"/>
      <sheetName val="Healthcare_Model"/>
      <sheetName val="Sverdlovsk Case Series"/>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AO40"/>
  <sheetViews>
    <sheetView showGridLines="0" showRowColHeaders="0" tabSelected="1" zoomScale="130" zoomScaleNormal="130" workbookViewId="0"/>
  </sheetViews>
  <sheetFormatPr defaultColWidth="9.109375" defaultRowHeight="13.2" x14ac:dyDescent="0.25"/>
  <cols>
    <col min="1" max="1" width="2.5546875" style="116" customWidth="1"/>
    <col min="2" max="2" width="7.109375" style="116" customWidth="1"/>
    <col min="3" max="3" width="13.6640625" style="116" customWidth="1"/>
    <col min="4" max="4" width="10.109375" style="116" customWidth="1"/>
    <col min="5" max="5" width="11.33203125" style="116" customWidth="1"/>
    <col min="6" max="6" width="3" style="117" customWidth="1"/>
    <col min="7" max="7" width="10.109375" style="116" customWidth="1"/>
    <col min="8" max="8" width="7" style="116" customWidth="1"/>
    <col min="9" max="9" width="7.5546875" style="116" customWidth="1"/>
    <col min="10" max="11" width="9.109375" style="116"/>
    <col min="12" max="12" width="7.5546875" style="116" customWidth="1"/>
    <col min="13" max="13" width="14.109375" style="116" customWidth="1"/>
    <col min="14" max="14" width="10" style="116" customWidth="1"/>
    <col min="15" max="16384" width="9.109375" style="116"/>
  </cols>
  <sheetData>
    <row r="1" spans="1:30" ht="6" customHeight="1" x14ac:dyDescent="0.25">
      <c r="A1" s="249"/>
      <c r="B1" s="249"/>
      <c r="C1" s="809"/>
      <c r="D1" s="809"/>
      <c r="E1" s="809"/>
      <c r="F1" s="809"/>
      <c r="G1" s="809"/>
      <c r="H1" s="809"/>
      <c r="I1" s="809"/>
      <c r="J1" s="809"/>
      <c r="K1" s="809"/>
      <c r="L1" s="809"/>
      <c r="M1" s="809"/>
      <c r="N1" s="809"/>
      <c r="O1" s="249"/>
      <c r="P1" s="249"/>
      <c r="Q1" s="249"/>
      <c r="R1" s="249"/>
      <c r="S1" s="249"/>
      <c r="T1" s="249"/>
      <c r="U1" s="249"/>
      <c r="V1" s="249"/>
      <c r="W1" s="249"/>
      <c r="X1" s="249"/>
      <c r="Y1" s="249"/>
      <c r="Z1" s="249"/>
      <c r="AA1" s="249"/>
      <c r="AB1" s="249"/>
      <c r="AC1" s="249"/>
      <c r="AD1" s="249"/>
    </row>
    <row r="2" spans="1:30" ht="25.5" customHeight="1" x14ac:dyDescent="0.4">
      <c r="A2" s="249"/>
      <c r="B2" s="249"/>
      <c r="C2" s="876"/>
      <c r="D2" s="876"/>
      <c r="E2" s="876"/>
      <c r="F2" s="876"/>
      <c r="G2" s="876"/>
      <c r="H2" s="876"/>
      <c r="I2" s="876"/>
      <c r="J2" s="876"/>
      <c r="K2" s="876"/>
      <c r="L2" s="876"/>
      <c r="M2" s="876"/>
      <c r="N2" s="876"/>
      <c r="O2" s="249"/>
      <c r="P2" s="249"/>
      <c r="Q2" s="249"/>
      <c r="R2" s="249"/>
      <c r="S2" s="249"/>
      <c r="T2" s="249"/>
      <c r="U2" s="249"/>
      <c r="V2" s="249"/>
      <c r="W2" s="249"/>
      <c r="X2" s="249"/>
      <c r="Y2" s="249"/>
      <c r="Z2" s="249"/>
      <c r="AA2" s="249"/>
      <c r="AB2" s="249"/>
      <c r="AC2" s="249"/>
      <c r="AD2" s="249"/>
    </row>
    <row r="3" spans="1:30" ht="25.5" customHeight="1" x14ac:dyDescent="0.4">
      <c r="A3" s="249"/>
      <c r="B3" s="249"/>
      <c r="C3" s="808"/>
      <c r="D3" s="808"/>
      <c r="E3" s="808"/>
      <c r="F3" s="808"/>
      <c r="G3" s="808"/>
      <c r="H3" s="808"/>
      <c r="I3" s="808"/>
      <c r="J3" s="808"/>
      <c r="K3" s="808"/>
      <c r="L3" s="808"/>
      <c r="M3" s="808"/>
      <c r="N3" s="808"/>
      <c r="O3" s="249"/>
      <c r="P3" s="249"/>
      <c r="Q3" s="249"/>
      <c r="R3" s="249"/>
      <c r="S3" s="249"/>
      <c r="T3" s="249"/>
      <c r="U3" s="249"/>
      <c r="V3" s="249"/>
      <c r="W3" s="249"/>
      <c r="X3" s="249"/>
      <c r="Y3" s="249"/>
      <c r="Z3" s="249"/>
      <c r="AA3" s="249"/>
      <c r="AB3" s="249"/>
      <c r="AC3" s="249"/>
      <c r="AD3" s="249"/>
    </row>
    <row r="4" spans="1:30" ht="25.5" customHeight="1" x14ac:dyDescent="0.4">
      <c r="A4" s="249"/>
      <c r="B4" s="249"/>
      <c r="C4" s="808"/>
      <c r="D4" s="808"/>
      <c r="E4" s="808"/>
      <c r="F4" s="808"/>
      <c r="G4" s="808"/>
      <c r="H4" s="808"/>
      <c r="I4" s="808"/>
      <c r="J4" s="808"/>
      <c r="K4" s="808"/>
      <c r="L4" s="808"/>
      <c r="M4" s="808"/>
      <c r="N4" s="808"/>
      <c r="O4" s="249"/>
      <c r="P4" s="249"/>
      <c r="Q4" s="249"/>
      <c r="R4" s="249"/>
      <c r="S4" s="249"/>
      <c r="T4" s="249"/>
      <c r="U4" s="249"/>
      <c r="V4" s="249"/>
      <c r="W4" s="249"/>
      <c r="X4" s="249"/>
      <c r="Y4" s="249"/>
      <c r="Z4" s="249"/>
      <c r="AA4" s="249"/>
      <c r="AB4" s="249"/>
      <c r="AC4" s="249"/>
      <c r="AD4" s="249"/>
    </row>
    <row r="5" spans="1:30" ht="25.5" customHeight="1" x14ac:dyDescent="0.4">
      <c r="A5" s="249"/>
      <c r="B5" s="249"/>
      <c r="C5" s="808"/>
      <c r="D5" s="808"/>
      <c r="E5" s="808"/>
      <c r="F5" s="808"/>
      <c r="G5" s="808"/>
      <c r="H5" s="808"/>
      <c r="I5" s="808"/>
      <c r="J5" s="808"/>
      <c r="K5" s="808"/>
      <c r="L5" s="808"/>
      <c r="M5" s="808"/>
      <c r="N5" s="808"/>
      <c r="O5" s="249"/>
      <c r="P5" s="249"/>
      <c r="Q5" s="249"/>
      <c r="R5" s="249"/>
      <c r="S5" s="249"/>
      <c r="T5" s="249"/>
      <c r="U5" s="249"/>
      <c r="V5" s="249"/>
      <c r="W5" s="249"/>
      <c r="X5" s="249"/>
      <c r="Y5" s="249"/>
      <c r="Z5" s="249"/>
      <c r="AA5" s="249"/>
      <c r="AB5" s="249"/>
      <c r="AC5" s="249"/>
      <c r="AD5" s="249"/>
    </row>
    <row r="6" spans="1:30" ht="25.5" customHeight="1" x14ac:dyDescent="0.4">
      <c r="A6" s="249"/>
      <c r="B6" s="249"/>
      <c r="C6" s="808"/>
      <c r="D6" s="808"/>
      <c r="E6" s="808"/>
      <c r="F6" s="808"/>
      <c r="G6" s="808"/>
      <c r="H6" s="808"/>
      <c r="I6" s="808"/>
      <c r="J6" s="808"/>
      <c r="K6" s="808"/>
      <c r="L6" s="808"/>
      <c r="M6" s="808"/>
      <c r="N6" s="838" t="s">
        <v>526</v>
      </c>
      <c r="O6" s="249"/>
      <c r="P6" s="249"/>
      <c r="Q6" s="249"/>
      <c r="R6" s="249"/>
      <c r="S6" s="249"/>
      <c r="T6" s="249"/>
      <c r="U6" s="249"/>
      <c r="V6" s="249"/>
      <c r="W6" s="249"/>
      <c r="X6" s="249"/>
      <c r="Y6" s="249"/>
      <c r="Z6" s="249"/>
      <c r="AA6" s="249"/>
      <c r="AB6" s="249"/>
      <c r="AC6" s="249"/>
      <c r="AD6" s="249"/>
    </row>
    <row r="7" spans="1:30" ht="24.6" x14ac:dyDescent="0.4">
      <c r="A7" s="249"/>
      <c r="B7" s="249"/>
      <c r="C7" s="892" t="s">
        <v>483</v>
      </c>
      <c r="D7" s="892"/>
      <c r="E7" s="892"/>
      <c r="F7" s="892"/>
      <c r="G7" s="892"/>
      <c r="H7" s="892"/>
      <c r="I7" s="892"/>
      <c r="J7" s="892"/>
      <c r="K7" s="892"/>
      <c r="L7" s="892"/>
      <c r="M7" s="892"/>
      <c r="N7" s="892"/>
      <c r="O7" s="250"/>
      <c r="P7" s="249"/>
      <c r="Q7" s="249"/>
      <c r="R7" s="249"/>
      <c r="S7" s="249"/>
      <c r="T7" s="249"/>
      <c r="U7" s="249"/>
      <c r="V7" s="249"/>
      <c r="W7" s="249"/>
      <c r="X7" s="249"/>
      <c r="Y7" s="249"/>
      <c r="Z7" s="249"/>
      <c r="AA7" s="249"/>
      <c r="AB7" s="249"/>
      <c r="AC7" s="249"/>
      <c r="AD7" s="249"/>
    </row>
    <row r="8" spans="1:30" ht="24.6" x14ac:dyDescent="0.4">
      <c r="A8" s="251"/>
      <c r="B8" s="251"/>
      <c r="C8" s="893" t="s">
        <v>484</v>
      </c>
      <c r="D8" s="893"/>
      <c r="E8" s="893"/>
      <c r="F8" s="893"/>
      <c r="G8" s="893"/>
      <c r="H8" s="893"/>
      <c r="I8" s="893"/>
      <c r="J8" s="893"/>
      <c r="K8" s="893"/>
      <c r="L8" s="893"/>
      <c r="M8" s="893"/>
      <c r="N8" s="893"/>
      <c r="O8" s="250"/>
      <c r="P8" s="249"/>
      <c r="Q8" s="249"/>
      <c r="R8" s="249"/>
      <c r="S8" s="249"/>
      <c r="T8" s="249"/>
      <c r="U8" s="249"/>
      <c r="V8" s="249"/>
      <c r="W8" s="249"/>
      <c r="X8" s="249"/>
      <c r="Y8" s="249"/>
      <c r="Z8" s="249"/>
      <c r="AA8" s="249"/>
      <c r="AB8" s="249"/>
      <c r="AC8" s="249"/>
      <c r="AD8" s="249"/>
    </row>
    <row r="9" spans="1:30" ht="6" customHeight="1" x14ac:dyDescent="0.25">
      <c r="A9" s="249"/>
      <c r="B9" s="249"/>
      <c r="C9" s="252"/>
      <c r="D9" s="252"/>
      <c r="E9" s="252"/>
      <c r="F9" s="252"/>
      <c r="G9" s="252"/>
      <c r="H9" s="252"/>
      <c r="I9" s="252"/>
      <c r="J9" s="252"/>
      <c r="K9" s="252"/>
      <c r="L9" s="252"/>
      <c r="M9" s="252"/>
      <c r="N9" s="252"/>
      <c r="O9" s="249"/>
      <c r="P9" s="249"/>
      <c r="Q9" s="249"/>
      <c r="R9" s="249"/>
      <c r="S9" s="249"/>
      <c r="T9" s="249"/>
      <c r="U9" s="249"/>
      <c r="V9" s="249"/>
      <c r="W9" s="249"/>
      <c r="X9" s="249"/>
      <c r="Y9" s="249"/>
      <c r="Z9" s="249"/>
      <c r="AA9" s="249"/>
      <c r="AB9" s="249"/>
      <c r="AC9" s="249"/>
      <c r="AD9" s="249"/>
    </row>
    <row r="10" spans="1:30" ht="16.2" x14ac:dyDescent="0.25">
      <c r="A10" s="249"/>
      <c r="B10" s="249"/>
      <c r="C10" s="895" t="s">
        <v>463</v>
      </c>
      <c r="D10" s="895"/>
      <c r="E10" s="895"/>
      <c r="F10" s="895"/>
      <c r="G10" s="895"/>
      <c r="H10" s="895"/>
      <c r="I10" s="895"/>
      <c r="J10" s="895"/>
      <c r="K10" s="895"/>
      <c r="L10" s="895"/>
      <c r="M10" s="895"/>
      <c r="N10" s="895"/>
      <c r="O10" s="249"/>
      <c r="P10" s="249"/>
      <c r="Q10" s="249"/>
      <c r="R10" s="249"/>
      <c r="S10" s="249"/>
      <c r="T10" s="249"/>
      <c r="U10" s="249"/>
      <c r="V10" s="249"/>
      <c r="W10" s="249"/>
      <c r="X10" s="249"/>
      <c r="Y10" s="249"/>
      <c r="Z10" s="249"/>
      <c r="AA10" s="249"/>
      <c r="AB10" s="249"/>
      <c r="AC10" s="249"/>
      <c r="AD10" s="249"/>
    </row>
    <row r="11" spans="1:30" s="118" customFormat="1" ht="5.4" customHeight="1" x14ac:dyDescent="0.25">
      <c r="A11" s="253"/>
      <c r="B11" s="253"/>
      <c r="C11" s="254"/>
      <c r="D11" s="254"/>
      <c r="E11" s="254"/>
      <c r="F11" s="254"/>
      <c r="G11" s="254"/>
      <c r="H11" s="254"/>
      <c r="I11" s="254"/>
      <c r="J11" s="254"/>
      <c r="K11" s="254"/>
      <c r="L11" s="254"/>
      <c r="M11" s="254"/>
      <c r="N11" s="254"/>
      <c r="O11" s="253"/>
      <c r="P11" s="253"/>
      <c r="Q11" s="253"/>
      <c r="R11" s="253"/>
      <c r="S11" s="253"/>
      <c r="T11" s="253"/>
      <c r="U11" s="253"/>
      <c r="V11" s="253"/>
      <c r="W11" s="253"/>
      <c r="X11" s="253"/>
      <c r="Y11" s="253"/>
      <c r="Z11" s="253"/>
      <c r="AA11" s="253"/>
      <c r="AB11" s="253"/>
      <c r="AC11" s="253"/>
      <c r="AD11" s="253"/>
    </row>
    <row r="12" spans="1:30" s="118" customFormat="1" ht="15.6" x14ac:dyDescent="0.25">
      <c r="A12" s="253"/>
      <c r="B12" s="253"/>
      <c r="C12" s="884" t="s">
        <v>96</v>
      </c>
      <c r="D12" s="884"/>
      <c r="E12" s="884"/>
      <c r="F12" s="884"/>
      <c r="G12" s="884"/>
      <c r="H12" s="884"/>
      <c r="I12" s="884"/>
      <c r="J12" s="884"/>
      <c r="K12" s="884"/>
      <c r="L12" s="884"/>
      <c r="M12" s="884"/>
      <c r="N12" s="884"/>
      <c r="O12" s="253"/>
      <c r="P12" s="253"/>
      <c r="Q12" s="253"/>
      <c r="R12" s="253"/>
      <c r="S12" s="253"/>
      <c r="T12" s="253"/>
      <c r="U12" s="253"/>
      <c r="V12" s="253"/>
      <c r="W12" s="253"/>
      <c r="X12" s="253"/>
      <c r="Y12" s="253"/>
      <c r="Z12" s="253"/>
      <c r="AA12" s="253"/>
      <c r="AB12" s="253"/>
      <c r="AC12" s="253"/>
      <c r="AD12" s="253"/>
    </row>
    <row r="13" spans="1:30" s="118" customFormat="1" ht="15.6" x14ac:dyDescent="0.25">
      <c r="A13" s="253"/>
      <c r="B13" s="253"/>
      <c r="C13" s="884" t="s">
        <v>97</v>
      </c>
      <c r="D13" s="884"/>
      <c r="E13" s="884"/>
      <c r="F13" s="884"/>
      <c r="G13" s="884"/>
      <c r="H13" s="884"/>
      <c r="I13" s="884"/>
      <c r="J13" s="884"/>
      <c r="K13" s="884"/>
      <c r="L13" s="884"/>
      <c r="M13" s="884"/>
      <c r="N13" s="884"/>
      <c r="O13" s="253"/>
      <c r="P13" s="253"/>
      <c r="Q13" s="253"/>
      <c r="R13" s="253"/>
      <c r="S13" s="253"/>
      <c r="T13" s="253"/>
      <c r="U13" s="253"/>
      <c r="V13" s="253"/>
      <c r="W13" s="253"/>
      <c r="X13" s="253"/>
      <c r="Y13" s="253"/>
      <c r="Z13" s="253"/>
      <c r="AA13" s="253"/>
      <c r="AB13" s="253"/>
      <c r="AC13" s="253"/>
      <c r="AD13" s="253"/>
    </row>
    <row r="14" spans="1:30" s="118" customFormat="1" ht="8.4" customHeight="1" x14ac:dyDescent="0.25">
      <c r="A14" s="253"/>
      <c r="B14" s="253"/>
      <c r="C14" s="891"/>
      <c r="D14" s="891"/>
      <c r="E14" s="891"/>
      <c r="F14" s="891"/>
      <c r="G14" s="891"/>
      <c r="H14" s="891"/>
      <c r="I14" s="891"/>
      <c r="J14" s="891"/>
      <c r="K14" s="891"/>
      <c r="L14" s="891"/>
      <c r="M14" s="891"/>
      <c r="N14" s="891"/>
      <c r="O14" s="253"/>
      <c r="P14" s="253"/>
      <c r="Q14" s="253"/>
      <c r="R14" s="253"/>
      <c r="S14" s="253"/>
      <c r="T14" s="253"/>
      <c r="U14" s="253"/>
      <c r="V14" s="253"/>
      <c r="W14" s="253"/>
      <c r="X14" s="253"/>
      <c r="Y14" s="253"/>
      <c r="Z14" s="253"/>
      <c r="AA14" s="253"/>
      <c r="AB14" s="253"/>
      <c r="AC14" s="253"/>
      <c r="AD14" s="253"/>
    </row>
    <row r="15" spans="1:30" s="118" customFormat="1" ht="15.6" x14ac:dyDescent="0.25">
      <c r="A15" s="253"/>
      <c r="B15" s="253"/>
      <c r="C15" s="894" t="s">
        <v>438</v>
      </c>
      <c r="D15" s="891"/>
      <c r="E15" s="891"/>
      <c r="F15" s="891"/>
      <c r="G15" s="891"/>
      <c r="H15" s="891"/>
      <c r="I15" s="891"/>
      <c r="J15" s="891"/>
      <c r="K15" s="891"/>
      <c r="L15" s="891"/>
      <c r="M15" s="891"/>
      <c r="N15" s="891"/>
      <c r="O15" s="253"/>
      <c r="P15" s="253"/>
      <c r="Q15" s="253"/>
      <c r="R15" s="253"/>
      <c r="S15" s="253"/>
      <c r="T15" s="253"/>
      <c r="U15" s="253"/>
      <c r="V15" s="253"/>
      <c r="W15" s="253"/>
      <c r="X15" s="253"/>
      <c r="Y15" s="253"/>
      <c r="Z15" s="253"/>
      <c r="AA15" s="253"/>
      <c r="AB15" s="253"/>
      <c r="AC15" s="253"/>
      <c r="AD15" s="253"/>
    </row>
    <row r="16" spans="1:30" ht="8.4" customHeight="1" thickBot="1" x14ac:dyDescent="0.3">
      <c r="A16" s="249"/>
      <c r="B16" s="249"/>
      <c r="C16" s="255"/>
      <c r="D16" s="255"/>
      <c r="E16" s="255"/>
      <c r="F16" s="255"/>
      <c r="G16" s="255"/>
      <c r="H16" s="255"/>
      <c r="I16" s="255"/>
      <c r="J16" s="255"/>
      <c r="K16" s="255"/>
      <c r="L16" s="255"/>
      <c r="M16" s="255"/>
      <c r="N16" s="255"/>
      <c r="O16" s="249"/>
      <c r="P16" s="249"/>
      <c r="Q16" s="249"/>
      <c r="R16" s="249"/>
      <c r="S16" s="249"/>
      <c r="T16" s="249"/>
      <c r="U16" s="249"/>
      <c r="V16" s="249"/>
      <c r="W16" s="249"/>
      <c r="X16" s="249"/>
      <c r="Y16" s="249"/>
      <c r="Z16" s="249"/>
      <c r="AA16" s="249"/>
      <c r="AB16" s="249"/>
      <c r="AC16" s="249"/>
      <c r="AD16" s="249"/>
    </row>
    <row r="17" spans="1:41" ht="8.4" customHeight="1" thickTop="1" thickBot="1" x14ac:dyDescent="0.3">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row>
    <row r="18" spans="1:41" ht="18.75" customHeight="1" thickTop="1" x14ac:dyDescent="0.25">
      <c r="A18" s="249"/>
      <c r="B18" s="249"/>
      <c r="C18" s="249"/>
      <c r="D18" s="249"/>
      <c r="E18" s="877" t="s">
        <v>99</v>
      </c>
      <c r="F18" s="878"/>
      <c r="G18" s="879"/>
      <c r="H18" s="256"/>
      <c r="I18" s="256"/>
      <c r="J18" s="885" t="s">
        <v>98</v>
      </c>
      <c r="K18" s="886"/>
      <c r="L18" s="887"/>
      <c r="M18" s="256"/>
      <c r="N18" s="256"/>
      <c r="O18" s="249"/>
      <c r="P18" s="249"/>
      <c r="Q18" s="249"/>
      <c r="R18" s="249"/>
      <c r="S18" s="249"/>
      <c r="T18" s="249"/>
      <c r="U18" s="249"/>
      <c r="V18" s="249"/>
      <c r="W18" s="249"/>
      <c r="X18" s="249"/>
      <c r="Y18" s="249"/>
      <c r="Z18" s="249"/>
      <c r="AA18" s="249"/>
      <c r="AB18" s="249"/>
      <c r="AC18" s="249"/>
      <c r="AD18" s="249"/>
    </row>
    <row r="19" spans="1:41" ht="21" customHeight="1" thickBot="1" x14ac:dyDescent="0.3">
      <c r="A19" s="249"/>
      <c r="B19" s="249"/>
      <c r="C19" s="249"/>
      <c r="D19" s="249"/>
      <c r="E19" s="880"/>
      <c r="F19" s="881"/>
      <c r="G19" s="882"/>
      <c r="H19" s="256"/>
      <c r="I19" s="256"/>
      <c r="J19" s="888"/>
      <c r="K19" s="889"/>
      <c r="L19" s="890"/>
      <c r="M19" s="256"/>
      <c r="N19" s="256"/>
      <c r="O19" s="249"/>
      <c r="P19" s="249"/>
      <c r="Q19" s="249"/>
      <c r="R19" s="249"/>
      <c r="S19" s="249"/>
      <c r="T19" s="249"/>
      <c r="U19" s="249"/>
      <c r="V19" s="249"/>
      <c r="W19" s="249"/>
      <c r="X19" s="249"/>
      <c r="Y19" s="249"/>
      <c r="Z19" s="249"/>
      <c r="AA19" s="249"/>
      <c r="AB19" s="249"/>
      <c r="AC19" s="249"/>
      <c r="AD19" s="249"/>
    </row>
    <row r="20" spans="1:41" s="208" customFormat="1" ht="9" customHeight="1" thickTop="1" x14ac:dyDescent="0.25">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row>
    <row r="21" spans="1:41" s="208" customFormat="1" ht="15.75" customHeight="1" x14ac:dyDescent="0.25">
      <c r="A21" s="249"/>
      <c r="B21" s="249"/>
      <c r="C21" s="883" t="s">
        <v>464</v>
      </c>
      <c r="D21" s="883"/>
      <c r="E21" s="883"/>
      <c r="F21" s="883"/>
      <c r="G21" s="883"/>
      <c r="H21" s="883"/>
      <c r="I21" s="883"/>
      <c r="J21" s="883"/>
      <c r="K21" s="883"/>
      <c r="L21" s="883"/>
      <c r="M21" s="883"/>
      <c r="N21" s="883"/>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row>
    <row r="22" spans="1:41" s="208" customFormat="1" ht="15.75" customHeight="1" x14ac:dyDescent="0.25">
      <c r="A22" s="249"/>
      <c r="B22" s="249"/>
      <c r="C22" s="883" t="s">
        <v>100</v>
      </c>
      <c r="D22" s="883"/>
      <c r="E22" s="883"/>
      <c r="F22" s="883"/>
      <c r="G22" s="883"/>
      <c r="H22" s="883"/>
      <c r="I22" s="883"/>
      <c r="J22" s="883"/>
      <c r="K22" s="883"/>
      <c r="L22" s="883"/>
      <c r="M22" s="883"/>
      <c r="N22" s="883"/>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row>
    <row r="23" spans="1:41" s="208" customFormat="1" x14ac:dyDescent="0.25">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row>
    <row r="24" spans="1:41" s="208" customFormat="1" x14ac:dyDescent="0.25">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row>
    <row r="25" spans="1:41" s="208" customFormat="1" x14ac:dyDescent="0.25">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row>
    <row r="26" spans="1:41" s="208" customFormat="1" x14ac:dyDescent="0.25">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row>
    <row r="27" spans="1:41" s="208" customFormat="1" x14ac:dyDescent="0.25">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row>
    <row r="28" spans="1:41" s="208" customFormat="1" x14ac:dyDescent="0.25">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row>
    <row r="29" spans="1:41" s="208" customFormat="1" x14ac:dyDescent="0.25">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row>
    <row r="30" spans="1:41" s="208" customFormat="1" x14ac:dyDescent="0.25">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M30" s="249"/>
      <c r="AN30" s="249"/>
      <c r="AO30" s="249"/>
    </row>
    <row r="31" spans="1:41" s="208" customFormat="1" x14ac:dyDescent="0.25">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49"/>
      <c r="AM31" s="249"/>
      <c r="AN31" s="249"/>
      <c r="AO31" s="249"/>
    </row>
    <row r="32" spans="1:41" s="208" customFormat="1" x14ac:dyDescent="0.25">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row>
    <row r="33" spans="1:41" s="208" customFormat="1" x14ac:dyDescent="0.25">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c r="AN33" s="249"/>
      <c r="AO33" s="249"/>
    </row>
    <row r="34" spans="1:41" s="208" customFormat="1" x14ac:dyDescent="0.25">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row>
    <row r="35" spans="1:41" s="208" customFormat="1" x14ac:dyDescent="0.25">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row>
    <row r="36" spans="1:41" s="208" customFormat="1" x14ac:dyDescent="0.25">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row>
    <row r="37" spans="1:41" s="208" customFormat="1" x14ac:dyDescent="0.25">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row>
    <row r="38" spans="1:41" s="208" customFormat="1" x14ac:dyDescent="0.25">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row>
    <row r="39" spans="1:41" s="208" customFormat="1" x14ac:dyDescent="0.25">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row>
    <row r="40" spans="1:41" s="207" customFormat="1" x14ac:dyDescent="0.25"/>
  </sheetData>
  <sheetProtection algorithmName="SHA-256" hashValue="59YhIsawRCbdTpyF3pwygGKUysUpSj7wIHpUcPIvcHE=" saltValue="WtFfqlpWKGDsFtMDN8m4EQ==" spinCount="100000" sheet="1" objects="1" scenarios="1"/>
  <mergeCells count="12">
    <mergeCell ref="C2:N2"/>
    <mergeCell ref="E18:G19"/>
    <mergeCell ref="C21:N21"/>
    <mergeCell ref="C22:N22"/>
    <mergeCell ref="C12:N12"/>
    <mergeCell ref="J18:L19"/>
    <mergeCell ref="C13:N13"/>
    <mergeCell ref="C14:N14"/>
    <mergeCell ref="C7:N7"/>
    <mergeCell ref="C8:N8"/>
    <mergeCell ref="C15:N15"/>
    <mergeCell ref="C10:N10"/>
  </mergeCells>
  <hyperlinks>
    <hyperlink ref="J18:L19" location="'Input 1_Population'!A1" display="'Input 1_Population'!A1"/>
    <hyperlink ref="E18:G19" location="Introduction!A1" display="Introduction!A1"/>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S42"/>
  <sheetViews>
    <sheetView showGridLines="0" showRowColHeaders="0" zoomScaleNormal="100" workbookViewId="0">
      <selection activeCell="Y10" sqref="Y10:Z14"/>
    </sheetView>
  </sheetViews>
  <sheetFormatPr defaultRowHeight="15.6" x14ac:dyDescent="0.3"/>
  <cols>
    <col min="1" max="1" width="1.88671875" customWidth="1"/>
    <col min="2" max="2" width="20.33203125" style="288" customWidth="1"/>
    <col min="3" max="3" width="9" customWidth="1"/>
    <col min="4" max="4" width="8.44140625" customWidth="1"/>
    <col min="5" max="5" width="9.109375" customWidth="1"/>
    <col min="6" max="6" width="8" bestFit="1" customWidth="1"/>
    <col min="7" max="7" width="9.33203125" customWidth="1"/>
    <col min="8" max="8" width="8" bestFit="1" customWidth="1"/>
    <col min="9" max="9" width="2.33203125" customWidth="1"/>
    <col min="10" max="10" width="8" customWidth="1"/>
    <col min="11" max="11" width="8" bestFit="1" customWidth="1"/>
    <col min="12" max="12" width="9" customWidth="1"/>
    <col min="13" max="13" width="8" bestFit="1" customWidth="1"/>
    <col min="14" max="14" width="9.33203125" customWidth="1"/>
    <col min="15" max="15" width="8" bestFit="1" customWidth="1"/>
    <col min="16" max="16" width="2.33203125" customWidth="1"/>
    <col min="17" max="17" width="7.88671875" customWidth="1"/>
    <col min="18" max="18" width="7.109375" customWidth="1"/>
    <col min="19" max="19" width="9.5546875" customWidth="1"/>
    <col min="20" max="20" width="8" bestFit="1" customWidth="1"/>
    <col min="21" max="21" width="9" customWidth="1"/>
    <col min="22" max="22" width="8" bestFit="1" customWidth="1"/>
    <col min="23" max="23" width="1.5546875" customWidth="1"/>
    <col min="24" max="24" width="1.109375" customWidth="1"/>
    <col min="26" max="26" width="8.88671875" customWidth="1"/>
    <col min="27" max="27" width="1" customWidth="1"/>
    <col min="28" max="28" width="8.6640625" customWidth="1"/>
    <col min="29" max="29" width="9.109375" customWidth="1"/>
    <col min="30" max="30" width="7.33203125" customWidth="1"/>
    <col min="31" max="31" width="1.109375" customWidth="1"/>
    <col min="32" max="33" width="8.33203125" customWidth="1"/>
    <col min="34" max="34" width="24" hidden="1" customWidth="1"/>
    <col min="35" max="35" width="14.33203125" hidden="1" customWidth="1"/>
    <col min="36" max="39" width="9.109375" hidden="1" customWidth="1"/>
    <col min="40" max="40" width="10" hidden="1" customWidth="1"/>
    <col min="41" max="42" width="9.109375" customWidth="1"/>
  </cols>
  <sheetData>
    <row r="1" spans="1:45" ht="8.25" customHeight="1" x14ac:dyDescent="0.3">
      <c r="B1" s="675"/>
    </row>
    <row r="2" spans="1:45" ht="30" customHeight="1" thickBot="1" x14ac:dyDescent="0.35">
      <c r="B2" s="1061" t="s">
        <v>510</v>
      </c>
      <c r="C2" s="1061"/>
      <c r="D2" s="1061"/>
      <c r="E2" s="1061"/>
      <c r="F2" s="1061"/>
      <c r="G2" s="1061"/>
      <c r="H2" s="1061"/>
      <c r="I2" s="1061"/>
      <c r="J2" s="1061"/>
      <c r="K2" s="1061"/>
      <c r="L2" s="1061"/>
      <c r="M2" s="1061"/>
      <c r="N2" s="1061"/>
      <c r="O2" s="1061"/>
      <c r="P2" s="1061"/>
      <c r="Q2" s="1061"/>
      <c r="R2" s="1061"/>
      <c r="S2" s="1061"/>
      <c r="T2" s="1061"/>
      <c r="U2" s="1061"/>
      <c r="V2" s="1061"/>
      <c r="W2" s="230"/>
      <c r="X2" s="16"/>
      <c r="Y2" s="17"/>
      <c r="Z2" s="17"/>
      <c r="AA2" s="17"/>
      <c r="AB2" s="17"/>
      <c r="AC2" s="17"/>
      <c r="AD2" s="17"/>
      <c r="AE2" s="363"/>
    </row>
    <row r="3" spans="1:45" ht="15" customHeight="1" thickTop="1" x14ac:dyDescent="0.3">
      <c r="B3" s="209"/>
      <c r="C3" s="1057" t="s">
        <v>223</v>
      </c>
      <c r="D3" s="1057"/>
      <c r="E3" s="1057"/>
      <c r="F3" s="1057"/>
      <c r="G3" s="1057"/>
      <c r="H3" s="1057"/>
      <c r="I3" s="230"/>
      <c r="J3" s="1058" t="s">
        <v>92</v>
      </c>
      <c r="K3" s="1058"/>
      <c r="L3" s="1058"/>
      <c r="M3" s="1058"/>
      <c r="N3" s="1058"/>
      <c r="O3" s="1058"/>
      <c r="P3" s="230"/>
      <c r="Q3" s="233"/>
      <c r="R3" s="233"/>
      <c r="S3" s="233" t="s">
        <v>108</v>
      </c>
      <c r="T3" s="233"/>
      <c r="U3" s="233"/>
      <c r="V3" s="413"/>
      <c r="W3" s="699"/>
      <c r="X3" s="229"/>
      <c r="Y3" s="1078" t="s">
        <v>175</v>
      </c>
      <c r="Z3" s="1079"/>
      <c r="AA3" s="122"/>
      <c r="AB3" s="1076" t="s">
        <v>364</v>
      </c>
      <c r="AC3" s="1076"/>
      <c r="AD3" s="1076"/>
      <c r="AE3" s="1077"/>
    </row>
    <row r="4" spans="1:45" ht="15" customHeight="1" x14ac:dyDescent="0.3">
      <c r="B4" s="290"/>
      <c r="C4" s="1050" t="s">
        <v>0</v>
      </c>
      <c r="D4" s="1050"/>
      <c r="E4" s="1050" t="s">
        <v>91</v>
      </c>
      <c r="F4" s="1050"/>
      <c r="G4" s="1050" t="s">
        <v>1</v>
      </c>
      <c r="H4" s="1050"/>
      <c r="I4" s="796"/>
      <c r="J4" s="1050" t="s">
        <v>0</v>
      </c>
      <c r="K4" s="1050"/>
      <c r="L4" s="1050" t="s">
        <v>91</v>
      </c>
      <c r="M4" s="1050"/>
      <c r="N4" s="1050" t="s">
        <v>1</v>
      </c>
      <c r="O4" s="1050"/>
      <c r="P4" s="796"/>
      <c r="Q4" s="1054" t="s">
        <v>0</v>
      </c>
      <c r="R4" s="1054"/>
      <c r="S4" s="1054" t="s">
        <v>91</v>
      </c>
      <c r="T4" s="1054"/>
      <c r="U4" s="1050" t="s">
        <v>1</v>
      </c>
      <c r="V4" s="1050"/>
      <c r="W4" s="71"/>
      <c r="X4" s="229"/>
      <c r="Y4" s="1080"/>
      <c r="Z4" s="1081"/>
      <c r="AA4" s="122"/>
      <c r="AB4" s="1076"/>
      <c r="AC4" s="1076"/>
      <c r="AD4" s="1076"/>
      <c r="AE4" s="1077"/>
    </row>
    <row r="5" spans="1:45" ht="15" customHeight="1" thickBot="1" x14ac:dyDescent="0.35">
      <c r="B5" s="695"/>
      <c r="C5" s="1051">
        <f>C8+C14</f>
        <v>339650</v>
      </c>
      <c r="D5" s="1051"/>
      <c r="E5" s="1051">
        <f>E8+E14</f>
        <v>407360</v>
      </c>
      <c r="F5" s="1051"/>
      <c r="G5" s="1051">
        <f>G8+G14</f>
        <v>475980</v>
      </c>
      <c r="H5" s="1051"/>
      <c r="I5" s="696"/>
      <c r="J5" s="1052">
        <f>J8+J14</f>
        <v>126070</v>
      </c>
      <c r="K5" s="1052"/>
      <c r="L5" s="1052">
        <f>L8+L14</f>
        <v>147240</v>
      </c>
      <c r="M5" s="1052"/>
      <c r="N5" s="1052">
        <f>N8+N14</f>
        <v>168510</v>
      </c>
      <c r="O5" s="1052"/>
      <c r="P5" s="674"/>
      <c r="Q5" s="1052">
        <f>Q8+Q14</f>
        <v>24760</v>
      </c>
      <c r="R5" s="1052"/>
      <c r="S5" s="1052">
        <f>S8+S14</f>
        <v>33180</v>
      </c>
      <c r="T5" s="1052"/>
      <c r="U5" s="1053">
        <f>U8+U14</f>
        <v>42900</v>
      </c>
      <c r="V5" s="1053"/>
      <c r="W5" s="71"/>
      <c r="X5" s="706"/>
      <c r="Y5" s="1080"/>
      <c r="Z5" s="1081"/>
      <c r="AA5" s="122"/>
      <c r="AB5" s="1076"/>
      <c r="AC5" s="1076"/>
      <c r="AD5" s="1076"/>
      <c r="AE5" s="1077"/>
      <c r="AF5" s="13"/>
      <c r="AG5" s="13"/>
      <c r="AH5" s="394"/>
      <c r="AI5" s="394"/>
      <c r="AJ5" s="394"/>
      <c r="AK5" s="394"/>
      <c r="AL5" s="394"/>
      <c r="AM5" s="394"/>
      <c r="AN5" s="394"/>
    </row>
    <row r="6" spans="1:45" ht="7.5" customHeight="1" thickBot="1" x14ac:dyDescent="0.35">
      <c r="B6" s="675"/>
      <c r="W6" s="71"/>
      <c r="X6" s="707"/>
      <c r="Y6" s="1082"/>
      <c r="Z6" s="1083"/>
      <c r="AA6" s="122"/>
      <c r="AB6" s="1076"/>
      <c r="AC6" s="1076"/>
      <c r="AD6" s="1076"/>
      <c r="AE6" s="1077"/>
      <c r="AF6" s="13"/>
      <c r="AG6" s="13"/>
      <c r="AH6" s="13"/>
      <c r="AI6" s="13"/>
      <c r="AJ6" s="13"/>
      <c r="AK6" s="13"/>
      <c r="AL6" s="13"/>
      <c r="AM6" s="13"/>
      <c r="AN6" s="13"/>
    </row>
    <row r="7" spans="1:45" ht="18" customHeight="1" thickTop="1" thickBot="1" x14ac:dyDescent="0.35">
      <c r="B7" s="291" t="s">
        <v>435</v>
      </c>
      <c r="C7" s="292"/>
      <c r="D7" s="292"/>
      <c r="E7" s="292"/>
      <c r="F7" s="292"/>
      <c r="G7" s="292"/>
      <c r="H7" s="292"/>
      <c r="I7" s="292"/>
      <c r="J7" s="292"/>
      <c r="K7" s="292"/>
      <c r="L7" s="292"/>
      <c r="M7" s="292"/>
      <c r="N7" s="292"/>
      <c r="O7" s="292"/>
      <c r="P7" s="292"/>
      <c r="Q7" s="292"/>
      <c r="R7" s="292"/>
      <c r="S7" s="292"/>
      <c r="T7" s="292"/>
      <c r="U7" s="292"/>
      <c r="V7" s="292"/>
      <c r="W7" s="13"/>
      <c r="X7" s="708"/>
      <c r="Y7" s="500"/>
      <c r="Z7" s="500"/>
      <c r="AA7" s="500"/>
      <c r="AB7" s="500"/>
      <c r="AC7" s="500"/>
      <c r="AD7" s="500"/>
      <c r="AE7" s="51"/>
      <c r="AF7" s="13"/>
      <c r="AG7" s="13"/>
      <c r="AH7" s="13"/>
      <c r="AI7" s="13"/>
      <c r="AJ7" s="13"/>
      <c r="AK7" s="13"/>
      <c r="AL7" s="13"/>
      <c r="AM7" s="13"/>
      <c r="AN7" s="13"/>
    </row>
    <row r="8" spans="1:45" ht="15" customHeight="1" x14ac:dyDescent="0.3">
      <c r="B8" s="209" t="s">
        <v>117</v>
      </c>
      <c r="C8" s="1055">
        <f>ROUND(SUM(Palivizumab!O7,Palivizumab!AP7,Palivizumab!V41,Palivizumab!AW41,Palivizumab!R55,Palivizumab!AS55,Palivizumab!Y30,Palivizumab!AZ30),-2)</f>
        <v>332600</v>
      </c>
      <c r="D8" s="1055"/>
      <c r="E8" s="1055">
        <f>ROUND(SUM(Palivizumab!N7,Palivizumab!AO7,Palivizumab!U41,Palivizumab!AV41,Palivizumab!Q55,Palivizumab!AR55,Palivizumab!X30,Palivizumab!AY30),-2)</f>
        <v>398900</v>
      </c>
      <c r="F8" s="1055"/>
      <c r="G8" s="1055">
        <f>ROUND(SUM(Palivizumab!P7,Palivizumab!AQ7,Palivizumab!W41,Palivizumab!AX41,Palivizumab!S55,Palivizumab!AT55,Palivizumab!Z30,Palivizumab!BA30),-2)</f>
        <v>466100</v>
      </c>
      <c r="H8" s="1055"/>
      <c r="I8" s="289"/>
      <c r="J8" s="1060">
        <f>ROUND(SUM(Palivizumab!O10,Palivizumab!AP10,Palivizumab!V44,Palivizumab!AW44,Palivizumab!R58,Palivizumab!AS58,Palivizumab!Y33,Palivizumab!AZ33),-2)</f>
        <v>123300</v>
      </c>
      <c r="K8" s="1060"/>
      <c r="L8" s="1060">
        <f>ROUND(SUM(Palivizumab!N10,Palivizumab!AO10,Palivizumab!U44,Palivizumab!AV44,Palivizumab!Q58,Palivizumab!AR58,Palivizumab!X33,Palivizumab!AY33),-2)</f>
        <v>144000</v>
      </c>
      <c r="M8" s="1060"/>
      <c r="N8" s="1060">
        <f>ROUND(SUM(Palivizumab!P10,Palivizumab!AQ10,Palivizumab!W44,Palivizumab!AX44,Palivizumab!S58,Palivizumab!AT58,Palivizumab!Z33,Palivizumab!BA33),-2)</f>
        <v>164800</v>
      </c>
      <c r="O8" s="1060"/>
      <c r="P8" s="620"/>
      <c r="Q8" s="1060">
        <f>ROUND(SUM(Palivizumab!O13,Palivizumab!AP13,Palivizumab!V47,Palivizumab!AW47,Palivizumab!R61,Palivizumab!AS61,Palivizumab!Y36,Palivizumab!AZ36),-2)</f>
        <v>24000</v>
      </c>
      <c r="R8" s="1060"/>
      <c r="S8" s="1060">
        <f>ROUND(SUM(Palivizumab!N13,Palivizumab!AO13,Palivizumab!U47,Palivizumab!AV47,Palivizumab!Q61,Palivizumab!AR61,Palivizumab!X36,Palivizumab!AY36),-2)</f>
        <v>32400</v>
      </c>
      <c r="T8" s="1060"/>
      <c r="U8" s="1056">
        <f>ROUND(SUM(Palivizumab!P13,Palivizumab!AQ13,Palivizumab!W47,Palivizumab!AX47,Palivizumab!S61,Palivizumab!AT61,Palivizumab!Z36,Palivizumab!BA36),-2)</f>
        <v>42100</v>
      </c>
      <c r="V8" s="1056"/>
      <c r="W8" s="286"/>
      <c r="X8" s="71"/>
      <c r="Y8" s="13"/>
      <c r="Z8" s="13"/>
      <c r="AA8" s="13"/>
      <c r="AB8" s="13"/>
      <c r="AC8" s="13"/>
      <c r="AD8" s="13"/>
      <c r="AE8" s="13"/>
      <c r="AF8" s="13"/>
      <c r="AG8" s="13"/>
      <c r="AH8" s="13"/>
      <c r="AI8" s="13"/>
      <c r="AJ8" s="13"/>
      <c r="AK8" s="13"/>
      <c r="AL8" s="13"/>
      <c r="AM8" s="13"/>
      <c r="AN8" s="13"/>
    </row>
    <row r="9" spans="1:45" ht="15" customHeight="1" thickBot="1" x14ac:dyDescent="0.35">
      <c r="B9" s="520" t="s">
        <v>216</v>
      </c>
      <c r="C9" s="1056">
        <f>ROUND(SUM(Antibody_Candidate!V21,Antibody_Candidate!AW21,Antibody_Candidate!Q36,Antibody_Candidate!AR36,Antibody_Candidate!U64,Antibody_Candidate!AV64,Antibody_Candidate!Q78,Antibody_Candidate!AR78),-2)</f>
        <v>175800</v>
      </c>
      <c r="D9" s="1056"/>
      <c r="E9" s="1056">
        <f>ROUND(SUM(Antibody_Candidate!U21,Antibody_Candidate!AV21,Antibody_Candidate!P36,Antibody_Candidate!AQ36,Antibody_Candidate!T64,Antibody_Candidate!AU64,Antibody_Candidate!P78,Antibody_Candidate!AQ78),-2)</f>
        <v>210900</v>
      </c>
      <c r="F9" s="1056"/>
      <c r="G9" s="1056">
        <f>ROUND(SUM(Antibody_Candidate!W21,Antibody_Candidate!AX21,Antibody_Candidate!R36,Antibody_Candidate!AS36,Antibody_Candidate!V64,Antibody_Candidate!AW64,Antibody_Candidate!R78,Antibody_Candidate!AS78),-2)</f>
        <v>246300</v>
      </c>
      <c r="H9" s="1056"/>
      <c r="I9" s="620"/>
      <c r="J9" s="1056">
        <f>ROUND(SUM(Antibody_Candidate!V24,Antibody_Candidate!AW24,Antibody_Candidate!Q39,Antibody_Candidate!AR39,Antibody_Candidate!U67,Antibody_Candidate!AV67,Antibody_Candidate!Q81,Antibody_Candidate!AR81),-2)</f>
        <v>61700</v>
      </c>
      <c r="K9" s="1056"/>
      <c r="L9" s="1056">
        <f>ROUND(SUM(Antibody_Candidate!U24,Antibody_Candidate!AV24,Antibody_Candidate!P39,Antibody_Candidate!AQ39,Antibody_Candidate!T67,Antibody_Candidate!AU67,Antibody_Candidate!P81,Antibody_Candidate!AQ81),-2)</f>
        <v>72000</v>
      </c>
      <c r="M9" s="1056"/>
      <c r="N9" s="1056">
        <f>ROUND(SUM(Antibody_Candidate!W24,Antibody_Candidate!AX24,Antibody_Candidate!R39,Antibody_Candidate!AS39,Antibody_Candidate!V67,Antibody_Candidate!AW67,Antibody_Candidate!R81,Antibody_Candidate!AS81),-2)</f>
        <v>82400</v>
      </c>
      <c r="O9" s="1056"/>
      <c r="P9" s="620"/>
      <c r="Q9" s="1056">
        <f>ROUND(SUM(Antibody_Candidate!V27,Antibody_Candidate!AW27,Antibody_Candidate!Q42,Antibody_Candidate!AR42,Antibody_Candidate!U70,Antibody_Candidate!AV70,Antibody_Candidate!Q84,Antibody_Candidate!AR84),-2)</f>
        <v>11000</v>
      </c>
      <c r="R9" s="1056"/>
      <c r="S9" s="1056">
        <f>ROUND(SUM(Antibody_Candidate!U27,Antibody_Candidate!AV27,Antibody_Candidate!P42,Antibody_Candidate!AQ42,Antibody_Candidate!T70,Antibody_Candidate!AU70,Antibody_Candidate!P84,Antibody_Candidate!AQ84),-2)</f>
        <v>15100</v>
      </c>
      <c r="T9" s="1056"/>
      <c r="U9" s="1056">
        <f>ROUND(SUM(Antibody_Candidate!W27,Antibody_Candidate!AX27,Antibody_Candidate!R42,Antibody_Candidate!AS42,Antibody_Candidate!V70,Antibody_Candidate!AW70,Antibody_Candidate!R84,Antibody_Candidate!AS84),-2)</f>
        <v>19700</v>
      </c>
      <c r="V9" s="1056"/>
      <c r="W9" s="513"/>
      <c r="X9" s="396"/>
      <c r="Y9" s="397"/>
      <c r="Z9" s="397"/>
      <c r="AA9" s="397"/>
      <c r="AB9" s="397"/>
      <c r="AC9" s="397"/>
      <c r="AD9" s="397"/>
      <c r="AE9" s="395"/>
      <c r="AF9" s="13"/>
      <c r="AG9" s="13"/>
      <c r="AH9" s="1" t="s">
        <v>169</v>
      </c>
    </row>
    <row r="10" spans="1:45" s="1" customFormat="1" ht="15" customHeight="1" thickTop="1" x14ac:dyDescent="0.3">
      <c r="A10"/>
      <c r="B10" s="829" t="s">
        <v>226</v>
      </c>
      <c r="C10" s="1056">
        <f>ROUND(SUM(Maternal_Vaccine!X18,Maternal_Vaccine!BA18,Maternal_Vaccine!X34,Maternal_Vaccine!BA34,Maternal_Vaccine!T43,Maternal_Vaccine!AW43,Maternal_Vaccine!X72,Maternal_Vaccine!BA72,Maternal_Vaccine!T86,Maternal_Vaccine!AW86,Maternal_Vaccine!T128,Maternal_Vaccine!AW128,Maternal_Vaccine!X156,Maternal_Vaccine!BA156,Maternal_Vaccine!T170,Maternal_Vaccine!AW170),-2)</f>
        <v>291100</v>
      </c>
      <c r="D10" s="1056"/>
      <c r="E10" s="1056">
        <f>ROUND(SUM(Maternal_Vaccine!W18,Maternal_Vaccine!AZ18,Maternal_Vaccine!W34,Maternal_Vaccine!AZ34,Maternal_Vaccine!S43,Maternal_Vaccine!AV43,Maternal_Vaccine!W72,Maternal_Vaccine!AZ72,Maternal_Vaccine!S86,Maternal_Vaccine!AV86,Maternal_Vaccine!S128,Maternal_Vaccine!AV128,Maternal_Vaccine!W156,Maternal_Vaccine!AZ156,Maternal_Vaccine!S170,Maternal_Vaccine!AV170),-2)</f>
        <v>349100</v>
      </c>
      <c r="F10" s="1056"/>
      <c r="G10" s="1056">
        <f>ROUND(SUM(Maternal_Vaccine!Y18,Maternal_Vaccine!BB18,Maternal_Vaccine!Y34,Maternal_Vaccine!BB34,Maternal_Vaccine!U43,Maternal_Vaccine!AX43,Maternal_Vaccine!Y72,Maternal_Vaccine!BB72,Maternal_Vaccine!U86,Maternal_Vaccine!AX86,Maternal_Vaccine!U128,Maternal_Vaccine!AX128,Maternal_Vaccine!Y156,Maternal_Vaccine!BB156,Maternal_Vaccine!U170,Maternal_Vaccine!AX170),-2)</f>
        <v>407900</v>
      </c>
      <c r="H10" s="1056"/>
      <c r="I10" s="620"/>
      <c r="J10" s="1056">
        <f>ROUND(SUM(Maternal_Vaccine!X21,Maternal_Vaccine!BA21,Maternal_Vaccine!X37,Maternal_Vaccine!BA37,Maternal_Vaccine!T46,Maternal_Vaccine!AW46,Maternal_Vaccine!X75,Maternal_Vaccine!BA75,Maternal_Vaccine!T89,Maternal_Vaccine!AW89,Maternal_Vaccine!T131,Maternal_Vaccine!AW131,Maternal_Vaccine!X159,Maternal_Vaccine!BA159,Maternal_Vaccine!T173,Maternal_Vaccine!AW173),-2)</f>
        <v>109300</v>
      </c>
      <c r="K10" s="1056"/>
      <c r="L10" s="1056">
        <f>ROUND(SUM(Maternal_Vaccine!W21,Maternal_Vaccine!AZ21,Maternal_Vaccine!W37,Maternal_Vaccine!AZ37,Maternal_Vaccine!S46,Maternal_Vaccine!AV46,Maternal_Vaccine!W75,Maternal_Vaccine!AZ75,Maternal_Vaccine!S89,Maternal_Vaccine!AV89,Maternal_Vaccine!S131,Maternal_Vaccine!AV131,Maternal_Vaccine!W159,Maternal_Vaccine!AZ159,Maternal_Vaccine!S173,Maternal_Vaccine!AV173),-2)</f>
        <v>127600</v>
      </c>
      <c r="M10" s="1056"/>
      <c r="N10" s="1056">
        <f>ROUND(SUM(Maternal_Vaccine!Y21,Maternal_Vaccine!BB21,Maternal_Vaccine!Y37,Maternal_Vaccine!BB37,Maternal_Vaccine!U46,Maternal_Vaccine!AX46,Maternal_Vaccine!Y75,Maternal_Vaccine!BB75,Maternal_Vaccine!U89,Maternal_Vaccine!AX89,Maternal_Vaccine!U131,Maternal_Vaccine!AX131,Maternal_Vaccine!Y159,Maternal_Vaccine!BB159,Maternal_Vaccine!U173,Maternal_Vaccine!AX173),-2)</f>
        <v>146000</v>
      </c>
      <c r="O10" s="1056"/>
      <c r="P10" s="620"/>
      <c r="Q10" s="1056">
        <f>ROUND(SUM(Maternal_Vaccine!X24,Maternal_Vaccine!BA24,Maternal_Vaccine!X40,Maternal_Vaccine!BA40,Maternal_Vaccine!T49,Maternal_Vaccine!AW49,Maternal_Vaccine!X78,Maternal_Vaccine!BA78,Maternal_Vaccine!T92,Maternal_Vaccine!AW92,Maternal_Vaccine!T134,Maternal_Vaccine!AW134,Maternal_Vaccine!X162,Maternal_Vaccine!BA162,Maternal_Vaccine!T176,Maternal_Vaccine!AW176),-2)</f>
        <v>18400</v>
      </c>
      <c r="R10" s="1056"/>
      <c r="S10" s="1056">
        <f>ROUND(SUM(Maternal_Vaccine!W24,Maternal_Vaccine!AZ24,Maternal_Vaccine!W40,Maternal_Vaccine!AZ40,Maternal_Vaccine!S49,Maternal_Vaccine!AV49,Maternal_Vaccine!W78,Maternal_Vaccine!AZ78,Maternal_Vaccine!S92,Maternal_Vaccine!AV92,Maternal_Vaccine!S134,Maternal_Vaccine!AV134,Maternal_Vaccine!W162,Maternal_Vaccine!AZ162,Maternal_Vaccine!S176,Maternal_Vaccine!AV176),-2)</f>
        <v>25000</v>
      </c>
      <c r="T10" s="1056"/>
      <c r="U10" s="1056">
        <f>ROUND(SUM(Maternal_Vaccine!Y24,Maternal_Vaccine!BB24,Maternal_Vaccine!Y40,Maternal_Vaccine!BB40,Maternal_Vaccine!U49,Maternal_Vaccine!AX49,Maternal_Vaccine!Y78,Maternal_Vaccine!BB78,Maternal_Vaccine!U92,Maternal_Vaccine!AX92,Maternal_Vaccine!U134,Maternal_Vaccine!AX134,Maternal_Vaccine!Y162,Maternal_Vaccine!BB162,Maternal_Vaccine!U176,Maternal_Vaccine!AX176),-2)</f>
        <v>32700</v>
      </c>
      <c r="V10" s="1056"/>
      <c r="W10" s="71"/>
      <c r="X10" s="398"/>
      <c r="Y10" s="1070" t="s">
        <v>214</v>
      </c>
      <c r="Z10" s="1071"/>
      <c r="AA10" s="122"/>
      <c r="AB10" s="1068" t="s">
        <v>363</v>
      </c>
      <c r="AC10" s="1068"/>
      <c r="AD10" s="1068"/>
      <c r="AE10" s="1069"/>
      <c r="AF10" s="369"/>
      <c r="AG10" s="491"/>
      <c r="AI10" s="1" t="s">
        <v>108</v>
      </c>
      <c r="AK10" s="1" t="s">
        <v>170</v>
      </c>
      <c r="AM10" s="1" t="s">
        <v>6</v>
      </c>
    </row>
    <row r="11" spans="1:45" s="1" customFormat="1" ht="15" customHeight="1" thickBot="1" x14ac:dyDescent="0.35">
      <c r="A11"/>
      <c r="B11" s="803" t="s">
        <v>434</v>
      </c>
      <c r="C11" s="703"/>
      <c r="D11" s="704"/>
      <c r="E11" s="703"/>
      <c r="F11" s="704"/>
      <c r="G11" s="703"/>
      <c r="H11" s="704"/>
      <c r="I11" s="674"/>
      <c r="J11" s="703"/>
      <c r="K11" s="704"/>
      <c r="L11" s="703"/>
      <c r="M11" s="704"/>
      <c r="N11" s="703"/>
      <c r="O11" s="704"/>
      <c r="P11" s="674"/>
      <c r="Q11" s="703"/>
      <c r="R11" s="704"/>
      <c r="S11" s="703"/>
      <c r="T11" s="704"/>
      <c r="U11" s="703"/>
      <c r="V11" s="704"/>
      <c r="W11" s="71"/>
      <c r="X11" s="398"/>
      <c r="Y11" s="1072"/>
      <c r="Z11" s="1073"/>
      <c r="AA11" s="122"/>
      <c r="AB11" s="1068"/>
      <c r="AC11" s="1068"/>
      <c r="AD11" s="1068"/>
      <c r="AE11" s="1069"/>
      <c r="AF11" s="828"/>
      <c r="AG11" s="828"/>
    </row>
    <row r="12" spans="1:45" s="1" customFormat="1" ht="7.5" customHeight="1" x14ac:dyDescent="0.3">
      <c r="A12"/>
      <c r="B12" s="288"/>
      <c r="C12" s="71"/>
      <c r="D12" s="71"/>
      <c r="E12" s="71"/>
      <c r="F12" s="71"/>
      <c r="G12" s="71"/>
      <c r="H12" s="71"/>
      <c r="I12" s="71"/>
      <c r="J12" s="705"/>
      <c r="K12" s="705"/>
      <c r="L12" s="705"/>
      <c r="M12" s="705"/>
      <c r="N12" s="705"/>
      <c r="O12" s="705"/>
      <c r="P12" s="705"/>
      <c r="Q12" s="101"/>
      <c r="R12" s="13"/>
      <c r="S12" s="71"/>
      <c r="T12" s="71"/>
      <c r="U12" s="71"/>
      <c r="V12" s="71"/>
      <c r="W12"/>
      <c r="X12" s="398"/>
      <c r="Y12" s="1072"/>
      <c r="Z12" s="1073"/>
      <c r="AA12" s="122"/>
      <c r="AB12" s="1068"/>
      <c r="AC12" s="1068"/>
      <c r="AD12" s="1068"/>
      <c r="AE12" s="1069"/>
      <c r="AF12" s="369"/>
      <c r="AG12" s="491"/>
      <c r="AI12" s="1" t="s">
        <v>161</v>
      </c>
      <c r="AJ12" s="1" t="s">
        <v>162</v>
      </c>
      <c r="AK12" s="1" t="s">
        <v>161</v>
      </c>
      <c r="AL12" s="1" t="s">
        <v>162</v>
      </c>
      <c r="AM12" s="1" t="s">
        <v>161</v>
      </c>
      <c r="AN12" s="1" t="s">
        <v>162</v>
      </c>
    </row>
    <row r="13" spans="1:45" ht="15" customHeight="1" thickBot="1" x14ac:dyDescent="0.35">
      <c r="B13" s="291" t="s">
        <v>436</v>
      </c>
      <c r="C13" s="292"/>
      <c r="D13" s="292"/>
      <c r="E13" s="292"/>
      <c r="F13" s="292"/>
      <c r="G13" s="292"/>
      <c r="H13" s="292"/>
      <c r="I13" s="292"/>
      <c r="J13" s="292"/>
      <c r="K13" s="292"/>
      <c r="L13" s="292"/>
      <c r="M13" s="292"/>
      <c r="N13" s="292"/>
      <c r="O13" s="292"/>
      <c r="P13" s="292"/>
      <c r="Q13" s="292"/>
      <c r="R13" s="292"/>
      <c r="S13" s="292"/>
      <c r="T13" s="292"/>
      <c r="U13" s="292"/>
      <c r="V13" s="292"/>
      <c r="X13" s="399"/>
      <c r="Y13" s="1072"/>
      <c r="Z13" s="1073"/>
      <c r="AA13" s="122"/>
      <c r="AB13" s="1068"/>
      <c r="AC13" s="1068"/>
      <c r="AD13" s="1068"/>
      <c r="AE13" s="1069"/>
      <c r="AF13" s="369"/>
      <c r="AG13" s="491"/>
      <c r="AH13" s="298" t="s">
        <v>117</v>
      </c>
      <c r="AI13" s="302">
        <f>ABS(S8-Q8)</f>
        <v>8400</v>
      </c>
      <c r="AJ13" s="302">
        <f>ABS(U8-S8)</f>
        <v>9700</v>
      </c>
      <c r="AK13" s="302">
        <f>ABS(L8-J8)</f>
        <v>20700</v>
      </c>
      <c r="AL13" s="302">
        <f>ABS(N8-L8)</f>
        <v>20800</v>
      </c>
      <c r="AM13" s="302">
        <f>ABS(E8-C8)</f>
        <v>66300</v>
      </c>
      <c r="AN13" s="302">
        <f>ABS(G8-E8)</f>
        <v>67200</v>
      </c>
    </row>
    <row r="14" spans="1:45" ht="15" customHeight="1" thickBot="1" x14ac:dyDescent="0.35">
      <c r="B14" s="209" t="s">
        <v>117</v>
      </c>
      <c r="C14" s="411">
        <f>ROUND(SUM(Palivizumab!Y19,Palivizumab!AZ19),-1)</f>
        <v>7050</v>
      </c>
      <c r="D14" s="410" t="str">
        <f>CONCATENATE(" (",ROUND(C14/C5*100,1), "%",")")</f>
        <v xml:space="preserve"> (2.1%)</v>
      </c>
      <c r="E14" s="411">
        <f>ROUND(SUM(Palivizumab!X19,Palivizumab!AY19),-1)</f>
        <v>8460</v>
      </c>
      <c r="F14" s="410" t="str">
        <f>CONCATENATE(" (",ROUND(E14/E5*100,1), "%",")")</f>
        <v xml:space="preserve"> (2.1%)</v>
      </c>
      <c r="G14" s="411">
        <f>ROUND(SUM(Palivizumab!Z19,Palivizumab!BA19),-1)</f>
        <v>9880</v>
      </c>
      <c r="H14" s="410" t="str">
        <f>CONCATENATE(" (",ROUND(G14/G5*100,1), "%",")")</f>
        <v xml:space="preserve"> (2.1%)</v>
      </c>
      <c r="I14" s="289"/>
      <c r="J14" s="411">
        <f>ROUND(SUM(Palivizumab!Y22,Palivizumab!AZ22),-1)</f>
        <v>2770</v>
      </c>
      <c r="K14" s="410" t="str">
        <f>CONCATENATE(" (",ROUND(J14/J5*100,1), "%",")")</f>
        <v xml:space="preserve"> (2.2%)</v>
      </c>
      <c r="L14" s="411">
        <f>ROUND(SUM(Palivizumab!X22,Palivizumab!AY22),-1)</f>
        <v>3240</v>
      </c>
      <c r="M14" s="410" t="str">
        <f>CONCATENATE(" (",ROUND(L14/L5*100,1), "%",")")</f>
        <v xml:space="preserve"> (2.2%)</v>
      </c>
      <c r="N14" s="411">
        <f>ROUND(SUM(Palivizumab!Z22,Palivizumab!BA22),-1)</f>
        <v>3710</v>
      </c>
      <c r="O14" s="410" t="str">
        <f>CONCATENATE(" (",ROUND(N14/N5*100,1), "%",")")</f>
        <v xml:space="preserve"> (2.2%)</v>
      </c>
      <c r="P14" s="289"/>
      <c r="Q14" s="411">
        <f>ROUND(SUM(Palivizumab!Z25,Palivizumab!BA25),-1)</f>
        <v>760</v>
      </c>
      <c r="R14" s="410" t="str">
        <f>CONCATENATE(" (",ROUND(Q14/Q5*100,1), "%",")")</f>
        <v xml:space="preserve"> (3.1%)</v>
      </c>
      <c r="S14" s="411">
        <f>ROUND(SUM(Palivizumab!X25,Palivizumab!AY25),-1)</f>
        <v>780</v>
      </c>
      <c r="T14" s="410" t="str">
        <f>CONCATENATE(" (",ROUND(S14/S5*100,1), "%",")")</f>
        <v xml:space="preserve"> (2.4%)</v>
      </c>
      <c r="U14" s="411">
        <f>ROUND(SUM(Palivizumab!Y25,Palivizumab!AZ25),-1)</f>
        <v>800</v>
      </c>
      <c r="V14" s="410" t="str">
        <f>CONCATENATE(" (",ROUND(U14/U5*100,1), "%",")")</f>
        <v xml:space="preserve"> (1.9%)</v>
      </c>
      <c r="X14" s="400"/>
      <c r="Y14" s="1074"/>
      <c r="Z14" s="1075"/>
      <c r="AA14" s="122"/>
      <c r="AB14" s="1068"/>
      <c r="AC14" s="1068"/>
      <c r="AD14" s="1068"/>
      <c r="AE14" s="1069"/>
      <c r="AF14" s="369"/>
      <c r="AG14" s="491"/>
      <c r="AH14" s="298" t="s">
        <v>119</v>
      </c>
      <c r="AI14" s="302">
        <f>ABS(S9-Q9)</f>
        <v>4100</v>
      </c>
      <c r="AJ14" s="302">
        <f>ABS(U9-S9)</f>
        <v>4600</v>
      </c>
      <c r="AK14" s="302">
        <f>ABS(L9-J9)</f>
        <v>10300</v>
      </c>
      <c r="AL14" s="302">
        <f>ABS(N9-L9)</f>
        <v>10400</v>
      </c>
      <c r="AM14" s="302">
        <f>ABS(E9-C9)</f>
        <v>35100</v>
      </c>
      <c r="AN14" s="302">
        <f>ABS(G9-E9)</f>
        <v>35400</v>
      </c>
    </row>
    <row r="15" spans="1:45" ht="16.2" thickTop="1" x14ac:dyDescent="0.3">
      <c r="B15" s="520" t="s">
        <v>216</v>
      </c>
      <c r="C15" s="521">
        <f>ROUND(SUM(Antibody_Candidate!V9,Antibody_Candidate!AW9,Antibody_Candidate!U54,Antibody_Candidate!AV54),-1)</f>
        <v>163810</v>
      </c>
      <c r="D15" s="522" t="str">
        <f>CONCATENATE(" (",ROUND(C15/C5*100,1), "%",")")</f>
        <v xml:space="preserve"> (48.2%)</v>
      </c>
      <c r="E15" s="521">
        <f>ROUND(SUM(Antibody_Candidate!U9,Antibody_Candidate!AV9,Antibody_Candidate!T54,Antibody_Candidate!AU54),-1)</f>
        <v>196470</v>
      </c>
      <c r="F15" s="522" t="str">
        <f>CONCATENATE(" (",ROUND(E15/E5*100,1), "%",")")</f>
        <v xml:space="preserve"> (48.2%)</v>
      </c>
      <c r="G15" s="521">
        <f>ROUND(SUM(Antibody_Candidate!W9,Antibody_Candidate!AX9,Antibody_Candidate!V54,Antibody_Candidate!AW54),-1)</f>
        <v>229650</v>
      </c>
      <c r="H15" s="522" t="str">
        <f>CONCATENATE(" (",ROUND(G15/G5*100,1), "%",")")</f>
        <v xml:space="preserve"> (48.2%)</v>
      </c>
      <c r="I15" s="620"/>
      <c r="J15" s="521">
        <f>ROUND(SUM(Antibody_Candidate!V12,Antibody_Candidate!AW12,Antibody_Candidate!U57,Antibody_Candidate!AV57),-1)</f>
        <v>64430</v>
      </c>
      <c r="K15" s="522" t="str">
        <f>CONCATENATE(" (",ROUND(J15/J5*100,1), "%",")")</f>
        <v xml:space="preserve"> (51.1%)</v>
      </c>
      <c r="L15" s="521">
        <f>ROUND(SUM(Antibody_Candidate!U12,Antibody_Candidate!AV12,Antibody_Candidate!T57,Antibody_Candidate!AU57),-1)</f>
        <v>75250</v>
      </c>
      <c r="M15" s="522" t="str">
        <f>CONCATENATE(" (",ROUND(L15/L5*100,1), "%",")")</f>
        <v xml:space="preserve"> (51.1%)</v>
      </c>
      <c r="N15" s="521">
        <f>ROUND(SUM(Antibody_Candidate!W12,Antibody_Candidate!AX12,Antibody_Candidate!V57,Antibody_Candidate!AW57),-1)</f>
        <v>86090</v>
      </c>
      <c r="O15" s="522" t="str">
        <f>CONCATENATE(" (",ROUND(N15/N5*100,1), "%",")")</f>
        <v xml:space="preserve"> (51.1%)</v>
      </c>
      <c r="P15" s="620"/>
      <c r="Q15" s="521">
        <f>ROUND(SUM(Antibody_Candidate!V15,Antibody_Candidate!AW15,Antibody_Candidate!U60,Antibody_Candidate!AV60),-1)</f>
        <v>13770</v>
      </c>
      <c r="R15" s="522" t="str">
        <f>CONCATENATE(" (",ROUND(Q15/Q5*100,1), "%",")")</f>
        <v xml:space="preserve"> (55.6%)</v>
      </c>
      <c r="S15" s="521">
        <f>ROUND(SUM(Antibody_Candidate!U15,Antibody_Candidate!AV15,Antibody_Candidate!T60,Antibody_Candidate!AU60),-1)</f>
        <v>18140</v>
      </c>
      <c r="T15" s="522" t="str">
        <f>CONCATENATE(" (",ROUND(S15/S5*100,1), "%",")")</f>
        <v xml:space="preserve"> (54.7%)</v>
      </c>
      <c r="U15" s="521">
        <f>ROUND(SUM(Antibody_Candidate!W15,Antibody_Candidate!AX15,Antibody_Candidate!V60,Antibody_Candidate!AW60),-1)</f>
        <v>23160</v>
      </c>
      <c r="V15" s="522" t="str">
        <f>CONCATENATE(" (",ROUND(U15/U5*100,1), "%",")")</f>
        <v xml:space="preserve"> (54%)</v>
      </c>
      <c r="X15" s="393"/>
      <c r="Y15" s="394"/>
      <c r="Z15" s="394"/>
      <c r="AA15" s="394"/>
      <c r="AB15" s="394"/>
      <c r="AC15" s="394"/>
      <c r="AD15" s="394"/>
      <c r="AE15" s="401"/>
      <c r="AF15" s="686"/>
      <c r="AG15" s="419"/>
      <c r="AH15" s="303" t="s">
        <v>120</v>
      </c>
      <c r="AI15" s="302">
        <f>ABS(S10-Q10)</f>
        <v>6600</v>
      </c>
      <c r="AJ15" s="302">
        <f>ABS(U10-S10)</f>
        <v>7700</v>
      </c>
      <c r="AK15" s="302">
        <f>ABS(L10-J10)</f>
        <v>18300</v>
      </c>
      <c r="AL15" s="302">
        <f>ABS(N10-L10)</f>
        <v>18400</v>
      </c>
      <c r="AM15" s="302">
        <f>ABS(E10-C10)</f>
        <v>58000</v>
      </c>
      <c r="AN15" s="302">
        <f>ABS(G10-E10)</f>
        <v>58800</v>
      </c>
      <c r="AO15" s="686"/>
      <c r="AP15" s="686"/>
      <c r="AQ15" s="686"/>
      <c r="AR15" s="686"/>
      <c r="AS15" s="686"/>
    </row>
    <row r="16" spans="1:45" ht="15" customHeight="1" x14ac:dyDescent="0.3">
      <c r="B16" s="802" t="s">
        <v>226</v>
      </c>
      <c r="C16" s="521">
        <f>ROUND(SUM(Maternal_Vaccine!Y7,Maternal_Vaccine!BB7,Maternal_Vaccine!X61,Maternal_Vaccine!BA61,Maternal_Vaccine!X146,Maternal_Vaccine!BA146),-1)</f>
        <v>48520</v>
      </c>
      <c r="D16" s="522" t="str">
        <f>CONCATENATE(" (",ROUND(C16/C5*100,1), "%",")")</f>
        <v xml:space="preserve"> (14.3%)</v>
      </c>
      <c r="E16" s="521">
        <f>ROUND(SUM(Maternal_Vaccine!X7,Maternal_Vaccine!BA7,Maternal_Vaccine!W61,Maternal_Vaccine!AZ61,Maternal_Vaccine!W146,Maternal_Vaccine!AZ146),-1)</f>
        <v>58210</v>
      </c>
      <c r="F16" s="522" t="str">
        <f>CONCATENATE(" (",ROUND(E16/E5*100,1), "%",")")</f>
        <v xml:space="preserve"> (14.3%)</v>
      </c>
      <c r="G16" s="521">
        <f>ROUND(SUM(Maternal_Vaccine!Z7,Maternal_Vaccine!BC7,Maternal_Vaccine!Y61,Maternal_Vaccine!BB61,Maternal_Vaccine!Y146,Maternal_Vaccine!BB146),-1)</f>
        <v>67970</v>
      </c>
      <c r="H16" s="522" t="str">
        <f>CONCATENATE(" (",ROUND(G16/G5*100,1), "%",")")</f>
        <v xml:space="preserve"> (14.3%)</v>
      </c>
      <c r="I16" s="620"/>
      <c r="J16" s="521">
        <f>ROUND(SUM(Maternal_Vaccine!Y10,Maternal_Vaccine!BB10,Maternal_Vaccine!X64,Maternal_Vaccine!BA64,Maternal_Vaccine!X149,Maternal_Vaccine!BA149),-1)</f>
        <v>16760</v>
      </c>
      <c r="K16" s="522" t="str">
        <f>CONCATENATE(" (",ROUND(J16/J5*100,1), "%",")")</f>
        <v xml:space="preserve"> (13.3%)</v>
      </c>
      <c r="L16" s="521">
        <f>ROUND(SUM(Maternal_Vaccine!X10,Maternal_Vaccine!BA10,Maternal_Vaccine!W64,Maternal_Vaccine!AZ64,Maternal_Vaccine!W149,Maternal_Vaccine!AZ149),-1)</f>
        <v>19580</v>
      </c>
      <c r="M16" s="522" t="str">
        <f>CONCATENATE(" (",ROUND(L16/L5*100,1), "%",")")</f>
        <v xml:space="preserve"> (13.3%)</v>
      </c>
      <c r="N16" s="521">
        <f>ROUND(SUM(Maternal_Vaccine!Z10,Maternal_Vaccine!BC10,Maternal_Vaccine!Y64,Maternal_Vaccine!BB64,Maternal_Vaccine!Y149,Maternal_Vaccine!BB149),-1)</f>
        <v>22400</v>
      </c>
      <c r="O16" s="522" t="str">
        <f>CONCATENATE(" (",ROUND(N16/N5*100,1), "%",")")</f>
        <v xml:space="preserve"> (13.3%)</v>
      </c>
      <c r="P16" s="620"/>
      <c r="Q16" s="521">
        <f>ROUND(SUM(Maternal_Vaccine!Y13,Maternal_Vaccine!BB13,Maternal_Vaccine!X67,Maternal_Vaccine!BA67,Maternal_Vaccine!X152,Maternal_Vaccine!BA152),-1)</f>
        <v>6390</v>
      </c>
      <c r="R16" s="522" t="str">
        <f>CONCATENATE(" (",ROUND(Q16/Q5*100,1), "%",")")</f>
        <v xml:space="preserve"> (25.8%)</v>
      </c>
      <c r="S16" s="521">
        <f>ROUND(SUM(Maternal_Vaccine!X13,Maternal_Vaccine!BA13,Maternal_Vaccine!W67,Maternal_Vaccine!AZ67,Maternal_Vaccine!W152,Maternal_Vaccine!AZ152),-1)</f>
        <v>8190</v>
      </c>
      <c r="T16" s="522" t="str">
        <f>CONCATENATE(" (",ROUND(S16/S5*100,1), "%",")")</f>
        <v xml:space="preserve"> (24.7%)</v>
      </c>
      <c r="U16" s="521">
        <f>ROUND(SUM(Maternal_Vaccine!Z13,Maternal_Vaccine!BC13,Maternal_Vaccine!Y67,Maternal_Vaccine!BB67,Maternal_Vaccine!Y152,Maternal_Vaccine!BB152),-1)</f>
        <v>10150</v>
      </c>
      <c r="V16" s="522" t="str">
        <f>CONCATENATE(" (",ROUND(U16/U5*100,1), "%",")")</f>
        <v xml:space="preserve"> (23.7%)</v>
      </c>
      <c r="AF16" s="13"/>
      <c r="AG16" s="13"/>
    </row>
    <row r="17" spans="1:40" ht="15" customHeight="1" thickBot="1" x14ac:dyDescent="0.35">
      <c r="B17" s="803" t="s">
        <v>434</v>
      </c>
      <c r="C17" s="703"/>
      <c r="D17" s="704"/>
      <c r="E17" s="703"/>
      <c r="F17" s="704"/>
      <c r="G17" s="703"/>
      <c r="H17" s="704"/>
      <c r="I17" s="674"/>
      <c r="J17" s="703"/>
      <c r="K17" s="704"/>
      <c r="L17" s="703"/>
      <c r="M17" s="704"/>
      <c r="N17" s="703"/>
      <c r="O17" s="704"/>
      <c r="P17" s="674"/>
      <c r="Q17" s="703"/>
      <c r="R17" s="704"/>
      <c r="S17" s="703"/>
      <c r="T17" s="704"/>
      <c r="U17" s="703"/>
      <c r="V17" s="704"/>
      <c r="X17" s="1084" t="s">
        <v>439</v>
      </c>
      <c r="Y17" s="1085"/>
      <c r="Z17" s="1085"/>
      <c r="AA17" s="1085"/>
      <c r="AB17" s="1085"/>
      <c r="AC17" s="1085"/>
      <c r="AD17" s="1085"/>
      <c r="AE17" s="1086"/>
      <c r="AF17" s="13"/>
      <c r="AG17" s="13"/>
    </row>
    <row r="18" spans="1:40" s="1" customFormat="1" ht="15" customHeight="1" x14ac:dyDescent="0.3">
      <c r="A18"/>
      <c r="B18" s="288"/>
      <c r="C18"/>
      <c r="D18"/>
      <c r="E18"/>
      <c r="F18"/>
      <c r="G18"/>
      <c r="H18"/>
      <c r="I18"/>
      <c r="J18"/>
      <c r="K18"/>
      <c r="L18"/>
      <c r="M18"/>
      <c r="N18"/>
      <c r="O18"/>
      <c r="P18"/>
      <c r="Q18"/>
      <c r="R18"/>
      <c r="S18"/>
      <c r="T18"/>
      <c r="U18"/>
      <c r="V18"/>
      <c r="W18"/>
      <c r="X18" s="1087"/>
      <c r="Y18" s="1088"/>
      <c r="Z18" s="1088"/>
      <c r="AA18" s="1088"/>
      <c r="AB18" s="1088"/>
      <c r="AC18" s="1088"/>
      <c r="AD18" s="1088"/>
      <c r="AE18" s="1089"/>
      <c r="AF18" s="402"/>
      <c r="AG18" s="492"/>
    </row>
    <row r="19" spans="1:40" s="1" customFormat="1" ht="5.4" customHeight="1" thickBot="1" x14ac:dyDescent="0.35">
      <c r="A19"/>
      <c r="B19" s="288"/>
      <c r="C19"/>
      <c r="D19"/>
      <c r="E19"/>
      <c r="F19"/>
      <c r="G19"/>
      <c r="H19"/>
      <c r="I19"/>
      <c r="J19"/>
      <c r="K19"/>
      <c r="L19"/>
      <c r="M19"/>
      <c r="N19"/>
      <c r="O19"/>
      <c r="P19"/>
      <c r="Q19"/>
      <c r="R19"/>
      <c r="S19"/>
      <c r="T19"/>
      <c r="U19"/>
      <c r="V19"/>
      <c r="W19"/>
      <c r="X19" s="1090"/>
      <c r="Y19" s="1091"/>
      <c r="Z19" s="1091"/>
      <c r="AA19" s="1091"/>
      <c r="AB19" s="1091"/>
      <c r="AC19" s="1091"/>
      <c r="AD19" s="1091"/>
      <c r="AE19" s="1092"/>
      <c r="AF19" s="402"/>
      <c r="AG19" s="492"/>
    </row>
    <row r="20" spans="1:40" ht="15" customHeight="1" x14ac:dyDescent="0.3">
      <c r="X20" s="11"/>
      <c r="Z20" s="13"/>
      <c r="AA20" s="13"/>
      <c r="AE20" s="78"/>
      <c r="AF20" s="402"/>
      <c r="AG20" s="492"/>
      <c r="AH20" s="298" t="s">
        <v>117</v>
      </c>
      <c r="AI20" s="302">
        <f>ABS(S14-Q14)</f>
        <v>20</v>
      </c>
      <c r="AJ20" s="302">
        <f>ABS(U14-S14)</f>
        <v>20</v>
      </c>
      <c r="AK20" s="302">
        <f>ABS(L14-J14)</f>
        <v>470</v>
      </c>
      <c r="AL20" s="302">
        <f>ABS(N14-L14)</f>
        <v>470</v>
      </c>
      <c r="AM20" s="302">
        <f>ABS(E14-C14)</f>
        <v>1410</v>
      </c>
      <c r="AN20" s="302">
        <f>ABS(G14-E14)</f>
        <v>1420</v>
      </c>
    </row>
    <row r="21" spans="1:40" ht="15" customHeight="1" x14ac:dyDescent="0.3">
      <c r="X21" s="11"/>
      <c r="Z21" s="13"/>
      <c r="AA21" s="13"/>
      <c r="AB21" s="412" t="s">
        <v>0</v>
      </c>
      <c r="AC21" s="412" t="s">
        <v>91</v>
      </c>
      <c r="AD21" s="412" t="s">
        <v>1</v>
      </c>
      <c r="AE21" s="78"/>
      <c r="AF21" s="776"/>
      <c r="AG21" s="776"/>
      <c r="AH21" s="298" t="s">
        <v>119</v>
      </c>
      <c r="AI21" s="302">
        <f>ABS(S15-Q15)</f>
        <v>4370</v>
      </c>
      <c r="AJ21" s="302">
        <f>ABS(U15-S15)</f>
        <v>5020</v>
      </c>
      <c r="AK21" s="302">
        <f>ABS(L15-J15)</f>
        <v>10820</v>
      </c>
      <c r="AL21" s="302">
        <f>ABS(N15-L15)</f>
        <v>10840</v>
      </c>
      <c r="AM21" s="302">
        <f>ABS(E15-C15)</f>
        <v>32660</v>
      </c>
      <c r="AN21" s="302">
        <f>ABS(G15-E15)</f>
        <v>33180</v>
      </c>
    </row>
    <row r="22" spans="1:40" ht="14.25" customHeight="1" x14ac:dyDescent="0.3">
      <c r="X22" s="11"/>
      <c r="Y22" s="13"/>
      <c r="Z22" s="13"/>
      <c r="AA22" s="13"/>
      <c r="AB22" s="709">
        <f>(Q5*'Input 3_Clinical Severity'!$H$16*'WiS percent RSV_low'!$C$22)+(Q5*'Input 3_Clinical Severity'!$H$18*'WiS percent RSV_low'!$C$23)</f>
        <v>24.76</v>
      </c>
      <c r="AC22" s="709">
        <f>(S5*'Input 3_Clinical Severity'!$H$16*'WiS percent RSV_base'!$C$22)+(S5*'Input 3_Clinical Severity'!$H$18*'WiS percent RSV_base'!$C$23)</f>
        <v>33.18</v>
      </c>
      <c r="AD22" s="709">
        <f>(U5*'Input 3_Clinical Severity'!$H$16*'WiS percent RSV_high'!$C$22)+(U5*'Input 3_Clinical Severity'!$H$18*'WiS percent RSV_high'!$C$23)</f>
        <v>42.9</v>
      </c>
      <c r="AE22" s="78"/>
      <c r="AF22" s="402"/>
      <c r="AG22" s="492"/>
      <c r="AH22" s="303" t="s">
        <v>120</v>
      </c>
      <c r="AI22" s="304">
        <f>ABS(S16-Q16)</f>
        <v>1800</v>
      </c>
      <c r="AJ22" s="304">
        <f>ABS(U16-S16)</f>
        <v>1960</v>
      </c>
      <c r="AK22" s="304">
        <f>ABS(L16-J16)</f>
        <v>2820</v>
      </c>
      <c r="AL22" s="304">
        <f>ABS(N16-L16)</f>
        <v>2820</v>
      </c>
      <c r="AM22" s="304">
        <f>ABS(E16-C16)</f>
        <v>9690</v>
      </c>
      <c r="AN22" s="304">
        <f>ABS(G16-E16)</f>
        <v>9760</v>
      </c>
    </row>
    <row r="23" spans="1:40" ht="7.2" customHeight="1" x14ac:dyDescent="0.3">
      <c r="X23" s="11"/>
      <c r="Y23" s="13"/>
      <c r="Z23" s="13"/>
      <c r="AA23" s="13"/>
      <c r="AB23" s="13"/>
      <c r="AC23" s="13"/>
      <c r="AD23" s="13"/>
      <c r="AE23" s="78"/>
      <c r="AF23" s="13"/>
      <c r="AG23" s="13"/>
    </row>
    <row r="24" spans="1:40" x14ac:dyDescent="0.3">
      <c r="X24" s="1062" t="s">
        <v>440</v>
      </c>
      <c r="Y24" s="1063"/>
      <c r="Z24" s="1063"/>
      <c r="AA24" s="1063"/>
      <c r="AB24" s="1063"/>
      <c r="AC24" s="1063"/>
      <c r="AD24" s="1063"/>
      <c r="AE24" s="1064"/>
    </row>
    <row r="25" spans="1:40" ht="16.2" thickBot="1" x14ac:dyDescent="0.35">
      <c r="X25" s="1065"/>
      <c r="Y25" s="1066"/>
      <c r="Z25" s="1066"/>
      <c r="AA25" s="1066"/>
      <c r="AB25" s="1066"/>
      <c r="AC25" s="1066"/>
      <c r="AD25" s="1066"/>
      <c r="AE25" s="1067"/>
    </row>
    <row r="26" spans="1:40" ht="3" customHeight="1" x14ac:dyDescent="0.3">
      <c r="X26" s="11"/>
      <c r="AE26" s="78"/>
    </row>
    <row r="27" spans="1:40" x14ac:dyDescent="0.3">
      <c r="X27" s="11"/>
      <c r="Y27" s="13" t="s">
        <v>117</v>
      </c>
      <c r="Z27" s="13"/>
      <c r="AA27" s="13"/>
      <c r="AB27" s="709">
        <f>(Q14*'Input 3_Clinical Severity'!$H$16*'WiS percent RSV_low'!$C$22)+(Q14*'Input 3_Clinical Severity'!$H$18*'WiS percent RSV_low'!$C$23)</f>
        <v>0.76</v>
      </c>
      <c r="AC27" s="709">
        <f>(S14*'Input 3_Clinical Severity'!$H$16*'WiS percent RSV_base'!$C$22)+(S14*'Input 3_Clinical Severity'!$H$18*'WiS percent RSV_base'!$C$23)</f>
        <v>0.78</v>
      </c>
      <c r="AD27" s="709">
        <f>(U14*'Input 3_Clinical Severity'!$H$16*'WiS percent RSV_high'!C22)+(U14*'Input 3_Clinical Severity'!$H$18*'WiS percent RSV_high'!$C$23)</f>
        <v>0.8</v>
      </c>
      <c r="AE27" s="78"/>
    </row>
    <row r="28" spans="1:40" x14ac:dyDescent="0.3">
      <c r="X28" s="11"/>
      <c r="Y28" s="13" t="s">
        <v>216</v>
      </c>
      <c r="Z28" s="13"/>
      <c r="AA28" s="13"/>
      <c r="AB28" s="709">
        <f>(Q15*'Input 3_Clinical Severity'!$H$16*'WiS percent RSV_low'!$C$22)+(Q15*'Input 3_Clinical Severity'!$H$18*'WiS percent RSV_low'!$C$23)</f>
        <v>13.77</v>
      </c>
      <c r="AC28" s="709">
        <f>(S15*'Input 3_Clinical Severity'!$H$16*'WiS percent RSV_base'!$C$22)+(S15*'Input 3_Clinical Severity'!$H$18*'WiS percent RSV_base'!$C$23)</f>
        <v>18.14</v>
      </c>
      <c r="AD28" s="709">
        <f>(U15*'Input 3_Clinical Severity'!$H$16*'WiS percent RSV_high'!$C$22)+(U15*'Input 3_Clinical Severity'!$H$18*'WiS percent RSV_high'!$C$23)</f>
        <v>23.16</v>
      </c>
      <c r="AE28" s="78"/>
    </row>
    <row r="29" spans="1:40" x14ac:dyDescent="0.3">
      <c r="X29" s="18"/>
      <c r="Y29" s="500" t="s">
        <v>226</v>
      </c>
      <c r="Z29" s="500"/>
      <c r="AA29" s="500"/>
      <c r="AB29" s="807">
        <f>(Q16*'Input 3_Clinical Severity'!$H$16*'WiS percent RSV_low'!$C$22)+(Q16*'Input 3_Clinical Severity'!$H$18*'WiS percent RSV_low'!$C$23)</f>
        <v>6.3900000000000006</v>
      </c>
      <c r="AC29" s="807">
        <f>(S16*'Input 3_Clinical Severity'!$H$16*'WiS percent RSV_base'!$C$22)+(S16*'Input 3_Clinical Severity'!$H$18*'WiS percent RSV_base'!$C$23)</f>
        <v>8.19</v>
      </c>
      <c r="AD29" s="807">
        <f>(U16*'Input 3_Clinical Severity'!$H$16*'WiS percent RSV_high'!$C$22)+(U16*'Input 3_Clinical Severity'!$H$18*'WiS percent RSV_high'!$C$23)</f>
        <v>10.15</v>
      </c>
      <c r="AE29" s="51"/>
    </row>
    <row r="30" spans="1:40" x14ac:dyDescent="0.3">
      <c r="X30" s="13"/>
      <c r="Y30" s="13"/>
    </row>
    <row r="31" spans="1:40" ht="30.6" customHeight="1" x14ac:dyDescent="0.3">
      <c r="X31" s="13"/>
      <c r="Y31" s="13"/>
    </row>
    <row r="32" spans="1:40" x14ac:dyDescent="0.3">
      <c r="X32" s="13"/>
      <c r="Y32" s="13"/>
    </row>
    <row r="33" spans="2:25" x14ac:dyDescent="0.3">
      <c r="X33" s="13"/>
      <c r="Y33" s="13"/>
    </row>
    <row r="34" spans="2:25" x14ac:dyDescent="0.3">
      <c r="X34" s="13"/>
      <c r="Y34" s="13"/>
    </row>
    <row r="35" spans="2:25" ht="7.5" customHeight="1" x14ac:dyDescent="0.3"/>
    <row r="36" spans="2:25" ht="16.2" thickBot="1" x14ac:dyDescent="0.35">
      <c r="B36" s="291" t="s">
        <v>213</v>
      </c>
      <c r="C36" s="292"/>
      <c r="D36" s="292"/>
      <c r="E36" s="292"/>
      <c r="F36" s="292"/>
      <c r="G36" s="292"/>
      <c r="H36" s="292"/>
      <c r="I36" s="292"/>
      <c r="J36" s="292"/>
      <c r="K36" s="292"/>
      <c r="L36" s="292"/>
      <c r="M36" s="292"/>
      <c r="N36" s="292"/>
      <c r="O36" s="292"/>
      <c r="P36" s="292"/>
      <c r="Q36" s="292"/>
      <c r="R36" s="292"/>
      <c r="S36" s="292"/>
      <c r="T36" s="292"/>
      <c r="U36" s="292"/>
      <c r="V36" s="292"/>
      <c r="W36" s="292"/>
      <c r="X36" s="292"/>
      <c r="Y36" s="292"/>
    </row>
    <row r="37" spans="2:25" ht="14.4" x14ac:dyDescent="0.3">
      <c r="B37" s="1" t="str">
        <f>IF('Input 1_Population'!F15="not applicable",'Input 1_Population'!E13,'Input 1_Population'!D15)</f>
        <v>Number of annual live births:</v>
      </c>
      <c r="E37" s="308">
        <f>IF('Input 1_Population'!F15="not applicable",'Input 1_Population'!F13,'Input 1_Population'!F15)</f>
        <v>3945875</v>
      </c>
      <c r="F37" s="308"/>
      <c r="G37" s="677" t="s">
        <v>433</v>
      </c>
      <c r="H37" s="677"/>
      <c r="I37" s="315"/>
      <c r="J37" s="315"/>
      <c r="K37" s="315"/>
      <c r="L37" s="315"/>
      <c r="M37" s="13"/>
      <c r="N37" s="317" t="s">
        <v>176</v>
      </c>
      <c r="O37" s="317"/>
      <c r="P37" s="311"/>
      <c r="Q37" s="312"/>
      <c r="R37" s="312"/>
      <c r="S37" s="316" t="s">
        <v>171</v>
      </c>
      <c r="T37" s="316"/>
      <c r="U37" s="316" t="s">
        <v>4</v>
      </c>
      <c r="V37" s="677" t="s">
        <v>271</v>
      </c>
      <c r="W37" s="677"/>
      <c r="X37" s="677"/>
      <c r="Y37" s="677"/>
    </row>
    <row r="38" spans="2:25" ht="14.4" x14ac:dyDescent="0.3">
      <c r="B38" s="1" t="s">
        <v>307</v>
      </c>
      <c r="E38" s="9">
        <f>12-(COUNTIF('Input 4_RSV Season'!E13:E24,0))</f>
        <v>6</v>
      </c>
      <c r="F38" s="9"/>
      <c r="G38" s="313" t="s">
        <v>172</v>
      </c>
      <c r="H38" s="313"/>
      <c r="L38" s="314">
        <f>Ratios!M10</f>
        <v>8.4333333333333336</v>
      </c>
      <c r="M38" s="314"/>
      <c r="N38" s="311" t="s">
        <v>174</v>
      </c>
      <c r="O38" s="382"/>
      <c r="P38" s="312"/>
      <c r="Q38" s="312"/>
      <c r="R38" s="312"/>
      <c r="S38" s="310">
        <f>'Input 5_Product Uptake'!M9</f>
        <v>0.38</v>
      </c>
      <c r="T38" s="310"/>
      <c r="U38" s="305">
        <f>'Input 6_Product Efficacy'!K9</f>
        <v>0.51</v>
      </c>
      <c r="V38" s="508">
        <f>'Input 6_Product Efficacy'!Q9</f>
        <v>150</v>
      </c>
      <c r="W38" t="s">
        <v>276</v>
      </c>
    </row>
    <row r="39" spans="2:25" ht="15" customHeight="1" x14ac:dyDescent="0.3">
      <c r="B39" s="1" t="s">
        <v>308</v>
      </c>
      <c r="E39" s="309" t="str">
        <f>'Input 4_RSV Season'!C15</f>
        <v>October</v>
      </c>
      <c r="F39" s="309"/>
      <c r="G39" s="313" t="s">
        <v>173</v>
      </c>
      <c r="H39" s="313"/>
      <c r="L39" s="314">
        <f>Ratios!M13</f>
        <v>38.683750000000003</v>
      </c>
      <c r="M39" s="314"/>
      <c r="N39" s="1059" t="s">
        <v>222</v>
      </c>
      <c r="O39" s="1059"/>
      <c r="P39" s="1059"/>
      <c r="Q39" s="1059"/>
      <c r="R39" s="382"/>
      <c r="S39" s="310">
        <f>'Input 5_Product Uptake'!M13</f>
        <v>0.71</v>
      </c>
      <c r="T39" s="310"/>
      <c r="U39" s="305">
        <f>'Input 6_Product Efficacy'!K12</f>
        <v>0.8</v>
      </c>
      <c r="V39" s="508">
        <f>'Input 6_Product Efficacy'!Q12</f>
        <v>150</v>
      </c>
      <c r="W39" t="s">
        <v>276</v>
      </c>
    </row>
    <row r="40" spans="2:25" ht="14.4" x14ac:dyDescent="0.3">
      <c r="B40" s="1" t="s">
        <v>309</v>
      </c>
      <c r="E40" s="767" t="str">
        <f>'Input 4_RSV Season'!AD25</f>
        <v>March</v>
      </c>
      <c r="F40" s="9"/>
      <c r="G40" s="313" t="s">
        <v>227</v>
      </c>
      <c r="H40" s="313"/>
      <c r="L40" s="314">
        <f>Ratios!M16</f>
        <v>107.01458333333333</v>
      </c>
      <c r="M40" s="314"/>
      <c r="N40" s="368" t="s">
        <v>296</v>
      </c>
      <c r="O40" s="382"/>
      <c r="P40" s="312"/>
      <c r="Q40" s="312"/>
      <c r="R40" s="312"/>
      <c r="S40" s="310">
        <f>'Input 5_Product Uptake'!M20</f>
        <v>0.56000000000000005</v>
      </c>
      <c r="T40" s="310"/>
      <c r="U40" s="305">
        <f>'Input 6_Product Efficacy'!K15</f>
        <v>0.8</v>
      </c>
      <c r="V40" s="508">
        <f>'Input 6_Product Efficacy'!Q15</f>
        <v>90</v>
      </c>
      <c r="W40" t="s">
        <v>276</v>
      </c>
    </row>
    <row r="41" spans="2:25" ht="13.5" customHeight="1" x14ac:dyDescent="0.3">
      <c r="E41" s="9"/>
      <c r="F41" s="9"/>
    </row>
    <row r="42" spans="2:25" x14ac:dyDescent="0.3">
      <c r="E42" s="9"/>
      <c r="F42" s="9"/>
    </row>
  </sheetData>
  <sheetProtection algorithmName="SHA-256" hashValue="U0KrbHjSApsvdOhsHENtE6D3Dpb6PMiaR7J9r/Zn2uI=" saltValue="wIt5OHG9iLYb48aZSk/3jw==" spinCount="100000" sheet="1" objects="1" scenarios="1"/>
  <mergeCells count="55">
    <mergeCell ref="B2:V2"/>
    <mergeCell ref="X24:AE25"/>
    <mergeCell ref="AB10:AE14"/>
    <mergeCell ref="Y10:Z14"/>
    <mergeCell ref="AB3:AE6"/>
    <mergeCell ref="Y3:Z6"/>
    <mergeCell ref="X17:AE19"/>
    <mergeCell ref="U8:V8"/>
    <mergeCell ref="U9:V9"/>
    <mergeCell ref="U10:V10"/>
    <mergeCell ref="S8:T8"/>
    <mergeCell ref="S9:T9"/>
    <mergeCell ref="S10:T10"/>
    <mergeCell ref="C8:D8"/>
    <mergeCell ref="C9:D9"/>
    <mergeCell ref="C10:D10"/>
    <mergeCell ref="N39:Q39"/>
    <mergeCell ref="Q10:R10"/>
    <mergeCell ref="N10:O10"/>
    <mergeCell ref="G8:H8"/>
    <mergeCell ref="G9:H9"/>
    <mergeCell ref="G10:H10"/>
    <mergeCell ref="L10:M10"/>
    <mergeCell ref="N8:O8"/>
    <mergeCell ref="N9:O9"/>
    <mergeCell ref="L8:M8"/>
    <mergeCell ref="L9:M9"/>
    <mergeCell ref="J8:K8"/>
    <mergeCell ref="J9:K9"/>
    <mergeCell ref="J10:K10"/>
    <mergeCell ref="Q8:R8"/>
    <mergeCell ref="Q9:R9"/>
    <mergeCell ref="E8:F8"/>
    <mergeCell ref="E9:F9"/>
    <mergeCell ref="E10:F10"/>
    <mergeCell ref="C3:H3"/>
    <mergeCell ref="J3:O3"/>
    <mergeCell ref="C4:D4"/>
    <mergeCell ref="E4:F4"/>
    <mergeCell ref="G4:H4"/>
    <mergeCell ref="J4:K4"/>
    <mergeCell ref="L4:M4"/>
    <mergeCell ref="N4:O4"/>
    <mergeCell ref="U4:V4"/>
    <mergeCell ref="C5:D5"/>
    <mergeCell ref="E5:F5"/>
    <mergeCell ref="G5:H5"/>
    <mergeCell ref="J5:K5"/>
    <mergeCell ref="L5:M5"/>
    <mergeCell ref="N5:O5"/>
    <mergeCell ref="Q5:R5"/>
    <mergeCell ref="S5:T5"/>
    <mergeCell ref="U5:V5"/>
    <mergeCell ref="Q4:R4"/>
    <mergeCell ref="S4:T4"/>
  </mergeCells>
  <hyperlinks>
    <hyperlink ref="Y3:Z6" location="'Sensitivity Analyses_Antibody'!A1" display="'Sensitivity Analyses_Antibody'!A1"/>
    <hyperlink ref="Y10:Z14" location="'Input 1_Population'!A1" display="'Input 1_Population'!A1"/>
  </hyperlinks>
  <pageMargins left="0.7" right="0.7" top="0.75" bottom="0.75" header="0.3" footer="0.3"/>
  <pageSetup orientation="portrait" r:id="rId1"/>
  <ignoredErrors>
    <ignoredError sqref="E16:L16 E14:G14 M14:N14 E15:L15 M15 M16 P14 P15 P16 R14 R15 R16 T14 T15 T16 V14 V15 V16 N15:N16 S14:S16 U14:U16 H14:I14 K14:L14" 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M52"/>
  <sheetViews>
    <sheetView showGridLines="0" showRowColHeaders="0" zoomScale="90" zoomScaleNormal="90" workbookViewId="0"/>
  </sheetViews>
  <sheetFormatPr defaultRowHeight="14.4" x14ac:dyDescent="0.3"/>
  <cols>
    <col min="1" max="2" width="2.33203125" customWidth="1"/>
    <col min="3" max="3" width="15.5546875" style="13" customWidth="1"/>
    <col min="4" max="4" width="8.109375" style="13" customWidth="1"/>
    <col min="5" max="5" width="11" style="13" customWidth="1"/>
    <col min="6" max="7" width="9.109375" style="13" customWidth="1"/>
    <col min="8" max="8" width="10" style="13" customWidth="1"/>
    <col min="9" max="9" width="13.109375" style="13" customWidth="1"/>
    <col min="10" max="10" width="12" style="13" bestFit="1" customWidth="1"/>
    <col min="11" max="12" width="9.109375" style="13"/>
    <col min="18" max="18" width="6.6640625" customWidth="1"/>
    <col min="19" max="19" width="1.6640625" customWidth="1"/>
    <col min="20" max="20" width="4.44140625" customWidth="1"/>
    <col min="21" max="22" width="1.88671875" customWidth="1"/>
    <col min="23" max="23" width="2.109375" customWidth="1"/>
    <col min="24" max="24" width="10.88671875" customWidth="1"/>
    <col min="25" max="25" width="13.33203125" customWidth="1"/>
    <col min="26" max="26" width="2.44140625" customWidth="1"/>
    <col min="27" max="27" width="14.109375" bestFit="1" customWidth="1"/>
    <col min="29" max="29" width="1.33203125" customWidth="1"/>
    <col min="30" max="30" width="1.5546875" style="13" customWidth="1"/>
  </cols>
  <sheetData>
    <row r="1" spans="2:39" ht="9.75" customHeight="1" thickBot="1" x14ac:dyDescent="0.35"/>
    <row r="2" spans="2:39" s="13" customFormat="1" ht="21.75" customHeight="1" thickBot="1" x14ac:dyDescent="0.45">
      <c r="B2" s="360" t="s">
        <v>233</v>
      </c>
      <c r="C2" s="361"/>
      <c r="D2" s="501"/>
      <c r="E2" s="701"/>
      <c r="F2" s="701"/>
      <c r="G2" s="701"/>
      <c r="H2" s="362"/>
      <c r="I2" s="351"/>
      <c r="J2" s="351"/>
      <c r="K2" s="351"/>
      <c r="L2" s="351"/>
      <c r="M2" s="351"/>
      <c r="N2" s="351"/>
      <c r="O2" s="351"/>
      <c r="P2" s="351"/>
      <c r="Q2" s="351"/>
      <c r="R2" s="351"/>
      <c r="S2" s="351"/>
      <c r="T2" s="351"/>
      <c r="U2" s="351"/>
      <c r="V2"/>
      <c r="W2" s="396"/>
      <c r="X2" s="397"/>
      <c r="Y2" s="397"/>
      <c r="Z2" s="397"/>
      <c r="AA2" s="397"/>
      <c r="AB2" s="397"/>
      <c r="AC2" s="395"/>
      <c r="AE2"/>
      <c r="AF2"/>
    </row>
    <row r="3" spans="2:39" s="101" customFormat="1" ht="11.25" customHeight="1" thickTop="1" x14ac:dyDescent="0.35">
      <c r="C3" s="351"/>
      <c r="D3" s="351"/>
      <c r="E3" s="351"/>
      <c r="F3" s="351"/>
      <c r="G3" s="351"/>
      <c r="H3" s="351"/>
      <c r="I3" s="351"/>
      <c r="J3" s="351"/>
      <c r="K3" s="351"/>
      <c r="L3" s="351"/>
      <c r="M3" s="351"/>
      <c r="N3" s="351"/>
      <c r="O3" s="351"/>
      <c r="P3" s="351"/>
      <c r="Q3" s="351"/>
      <c r="R3" s="351"/>
      <c r="S3"/>
      <c r="T3" s="351"/>
      <c r="U3" s="351"/>
      <c r="V3" s="351"/>
      <c r="W3" s="403"/>
      <c r="X3" s="1078" t="s">
        <v>235</v>
      </c>
      <c r="Y3" s="1079"/>
      <c r="Z3" s="13"/>
      <c r="AA3" s="1068" t="s">
        <v>370</v>
      </c>
      <c r="AB3" s="1068"/>
      <c r="AC3" s="391"/>
    </row>
    <row r="4" spans="2:39" ht="18.600000000000001" thickBot="1" x14ac:dyDescent="0.4">
      <c r="B4" s="389"/>
      <c r="C4" s="355" t="s">
        <v>443</v>
      </c>
      <c r="D4" s="355"/>
      <c r="E4" s="355"/>
      <c r="F4" s="355"/>
      <c r="G4" s="355"/>
      <c r="H4" s="355"/>
      <c r="I4" s="355"/>
      <c r="J4" s="355"/>
      <c r="K4" s="355"/>
      <c r="L4" s="355"/>
      <c r="M4" s="355"/>
      <c r="N4" s="355"/>
      <c r="O4" s="355"/>
      <c r="P4" s="355"/>
      <c r="Q4" s="355"/>
      <c r="R4" s="355"/>
      <c r="S4" s="355"/>
      <c r="T4" s="355"/>
      <c r="U4" s="390"/>
      <c r="V4" s="351"/>
      <c r="W4" s="398"/>
      <c r="X4" s="1080"/>
      <c r="Y4" s="1081"/>
      <c r="Z4" s="122"/>
      <c r="AA4" s="1068"/>
      <c r="AB4" s="1068"/>
      <c r="AC4" s="404"/>
      <c r="AE4" s="354"/>
      <c r="AF4" s="354"/>
      <c r="AG4" s="354"/>
      <c r="AH4" s="354"/>
      <c r="AI4" s="354"/>
      <c r="AJ4" s="354"/>
      <c r="AK4" s="354"/>
      <c r="AL4" s="354"/>
      <c r="AM4" s="354"/>
    </row>
    <row r="5" spans="2:39" ht="10.5" customHeight="1" x14ac:dyDescent="0.35">
      <c r="B5" s="11"/>
      <c r="C5" s="347"/>
      <c r="D5" s="347"/>
      <c r="E5" s="347"/>
      <c r="F5" s="347"/>
      <c r="G5" s="347"/>
      <c r="H5" s="347"/>
      <c r="I5" s="347"/>
      <c r="J5" s="347"/>
      <c r="M5" s="13"/>
      <c r="N5" s="13"/>
      <c r="O5" s="13"/>
      <c r="P5" s="13"/>
      <c r="Q5" s="13"/>
      <c r="R5" s="13"/>
      <c r="S5" s="13"/>
      <c r="T5" s="13"/>
      <c r="U5" s="78"/>
      <c r="V5" s="354"/>
      <c r="W5" s="398"/>
      <c r="X5" s="1080"/>
      <c r="Y5" s="1081"/>
      <c r="Z5" s="122"/>
      <c r="AA5" s="1068"/>
      <c r="AB5" s="1068"/>
      <c r="AC5" s="391"/>
    </row>
    <row r="6" spans="2:39" s="1" customFormat="1" ht="18" x14ac:dyDescent="0.3">
      <c r="B6" s="229"/>
      <c r="C6" s="230"/>
      <c r="D6" s="230"/>
      <c r="E6" s="230"/>
      <c r="F6" s="230"/>
      <c r="G6" s="230"/>
      <c r="H6" s="230"/>
      <c r="I6" s="230"/>
      <c r="J6" s="230"/>
      <c r="K6" s="230"/>
      <c r="L6" s="230"/>
      <c r="M6" s="230"/>
      <c r="N6" s="230"/>
      <c r="O6" s="230"/>
      <c r="P6" s="230"/>
      <c r="Q6" s="230"/>
      <c r="R6" s="230"/>
      <c r="S6" s="230"/>
      <c r="T6" s="356"/>
      <c r="U6" s="357"/>
      <c r="V6" s="13"/>
      <c r="W6" s="399"/>
      <c r="X6" s="1080"/>
      <c r="Y6" s="1081"/>
      <c r="Z6" s="122"/>
      <c r="AA6" s="1068"/>
      <c r="AB6" s="1068"/>
      <c r="AC6" s="391"/>
      <c r="AD6" s="230"/>
    </row>
    <row r="7" spans="2:39" s="1" customFormat="1" ht="15" customHeight="1" x14ac:dyDescent="0.3">
      <c r="B7" s="229"/>
      <c r="C7" s="230"/>
      <c r="D7" s="230"/>
      <c r="E7" s="230"/>
      <c r="F7" s="230"/>
      <c r="G7" s="230"/>
      <c r="H7" s="230"/>
      <c r="I7" s="230"/>
      <c r="J7" s="230"/>
      <c r="K7" s="230"/>
      <c r="L7" s="230"/>
      <c r="M7" s="230"/>
      <c r="N7" s="230"/>
      <c r="O7" s="230"/>
      <c r="P7" s="230"/>
      <c r="Q7" s="230"/>
      <c r="R7" s="230"/>
      <c r="S7" s="230"/>
      <c r="T7" s="230"/>
      <c r="U7" s="357"/>
      <c r="V7" s="230"/>
      <c r="W7" s="400"/>
      <c r="X7" s="1080"/>
      <c r="Y7" s="1081"/>
      <c r="Z7" s="122"/>
      <c r="AA7" s="1068"/>
      <c r="AB7" s="1068"/>
      <c r="AC7" s="392"/>
      <c r="AD7" s="230"/>
    </row>
    <row r="8" spans="2:39" ht="7.5" customHeight="1" thickBot="1" x14ac:dyDescent="0.35">
      <c r="B8" s="11"/>
      <c r="D8" s="326"/>
      <c r="E8" s="327"/>
      <c r="F8" s="327"/>
      <c r="G8" s="327"/>
      <c r="M8" s="13"/>
      <c r="N8" s="13"/>
      <c r="O8" s="13"/>
      <c r="P8" s="13"/>
      <c r="Q8" s="13"/>
      <c r="R8" s="13"/>
      <c r="S8" s="13"/>
      <c r="T8" s="13"/>
      <c r="U8" s="78"/>
      <c r="V8" s="230"/>
      <c r="W8" s="400"/>
      <c r="X8" s="1082"/>
      <c r="Y8" s="1083"/>
      <c r="Z8" s="13"/>
      <c r="AA8" s="13"/>
      <c r="AB8" s="13"/>
      <c r="AC8" s="392"/>
    </row>
    <row r="9" spans="2:39" ht="15" customHeight="1" thickTop="1" x14ac:dyDescent="0.3">
      <c r="B9" s="11"/>
      <c r="D9" s="1094"/>
      <c r="E9" s="1094"/>
      <c r="F9" s="1094"/>
      <c r="G9" s="1094"/>
      <c r="H9" s="1094"/>
      <c r="I9" s="1094"/>
      <c r="M9" s="13"/>
      <c r="N9" s="13"/>
      <c r="O9" s="13"/>
      <c r="P9" s="13"/>
      <c r="Q9" s="13"/>
      <c r="R9" s="13"/>
      <c r="S9" s="13"/>
      <c r="T9" s="13"/>
      <c r="U9" s="78"/>
      <c r="V9" s="13"/>
      <c r="W9" s="393"/>
      <c r="X9" s="394"/>
      <c r="Y9" s="394"/>
      <c r="Z9" s="394"/>
      <c r="AA9" s="394"/>
      <c r="AB9" s="394"/>
      <c r="AC9" s="401"/>
    </row>
    <row r="10" spans="2:39" ht="15" customHeight="1" x14ac:dyDescent="0.3">
      <c r="B10" s="11"/>
      <c r="D10" s="330"/>
      <c r="E10" s="330"/>
      <c r="F10" s="330"/>
      <c r="G10" s="330"/>
      <c r="H10" s="330"/>
      <c r="I10" s="330"/>
      <c r="M10" s="13"/>
      <c r="N10" s="13"/>
      <c r="O10" s="13"/>
      <c r="P10" s="13"/>
      <c r="Q10" s="13"/>
      <c r="R10" s="13"/>
      <c r="S10" s="13"/>
      <c r="T10" s="13"/>
      <c r="U10" s="78"/>
      <c r="V10" s="13"/>
      <c r="Z10" s="13"/>
      <c r="AA10" s="13"/>
      <c r="AB10" s="13"/>
      <c r="AC10" s="13"/>
    </row>
    <row r="11" spans="2:39" ht="15" customHeight="1" thickBot="1" x14ac:dyDescent="0.35">
      <c r="B11" s="11"/>
      <c r="D11" s="330"/>
      <c r="E11" s="330"/>
      <c r="F11" s="330"/>
      <c r="M11" s="13"/>
      <c r="N11" s="13"/>
      <c r="O11" s="13"/>
      <c r="P11" s="13"/>
      <c r="Q11" s="13"/>
      <c r="R11" s="13"/>
      <c r="S11" s="13"/>
      <c r="T11" s="13"/>
      <c r="U11" s="78"/>
      <c r="V11" s="13"/>
      <c r="W11" s="396"/>
      <c r="X11" s="397"/>
      <c r="Y11" s="397"/>
      <c r="Z11" s="397"/>
      <c r="AA11" s="397"/>
      <c r="AB11" s="397"/>
      <c r="AC11" s="395"/>
    </row>
    <row r="12" spans="2:39" ht="19.5" customHeight="1" thickTop="1" x14ac:dyDescent="0.3">
      <c r="B12" s="11"/>
      <c r="M12" s="13"/>
      <c r="N12" s="13"/>
      <c r="O12" s="13"/>
      <c r="P12" s="13"/>
      <c r="Q12" s="13"/>
      <c r="R12" s="13"/>
      <c r="S12" s="13"/>
      <c r="T12" s="13"/>
      <c r="U12" s="78"/>
      <c r="V12" s="13"/>
      <c r="W12" s="398"/>
      <c r="X12" s="1078" t="s">
        <v>232</v>
      </c>
      <c r="Y12" s="1079"/>
      <c r="Z12" s="122"/>
      <c r="AA12" s="1068" t="s">
        <v>366</v>
      </c>
      <c r="AB12" s="1068"/>
      <c r="AC12" s="391"/>
    </row>
    <row r="13" spans="2:39" s="1" customFormat="1" ht="15" customHeight="1" x14ac:dyDescent="0.3">
      <c r="B13" s="229"/>
      <c r="C13" s="230"/>
      <c r="D13" s="13"/>
      <c r="E13" s="13"/>
      <c r="F13" s="13"/>
      <c r="G13" s="230"/>
      <c r="H13" s="13"/>
      <c r="I13" s="13"/>
      <c r="J13" s="230"/>
      <c r="K13" s="230"/>
      <c r="L13" s="230"/>
      <c r="M13" s="230"/>
      <c r="N13" s="230"/>
      <c r="O13" s="230"/>
      <c r="P13" s="230"/>
      <c r="Q13" s="230"/>
      <c r="R13" s="230"/>
      <c r="S13" s="230"/>
      <c r="T13" s="230"/>
      <c r="U13" s="357"/>
      <c r="V13" s="13"/>
      <c r="W13" s="398"/>
      <c r="X13" s="1080"/>
      <c r="Y13" s="1081"/>
      <c r="Z13" s="122"/>
      <c r="AA13" s="1068"/>
      <c r="AB13" s="1068"/>
      <c r="AC13" s="391"/>
      <c r="AD13" s="230"/>
    </row>
    <row r="14" spans="2:39" s="1" customFormat="1" ht="15" customHeight="1" x14ac:dyDescent="0.3">
      <c r="B14" s="229"/>
      <c r="C14" s="230"/>
      <c r="D14" s="230"/>
      <c r="E14" s="230"/>
      <c r="F14" s="230"/>
      <c r="G14" s="230"/>
      <c r="H14" s="230"/>
      <c r="I14" s="230"/>
      <c r="J14" s="230"/>
      <c r="K14" s="230"/>
      <c r="L14" s="230"/>
      <c r="M14" s="230"/>
      <c r="N14" s="230"/>
      <c r="O14" s="230"/>
      <c r="P14" s="230"/>
      <c r="Q14" s="230"/>
      <c r="R14" s="230"/>
      <c r="S14" s="230"/>
      <c r="T14" s="230"/>
      <c r="U14" s="357"/>
      <c r="V14" s="230"/>
      <c r="W14" s="399"/>
      <c r="X14" s="1080"/>
      <c r="Y14" s="1081"/>
      <c r="Z14" s="122"/>
      <c r="AA14" s="1068"/>
      <c r="AB14" s="1068"/>
      <c r="AC14" s="392"/>
      <c r="AD14" s="230"/>
    </row>
    <row r="15" spans="2:39" ht="18.600000000000001" thickBot="1" x14ac:dyDescent="0.35">
      <c r="B15" s="11"/>
      <c r="D15" s="326"/>
      <c r="E15" s="327"/>
      <c r="F15" s="327"/>
      <c r="G15" s="327"/>
      <c r="H15" s="327"/>
      <c r="I15" s="327"/>
      <c r="J15" s="327"/>
      <c r="M15" s="13"/>
      <c r="N15" s="13"/>
      <c r="O15" s="13"/>
      <c r="P15" s="13"/>
      <c r="Q15" s="13"/>
      <c r="R15" s="13"/>
      <c r="S15" s="13"/>
      <c r="T15" s="13"/>
      <c r="U15" s="78"/>
      <c r="V15" s="230"/>
      <c r="W15" s="400"/>
      <c r="X15" s="1082"/>
      <c r="Y15" s="1083"/>
      <c r="Z15" s="122"/>
      <c r="AA15" s="1068"/>
      <c r="AB15" s="1068"/>
      <c r="AC15" s="392"/>
    </row>
    <row r="16" spans="2:39" ht="16.2" thickTop="1" x14ac:dyDescent="0.3">
      <c r="B16" s="11"/>
      <c r="D16" s="326"/>
      <c r="E16" s="327"/>
      <c r="F16" s="327"/>
      <c r="G16" s="327"/>
      <c r="H16" s="327"/>
      <c r="I16" s="327"/>
      <c r="J16" s="327"/>
      <c r="M16" s="13"/>
      <c r="N16" s="13"/>
      <c r="O16" s="13"/>
      <c r="P16" s="13"/>
      <c r="Q16" s="13"/>
      <c r="R16" s="13"/>
      <c r="S16" s="13"/>
      <c r="T16" s="13"/>
      <c r="U16" s="78"/>
      <c r="V16" s="13"/>
      <c r="W16" s="393"/>
      <c r="X16" s="394"/>
      <c r="Y16" s="394"/>
      <c r="Z16" s="394"/>
      <c r="AA16" s="394"/>
      <c r="AB16" s="394"/>
      <c r="AC16" s="401"/>
    </row>
    <row r="17" spans="1:39" ht="7.5" customHeight="1" x14ac:dyDescent="0.3">
      <c r="B17" s="11"/>
      <c r="M17" s="13"/>
      <c r="N17" s="13"/>
      <c r="O17" s="13"/>
      <c r="P17" s="13"/>
      <c r="Q17" s="13"/>
      <c r="R17" s="13"/>
      <c r="S17" s="13"/>
      <c r="T17" s="13"/>
      <c r="U17" s="78"/>
      <c r="V17" s="13"/>
    </row>
    <row r="18" spans="1:39" ht="12.75" customHeight="1" thickBot="1" x14ac:dyDescent="0.35">
      <c r="B18" s="11"/>
      <c r="M18" s="13"/>
      <c r="N18" s="13"/>
      <c r="O18" s="13"/>
      <c r="P18" s="13"/>
      <c r="Q18" s="13"/>
      <c r="R18" s="13"/>
      <c r="S18" s="13"/>
      <c r="T18" s="13"/>
      <c r="U18" s="78"/>
      <c r="V18" s="13"/>
      <c r="W18" s="396"/>
      <c r="X18" s="397"/>
      <c r="Y18" s="397"/>
      <c r="Z18" s="397"/>
      <c r="AA18" s="397"/>
      <c r="AB18" s="397"/>
      <c r="AC18" s="395"/>
    </row>
    <row r="19" spans="1:39" ht="18.600000000000001" thickTop="1" x14ac:dyDescent="0.3">
      <c r="B19" s="11"/>
      <c r="M19" s="13"/>
      <c r="N19" s="13"/>
      <c r="O19" s="13"/>
      <c r="P19" s="13"/>
      <c r="Q19" s="13"/>
      <c r="R19" s="13"/>
      <c r="S19" s="13"/>
      <c r="T19" s="13"/>
      <c r="U19" s="78"/>
      <c r="V19" s="13"/>
      <c r="W19" s="398"/>
      <c r="X19" s="1070" t="s">
        <v>214</v>
      </c>
      <c r="Y19" s="1071"/>
      <c r="Z19" s="122"/>
      <c r="AA19" s="1068" t="s">
        <v>215</v>
      </c>
      <c r="AB19" s="1068"/>
      <c r="AC19" s="391"/>
    </row>
    <row r="20" spans="1:39" ht="11.25" customHeight="1" x14ac:dyDescent="0.3">
      <c r="B20" s="11"/>
      <c r="M20" s="13"/>
      <c r="N20" s="13"/>
      <c r="O20" s="13"/>
      <c r="P20" s="13"/>
      <c r="Q20" s="13"/>
      <c r="R20" s="13"/>
      <c r="S20" s="13"/>
      <c r="T20" s="13"/>
      <c r="U20" s="78"/>
      <c r="V20" s="13"/>
      <c r="W20" s="398"/>
      <c r="X20" s="1072"/>
      <c r="Y20" s="1073"/>
      <c r="Z20" s="122"/>
      <c r="AA20" s="1068"/>
      <c r="AB20" s="1068"/>
      <c r="AC20" s="391"/>
    </row>
    <row r="21" spans="1:39" ht="9.75" customHeight="1" x14ac:dyDescent="0.3">
      <c r="B21" s="11"/>
      <c r="M21" s="13"/>
      <c r="N21" s="13"/>
      <c r="O21" s="13"/>
      <c r="P21" s="13"/>
      <c r="Q21" s="13"/>
      <c r="R21" s="13"/>
      <c r="S21" s="13"/>
      <c r="T21" s="13"/>
      <c r="U21" s="78"/>
      <c r="V21" s="13"/>
      <c r="W21" s="399"/>
      <c r="X21" s="1072"/>
      <c r="Y21" s="1073"/>
      <c r="Z21" s="122"/>
      <c r="AA21" s="1068"/>
      <c r="AB21" s="1068"/>
      <c r="AC21" s="392"/>
    </row>
    <row r="22" spans="1:39" ht="9" customHeight="1" thickBot="1" x14ac:dyDescent="0.35">
      <c r="B22" s="11"/>
      <c r="M22" s="13"/>
      <c r="N22" s="13"/>
      <c r="O22" s="13"/>
      <c r="P22" s="13"/>
      <c r="Q22" s="13"/>
      <c r="R22" s="13"/>
      <c r="S22" s="13"/>
      <c r="T22" s="13"/>
      <c r="U22" s="78"/>
      <c r="V22" s="13"/>
      <c r="W22" s="400"/>
      <c r="X22" s="1074"/>
      <c r="Y22" s="1075"/>
      <c r="Z22" s="122"/>
      <c r="AA22" s="1068"/>
      <c r="AB22" s="1068"/>
      <c r="AC22" s="392"/>
    </row>
    <row r="23" spans="1:39" ht="15" thickTop="1" x14ac:dyDescent="0.3">
      <c r="B23" s="11"/>
      <c r="U23" s="78"/>
      <c r="V23" s="13"/>
      <c r="W23" s="393"/>
      <c r="X23" s="394"/>
      <c r="Y23" s="394"/>
      <c r="Z23" s="394"/>
      <c r="AA23" s="394"/>
      <c r="AB23" s="394"/>
      <c r="AC23" s="401"/>
      <c r="AD23" s="101"/>
      <c r="AE23" s="24"/>
      <c r="AF23" s="24"/>
      <c r="AG23" s="24"/>
    </row>
    <row r="24" spans="1:39" ht="33" customHeight="1" x14ac:dyDescent="0.3">
      <c r="B24" s="18"/>
      <c r="C24" s="230" t="s">
        <v>192</v>
      </c>
      <c r="D24" s="14" t="s">
        <v>194</v>
      </c>
      <c r="E24" s="352">
        <f>'Input 5_Product Uptake'!O13</f>
        <v>0.66</v>
      </c>
      <c r="F24" s="14" t="s">
        <v>193</v>
      </c>
      <c r="G24" s="352">
        <f>'Input 5_Product Uptake'!Q13</f>
        <v>0.76</v>
      </c>
      <c r="I24" s="353" t="s">
        <v>195</v>
      </c>
      <c r="J24" s="14" t="s">
        <v>194</v>
      </c>
      <c r="K24" s="352">
        <f>'Input 6_Product Efficacy'!M12</f>
        <v>0.73</v>
      </c>
      <c r="L24" s="14" t="s">
        <v>193</v>
      </c>
      <c r="M24" s="352">
        <f>'Input 6_Product Efficacy'!O12</f>
        <v>0.85</v>
      </c>
      <c r="N24" s="13"/>
      <c r="O24" s="13" t="s">
        <v>196</v>
      </c>
      <c r="P24" s="13"/>
      <c r="Q24" s="13"/>
      <c r="R24" s="13"/>
      <c r="S24" s="13"/>
      <c r="T24" s="13"/>
      <c r="U24" s="51"/>
      <c r="V24" s="13"/>
      <c r="W24" s="24"/>
      <c r="X24" s="24"/>
      <c r="Y24" s="24"/>
      <c r="Z24" s="24"/>
      <c r="AA24" s="24"/>
      <c r="AB24" s="24"/>
      <c r="AC24" s="24"/>
      <c r="AD24" s="101"/>
      <c r="AE24" s="24"/>
      <c r="AF24" s="24"/>
      <c r="AG24" s="24"/>
    </row>
    <row r="25" spans="1:39" ht="6.75" customHeight="1" x14ac:dyDescent="0.3">
      <c r="A25" s="13"/>
      <c r="B25" s="384"/>
      <c r="C25" s="277"/>
      <c r="D25" s="273"/>
      <c r="E25" s="383"/>
      <c r="F25" s="273"/>
      <c r="G25" s="383"/>
      <c r="H25" s="384"/>
      <c r="I25" s="385"/>
      <c r="J25" s="273"/>
      <c r="K25" s="383"/>
      <c r="L25" s="273"/>
      <c r="M25" s="383"/>
      <c r="N25" s="384"/>
      <c r="O25" s="384"/>
      <c r="P25" s="384"/>
      <c r="Q25" s="384"/>
      <c r="R25" s="384"/>
      <c r="S25" s="384"/>
      <c r="T25" s="384"/>
      <c r="U25" s="384"/>
      <c r="V25" s="13"/>
      <c r="W25" s="24"/>
      <c r="X25" s="24"/>
      <c r="Y25" s="24"/>
      <c r="Z25" s="24"/>
      <c r="AA25" s="24"/>
      <c r="AB25" s="24"/>
      <c r="AC25" s="24"/>
      <c r="AD25" s="101"/>
      <c r="AE25" s="24"/>
      <c r="AF25" s="24"/>
      <c r="AG25" s="24"/>
    </row>
    <row r="26" spans="1:39" ht="18.600000000000001" thickBot="1" x14ac:dyDescent="0.4">
      <c r="B26" s="389"/>
      <c r="C26" s="355" t="s">
        <v>497</v>
      </c>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90"/>
      <c r="AD26" s="407"/>
      <c r="AE26" s="406"/>
      <c r="AF26" s="406"/>
      <c r="AG26" s="354"/>
      <c r="AH26" s="354"/>
      <c r="AI26" s="354"/>
      <c r="AJ26" s="354"/>
      <c r="AK26" s="354"/>
      <c r="AL26" s="354"/>
      <c r="AM26" s="354"/>
    </row>
    <row r="27" spans="1:39" ht="18.75" customHeight="1" x14ac:dyDescent="0.35">
      <c r="B27" s="11"/>
      <c r="M27" s="13"/>
      <c r="N27" s="13"/>
      <c r="O27" s="13"/>
      <c r="P27" s="13"/>
      <c r="Q27" s="13"/>
      <c r="R27" s="13"/>
      <c r="S27" s="13"/>
      <c r="T27" s="13"/>
      <c r="U27" s="13"/>
      <c r="V27" s="354"/>
      <c r="W27" s="405"/>
      <c r="X27" s="408"/>
      <c r="Y27" s="408"/>
      <c r="Z27" s="408"/>
      <c r="AA27" s="408"/>
      <c r="AB27" s="408"/>
      <c r="AC27" s="714"/>
      <c r="AD27" s="407"/>
      <c r="AE27" s="407"/>
      <c r="AF27" s="407"/>
      <c r="AG27" s="24"/>
    </row>
    <row r="28" spans="1:39" ht="18.75" customHeight="1" x14ac:dyDescent="0.35">
      <c r="B28" s="11"/>
      <c r="M28" s="13"/>
      <c r="N28" s="13"/>
      <c r="O28" s="13"/>
      <c r="P28" s="13"/>
      <c r="Q28" s="13"/>
      <c r="R28" s="13"/>
      <c r="S28" s="13"/>
      <c r="T28" s="13"/>
      <c r="U28" s="13"/>
      <c r="V28" s="1095" t="s">
        <v>368</v>
      </c>
      <c r="W28" s="1095"/>
      <c r="X28" s="1095"/>
      <c r="Y28" s="1095"/>
      <c r="Z28" s="1095"/>
      <c r="AA28" s="1095"/>
      <c r="AB28" s="1095"/>
      <c r="AC28" s="714"/>
      <c r="AD28" s="406"/>
      <c r="AE28" s="407"/>
      <c r="AF28" s="407"/>
      <c r="AG28" s="24"/>
    </row>
    <row r="29" spans="1:39" ht="18" x14ac:dyDescent="0.35">
      <c r="B29" s="11"/>
      <c r="M29" s="13"/>
      <c r="N29" s="13"/>
      <c r="O29" s="13"/>
      <c r="P29" s="13"/>
      <c r="Q29" s="13"/>
      <c r="R29" s="13"/>
      <c r="S29" s="13"/>
      <c r="T29" s="13"/>
      <c r="U29" s="13"/>
      <c r="V29" s="1095"/>
      <c r="W29" s="1095"/>
      <c r="X29" s="1095"/>
      <c r="Y29" s="1095"/>
      <c r="Z29" s="1095"/>
      <c r="AA29" s="1095"/>
      <c r="AB29" s="1095"/>
      <c r="AC29" s="714"/>
      <c r="AD29" s="407"/>
      <c r="AE29" s="407"/>
      <c r="AF29" s="407"/>
      <c r="AG29" s="24"/>
    </row>
    <row r="30" spans="1:39" x14ac:dyDescent="0.3">
      <c r="B30" s="11"/>
      <c r="M30" s="13"/>
      <c r="N30" s="13"/>
      <c r="O30" s="13"/>
      <c r="P30" s="13"/>
      <c r="Q30" s="13"/>
      <c r="R30" s="13"/>
      <c r="S30" s="13"/>
      <c r="T30" s="13"/>
      <c r="U30" s="13"/>
      <c r="V30" s="13"/>
      <c r="W30" s="407"/>
      <c r="X30" s="407"/>
      <c r="Y30" s="407"/>
      <c r="Z30" s="407"/>
      <c r="AA30" s="407"/>
      <c r="AB30" s="407"/>
      <c r="AC30" s="715"/>
      <c r="AD30" s="407"/>
      <c r="AE30" s="407"/>
      <c r="AF30" s="407"/>
      <c r="AG30" s="24"/>
    </row>
    <row r="31" spans="1:39" ht="15.6" x14ac:dyDescent="0.3">
      <c r="B31" s="11"/>
      <c r="M31" s="13"/>
      <c r="N31" s="13"/>
      <c r="O31" s="13"/>
      <c r="P31" s="13"/>
      <c r="Q31" s="13"/>
      <c r="R31" s="13"/>
      <c r="S31" s="13"/>
      <c r="T31" s="13"/>
      <c r="U31" s="13"/>
      <c r="V31" s="326"/>
      <c r="W31" s="702"/>
      <c r="X31" s="165"/>
      <c r="Y31" s="719" t="s">
        <v>0</v>
      </c>
      <c r="Z31" s="702"/>
      <c r="AA31" s="719" t="s">
        <v>1</v>
      </c>
      <c r="AB31" s="407"/>
      <c r="AC31" s="715"/>
      <c r="AD31" s="407"/>
      <c r="AE31" s="407"/>
      <c r="AF31" s="407"/>
      <c r="AG31" s="24"/>
    </row>
    <row r="32" spans="1:39" ht="15.6" x14ac:dyDescent="0.3">
      <c r="B32" s="11"/>
      <c r="M32" s="13"/>
      <c r="N32" s="13"/>
      <c r="O32" s="13"/>
      <c r="P32" s="13"/>
      <c r="Q32" s="13"/>
      <c r="R32" s="13"/>
      <c r="S32" s="13"/>
      <c r="T32" s="13"/>
      <c r="U32" s="13"/>
      <c r="V32" s="165" t="s">
        <v>6</v>
      </c>
      <c r="W32" s="702"/>
      <c r="X32" s="165"/>
      <c r="Y32" s="720">
        <f>Antibody_Candidate!B312</f>
        <v>1806.0632695517381</v>
      </c>
      <c r="Z32" s="721" t="s">
        <v>371</v>
      </c>
      <c r="AA32" s="720">
        <f>Antibody_Candidate!E312</f>
        <v>2948.099074227307</v>
      </c>
      <c r="AB32" s="407"/>
      <c r="AC32" s="715"/>
      <c r="AD32" s="407"/>
      <c r="AE32" s="407"/>
      <c r="AF32" s="407"/>
      <c r="AG32" s="24"/>
    </row>
    <row r="33" spans="2:33" ht="15.6" x14ac:dyDescent="0.3">
      <c r="B33" s="11"/>
      <c r="M33" s="13"/>
      <c r="N33" s="13"/>
      <c r="O33" s="13"/>
      <c r="P33" s="13"/>
      <c r="Q33" s="13"/>
      <c r="R33" s="13"/>
      <c r="S33" s="13"/>
      <c r="T33" s="13"/>
      <c r="U33" s="13"/>
      <c r="V33" s="326"/>
      <c r="W33" s="165"/>
      <c r="X33" s="165"/>
      <c r="Y33" s="720"/>
      <c r="Z33" s="720"/>
      <c r="AA33" s="720"/>
      <c r="AB33" s="407"/>
      <c r="AC33" s="715"/>
      <c r="AD33" s="407"/>
      <c r="AE33" s="407"/>
      <c r="AF33" s="407"/>
      <c r="AG33" s="24"/>
    </row>
    <row r="34" spans="2:33" ht="15.6" x14ac:dyDescent="0.3">
      <c r="B34" s="11"/>
      <c r="M34" s="13"/>
      <c r="N34" s="13"/>
      <c r="O34" s="13"/>
      <c r="P34" s="13"/>
      <c r="Q34" s="13"/>
      <c r="R34" s="13"/>
      <c r="S34" s="13"/>
      <c r="T34" s="13"/>
      <c r="U34" s="13"/>
      <c r="V34" s="165" t="s">
        <v>7</v>
      </c>
      <c r="W34" s="702"/>
      <c r="X34" s="165"/>
      <c r="Y34" s="720">
        <f>Antibody_Candidate!C312</f>
        <v>710.31728399965039</v>
      </c>
      <c r="Z34" s="721" t="s">
        <v>371</v>
      </c>
      <c r="AA34" s="720">
        <f>Antibody_Candidate!F312</f>
        <v>1105.1433753440986</v>
      </c>
      <c r="AB34" s="407"/>
      <c r="AC34" s="715"/>
      <c r="AD34" s="407"/>
      <c r="AE34" s="407"/>
      <c r="AF34" s="407"/>
      <c r="AG34" s="24"/>
    </row>
    <row r="35" spans="2:33" ht="15.6" x14ac:dyDescent="0.3">
      <c r="B35" s="11"/>
      <c r="M35" s="13"/>
      <c r="N35" s="13"/>
      <c r="O35" s="13"/>
      <c r="P35" s="13"/>
      <c r="Q35" s="13"/>
      <c r="R35" s="13"/>
      <c r="S35" s="13"/>
      <c r="T35" s="13"/>
      <c r="U35" s="13"/>
      <c r="V35" s="326"/>
      <c r="W35" s="165"/>
      <c r="X35" s="165"/>
      <c r="Y35" s="720"/>
      <c r="Z35" s="720"/>
      <c r="AA35" s="720"/>
      <c r="AB35" s="407"/>
      <c r="AC35" s="715"/>
      <c r="AD35" s="407"/>
      <c r="AE35" s="407"/>
      <c r="AF35" s="407"/>
      <c r="AG35" s="24"/>
    </row>
    <row r="36" spans="2:33" ht="15.6" x14ac:dyDescent="0.3">
      <c r="B36" s="11"/>
      <c r="M36" s="13"/>
      <c r="N36" s="13"/>
      <c r="O36" s="13"/>
      <c r="P36" s="13"/>
      <c r="Q36" s="13"/>
      <c r="R36" s="13"/>
      <c r="S36" s="13"/>
      <c r="T36" s="13"/>
      <c r="U36" s="13"/>
      <c r="V36" s="165" t="s">
        <v>108</v>
      </c>
      <c r="W36" s="702"/>
      <c r="X36" s="165"/>
      <c r="Y36" s="720">
        <f>Antibody_Candidate!D312</f>
        <v>142.98550710726252</v>
      </c>
      <c r="Z36" s="721" t="s">
        <v>371</v>
      </c>
      <c r="AA36" s="720">
        <f>Antibody_Candidate!G312</f>
        <v>308.74024269110396</v>
      </c>
      <c r="AB36" s="407"/>
      <c r="AC36" s="715"/>
      <c r="AD36" s="407"/>
      <c r="AE36" s="407"/>
      <c r="AF36" s="407"/>
      <c r="AG36" s="24"/>
    </row>
    <row r="37" spans="2:33" ht="12.75" customHeight="1" x14ac:dyDescent="0.3">
      <c r="B37" s="11"/>
      <c r="M37" s="13"/>
      <c r="N37" s="13"/>
      <c r="O37" s="13"/>
      <c r="P37" s="13"/>
      <c r="Q37" s="13"/>
      <c r="R37" s="13"/>
      <c r="S37" s="13"/>
      <c r="T37" s="13"/>
      <c r="U37" s="13"/>
      <c r="V37" s="13"/>
      <c r="W37" s="407"/>
      <c r="X37" s="407"/>
      <c r="Y37" s="407"/>
      <c r="Z37" s="407"/>
      <c r="AA37" s="407"/>
      <c r="AB37" s="407"/>
      <c r="AC37" s="715"/>
      <c r="AD37" s="407"/>
      <c r="AE37" s="407"/>
      <c r="AF37" s="407"/>
      <c r="AG37" s="24"/>
    </row>
    <row r="38" spans="2:33" x14ac:dyDescent="0.3">
      <c r="B38" s="11"/>
      <c r="M38" s="13"/>
      <c r="N38" s="13"/>
      <c r="O38" s="13"/>
      <c r="P38" s="13"/>
      <c r="Q38" s="13"/>
      <c r="R38" s="13"/>
      <c r="S38" s="13"/>
      <c r="T38" s="13"/>
      <c r="U38" s="13"/>
      <c r="V38" s="13"/>
      <c r="W38" s="407"/>
      <c r="X38" s="407"/>
      <c r="Y38" s="407"/>
      <c r="Z38" s="407"/>
      <c r="AA38" s="407"/>
      <c r="AB38" s="407"/>
      <c r="AC38" s="715"/>
      <c r="AD38" s="407"/>
      <c r="AE38" s="407"/>
      <c r="AF38" s="407"/>
      <c r="AG38" s="24"/>
    </row>
    <row r="39" spans="2:33" ht="10.5" customHeight="1" x14ac:dyDescent="0.3">
      <c r="B39" s="11"/>
      <c r="M39" s="13"/>
      <c r="N39" s="13"/>
      <c r="O39" s="13"/>
      <c r="P39" s="13"/>
      <c r="Q39" s="13"/>
      <c r="R39" s="13"/>
      <c r="S39" s="13"/>
      <c r="T39" s="13"/>
      <c r="U39" s="13"/>
      <c r="V39" s="13"/>
      <c r="W39" s="407"/>
      <c r="X39" s="407"/>
      <c r="Z39" s="407"/>
      <c r="AA39" s="407"/>
      <c r="AB39" s="407"/>
      <c r="AC39" s="715"/>
      <c r="AD39" s="407"/>
      <c r="AE39" s="407"/>
      <c r="AF39" s="407"/>
      <c r="AG39" s="24"/>
    </row>
    <row r="40" spans="2:33" ht="9.75" customHeight="1" x14ac:dyDescent="0.3">
      <c r="B40" s="11"/>
      <c r="M40" s="13"/>
      <c r="N40" s="13"/>
      <c r="O40" s="13"/>
      <c r="P40" s="13"/>
      <c r="Q40" s="13"/>
      <c r="R40" s="13"/>
      <c r="S40" s="13"/>
      <c r="T40" s="13"/>
      <c r="U40" s="13"/>
      <c r="V40" s="13"/>
      <c r="W40" s="407"/>
      <c r="X40" s="407"/>
      <c r="Z40" s="407"/>
      <c r="AA40" s="407"/>
      <c r="AB40" s="407"/>
      <c r="AC40" s="715"/>
      <c r="AD40" s="407"/>
      <c r="AE40" s="407"/>
      <c r="AF40" s="407"/>
      <c r="AG40" s="24"/>
    </row>
    <row r="41" spans="2:33" x14ac:dyDescent="0.3">
      <c r="B41" s="11"/>
      <c r="M41" s="13"/>
      <c r="N41" s="13"/>
      <c r="O41" s="13"/>
      <c r="P41" s="13"/>
      <c r="Q41" s="13"/>
      <c r="R41" s="13"/>
      <c r="S41" s="13"/>
      <c r="T41" s="13"/>
      <c r="U41" s="13"/>
      <c r="V41" s="13"/>
      <c r="W41" s="407"/>
      <c r="X41" s="407"/>
      <c r="Z41" s="407"/>
      <c r="AA41" s="407"/>
      <c r="AB41" s="407"/>
      <c r="AC41" s="715"/>
      <c r="AD41" s="407"/>
      <c r="AE41" s="407"/>
      <c r="AF41" s="407"/>
      <c r="AG41" s="24"/>
    </row>
    <row r="42" spans="2:33" ht="20.25" customHeight="1" x14ac:dyDescent="0.3">
      <c r="B42" s="11"/>
      <c r="M42" s="13"/>
      <c r="N42" s="13"/>
      <c r="O42" s="13"/>
      <c r="P42" s="13"/>
      <c r="Q42" s="13"/>
      <c r="R42" s="13"/>
      <c r="S42" s="13"/>
      <c r="T42" s="13"/>
      <c r="U42" s="13"/>
      <c r="V42" s="13"/>
      <c r="W42" s="407"/>
      <c r="X42" s="407"/>
      <c r="Z42" s="407"/>
      <c r="AA42" s="407"/>
      <c r="AB42" s="407"/>
      <c r="AC42" s="715"/>
      <c r="AD42" s="407"/>
      <c r="AE42" s="407"/>
      <c r="AF42" s="407"/>
      <c r="AG42" s="24"/>
    </row>
    <row r="43" spans="2:33" x14ac:dyDescent="0.3">
      <c r="B43" s="11"/>
      <c r="M43" s="13"/>
      <c r="N43" s="13"/>
      <c r="O43" s="13"/>
      <c r="P43" s="13"/>
      <c r="Q43" s="13"/>
      <c r="R43" s="13"/>
      <c r="S43" s="13"/>
      <c r="T43" s="13"/>
      <c r="U43" s="13"/>
      <c r="V43" s="13"/>
      <c r="W43" s="407"/>
      <c r="X43" s="407"/>
      <c r="Z43" s="407"/>
      <c r="AA43" s="407"/>
      <c r="AB43" s="407"/>
      <c r="AC43" s="715"/>
      <c r="AD43" s="407"/>
      <c r="AE43" s="407"/>
      <c r="AF43" s="407"/>
      <c r="AG43" s="24"/>
    </row>
    <row r="44" spans="2:33" x14ac:dyDescent="0.3">
      <c r="B44" s="11"/>
      <c r="M44" s="13"/>
      <c r="N44" s="13"/>
      <c r="O44" s="13"/>
      <c r="P44" s="13"/>
      <c r="Q44" s="13"/>
      <c r="R44" s="13"/>
      <c r="S44" s="13"/>
      <c r="T44" s="13"/>
      <c r="U44" s="13"/>
      <c r="V44" s="13"/>
      <c r="W44" s="407"/>
      <c r="X44" s="407"/>
      <c r="Y44" s="407"/>
      <c r="Z44" s="407"/>
      <c r="AA44" s="407"/>
      <c r="AB44" s="407"/>
      <c r="AC44" s="715"/>
      <c r="AD44" s="407"/>
      <c r="AE44" s="407"/>
      <c r="AF44" s="407"/>
      <c r="AG44" s="24"/>
    </row>
    <row r="45" spans="2:33" ht="9.75" customHeight="1" x14ac:dyDescent="0.3">
      <c r="B45" s="11"/>
      <c r="M45" s="13"/>
      <c r="N45" s="13"/>
      <c r="O45" s="13"/>
      <c r="P45" s="13"/>
      <c r="Q45" s="13"/>
      <c r="R45" s="13"/>
      <c r="S45" s="13"/>
      <c r="T45" s="13"/>
      <c r="U45" s="13"/>
      <c r="V45" s="13"/>
      <c r="W45" s="407"/>
      <c r="X45" s="407"/>
      <c r="Y45" s="407"/>
      <c r="Z45" s="407"/>
      <c r="AA45" s="407"/>
      <c r="AB45" s="407"/>
      <c r="AC45" s="715"/>
      <c r="AD45" s="407"/>
      <c r="AE45" s="407"/>
      <c r="AF45" s="407"/>
      <c r="AG45" s="24"/>
    </row>
    <row r="46" spans="2:33" x14ac:dyDescent="0.3">
      <c r="B46" s="229"/>
      <c r="C46" s="1093" t="s">
        <v>505</v>
      </c>
      <c r="D46" s="1093"/>
      <c r="E46" s="1093"/>
      <c r="F46" s="1093"/>
      <c r="G46" s="1093"/>
      <c r="H46" s="1093"/>
      <c r="I46" s="1093"/>
      <c r="J46" s="1093"/>
      <c r="K46" s="1093"/>
      <c r="L46" s="1093"/>
      <c r="M46" s="1093"/>
      <c r="N46" s="1093"/>
      <c r="O46" s="1093"/>
      <c r="P46" s="1093"/>
      <c r="Q46" s="1093"/>
      <c r="R46" s="1093"/>
      <c r="S46" s="1093"/>
      <c r="T46" s="1093"/>
      <c r="U46" s="13"/>
      <c r="V46" s="13"/>
      <c r="W46" s="407"/>
      <c r="X46" s="407"/>
      <c r="Y46" s="407"/>
      <c r="Z46" s="407"/>
      <c r="AA46" s="407"/>
      <c r="AB46" s="407"/>
      <c r="AC46" s="715"/>
      <c r="AD46" s="407"/>
      <c r="AE46" s="407"/>
      <c r="AF46" s="407"/>
      <c r="AG46" s="24"/>
    </row>
    <row r="47" spans="2:33" ht="16.5" customHeight="1" x14ac:dyDescent="0.3">
      <c r="B47" s="18"/>
      <c r="C47" s="386" t="str">
        <f>I24</f>
        <v>° Efficacy range:</v>
      </c>
      <c r="D47" s="386" t="str">
        <f>J24</f>
        <v>Low:</v>
      </c>
      <c r="E47" s="387">
        <f>K24</f>
        <v>0.73</v>
      </c>
      <c r="F47" s="386" t="str">
        <f>L24</f>
        <v>High:</v>
      </c>
      <c r="G47" s="387">
        <f>M24</f>
        <v>0.85</v>
      </c>
      <c r="H47" s="388"/>
      <c r="I47" s="388"/>
      <c r="J47" s="388" t="s">
        <v>212</v>
      </c>
      <c r="K47" s="388"/>
      <c r="L47" s="388"/>
      <c r="M47" s="388"/>
      <c r="N47" s="500"/>
      <c r="O47" s="500"/>
      <c r="P47" s="500"/>
      <c r="Q47" s="500"/>
      <c r="R47" s="500"/>
      <c r="S47" s="500"/>
      <c r="T47" s="500"/>
      <c r="U47" s="500"/>
      <c r="V47" s="500"/>
      <c r="W47" s="716"/>
      <c r="X47" s="716"/>
      <c r="Y47" s="716"/>
      <c r="Z47" s="716"/>
      <c r="AA47" s="716"/>
      <c r="AB47" s="716"/>
      <c r="AC47" s="717"/>
      <c r="AD47" s="407"/>
      <c r="AE47" s="407"/>
      <c r="AF47" s="407"/>
      <c r="AG47" s="24"/>
    </row>
    <row r="48" spans="2:33" x14ac:dyDescent="0.3">
      <c r="W48" s="407"/>
      <c r="X48" s="407"/>
      <c r="Y48" s="409"/>
      <c r="Z48" s="407"/>
      <c r="AA48" s="407"/>
      <c r="AB48" s="407"/>
      <c r="AC48" s="407"/>
      <c r="AD48" s="407"/>
      <c r="AE48" s="407"/>
      <c r="AF48" s="407"/>
      <c r="AG48" s="24"/>
    </row>
    <row r="49" spans="23:33" x14ac:dyDescent="0.3">
      <c r="W49" s="407"/>
      <c r="X49" s="407"/>
      <c r="Y49" s="407"/>
      <c r="Z49" s="407"/>
      <c r="AA49" s="407"/>
      <c r="AB49" s="407"/>
      <c r="AC49" s="407"/>
      <c r="AD49" s="101"/>
      <c r="AE49" s="24"/>
      <c r="AF49" s="24"/>
      <c r="AG49" s="24"/>
    </row>
    <row r="50" spans="23:33" ht="18" x14ac:dyDescent="0.35">
      <c r="W50" s="101"/>
      <c r="X50" s="101"/>
      <c r="Y50" s="101"/>
      <c r="Z50" s="101"/>
      <c r="AA50" s="101"/>
      <c r="AB50" s="101"/>
      <c r="AC50" s="101"/>
      <c r="AD50" s="354"/>
      <c r="AE50" s="24"/>
      <c r="AF50" s="24"/>
      <c r="AG50" s="24"/>
    </row>
    <row r="51" spans="23:33" ht="18" x14ac:dyDescent="0.35">
      <c r="W51" s="354"/>
      <c r="X51" s="101"/>
      <c r="Y51" s="101"/>
      <c r="Z51" s="101"/>
      <c r="AA51" s="101"/>
      <c r="AB51" s="101"/>
      <c r="AC51" s="101"/>
      <c r="AD51" s="101"/>
      <c r="AE51" s="24"/>
      <c r="AF51" s="24"/>
      <c r="AG51" s="24"/>
    </row>
    <row r="52" spans="23:33" x14ac:dyDescent="0.3">
      <c r="W52" s="24"/>
      <c r="X52" s="24"/>
      <c r="Y52" s="24"/>
      <c r="Z52" s="24"/>
      <c r="AA52" s="24"/>
      <c r="AB52" s="24"/>
      <c r="AC52" s="24"/>
    </row>
  </sheetData>
  <sheetProtection algorithmName="SHA-256" hashValue="kenD0urIDqcOYEoC+a3nn/ONej/HWYR0Rj2rJNGdruE=" saltValue="u2t3v/fIdmTyjRlDqMY+EA==" spinCount="100000" sheet="1" objects="1" scenarios="1"/>
  <mergeCells count="10">
    <mergeCell ref="C46:T46"/>
    <mergeCell ref="X19:Y22"/>
    <mergeCell ref="AA19:AB22"/>
    <mergeCell ref="X3:Y8"/>
    <mergeCell ref="AA3:AB7"/>
    <mergeCell ref="D9:F9"/>
    <mergeCell ref="G9:I9"/>
    <mergeCell ref="X12:Y15"/>
    <mergeCell ref="AA12:AB15"/>
    <mergeCell ref="V28:AB29"/>
  </mergeCells>
  <hyperlinks>
    <hyperlink ref="X19:Y22" location="'Input 1_Population'!A1" display="'Input 1_Population'!A1"/>
    <hyperlink ref="X12:Y15" location="Results!A1" display="Results!A1"/>
    <hyperlink ref="X3:Y8" location="'Sensitivity Analyses_Maternal'!A1" display="'Sensitivity Analyses_Maternal'!A1"/>
  </hyperlink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L53"/>
  <sheetViews>
    <sheetView showGridLines="0" showRowColHeaders="0" zoomScale="90" zoomScaleNormal="90" workbookViewId="0"/>
  </sheetViews>
  <sheetFormatPr defaultRowHeight="14.4" x14ac:dyDescent="0.3"/>
  <cols>
    <col min="1" max="2" width="2.33203125" customWidth="1"/>
    <col min="3" max="3" width="15.5546875" style="13" customWidth="1"/>
    <col min="4" max="4" width="8.109375" style="13" customWidth="1"/>
    <col min="5" max="5" width="11" style="13" customWidth="1"/>
    <col min="6" max="7" width="9.109375" style="13" customWidth="1"/>
    <col min="8" max="8" width="10" style="13" customWidth="1"/>
    <col min="9" max="9" width="13.109375" style="13" customWidth="1"/>
    <col min="10" max="10" width="12" style="13" bestFit="1" customWidth="1"/>
    <col min="11" max="12" width="9.109375" style="13"/>
    <col min="18" max="18" width="6.6640625" customWidth="1"/>
    <col min="19" max="19" width="1.6640625" customWidth="1"/>
    <col min="20" max="20" width="4.44140625" customWidth="1"/>
    <col min="21" max="22" width="1.88671875" customWidth="1"/>
    <col min="23" max="23" width="2.109375" customWidth="1"/>
    <col min="24" max="24" width="10.88671875" customWidth="1"/>
    <col min="25" max="25" width="15.109375" customWidth="1"/>
    <col min="26" max="26" width="2" customWidth="1"/>
    <col min="27" max="27" width="11.109375" customWidth="1"/>
    <col min="28" max="28" width="9.44140625" customWidth="1"/>
    <col min="29" max="29" width="1.5546875" customWidth="1"/>
  </cols>
  <sheetData>
    <row r="1" spans="2:38" ht="9.75" customHeight="1" thickBot="1" x14ac:dyDescent="0.35"/>
    <row r="2" spans="2:38" s="13" customFormat="1" ht="21.75" customHeight="1" thickBot="1" x14ac:dyDescent="0.45">
      <c r="B2" s="360" t="str">
        <f>IF('Input 5_Product Uptake'!$M$9=0,"Sensitivity Analyses: Maternal Vaccine Candidate (without Palivizumab)","Sensitivity Analyses: Maternal Vaccine Candidate + Palivizumab")</f>
        <v>Sensitivity Analyses: Maternal Vaccine Candidate + Palivizumab</v>
      </c>
      <c r="C2" s="361"/>
      <c r="D2" s="361"/>
      <c r="E2" s="361"/>
      <c r="F2" s="361"/>
      <c r="G2" s="361"/>
      <c r="H2" s="361"/>
      <c r="I2" s="361"/>
      <c r="J2" s="1164"/>
      <c r="K2" s="481"/>
      <c r="L2" s="481"/>
      <c r="M2" s="481"/>
      <c r="N2" s="351"/>
      <c r="O2" s="351"/>
      <c r="P2" s="351"/>
      <c r="Q2" s="351"/>
      <c r="R2" s="351"/>
      <c r="S2" s="351"/>
      <c r="T2" s="351"/>
      <c r="U2" s="351"/>
      <c r="V2"/>
      <c r="W2" s="396"/>
      <c r="X2" s="397"/>
      <c r="Y2" s="397"/>
      <c r="Z2" s="397"/>
      <c r="AA2" s="397"/>
      <c r="AB2" s="397"/>
      <c r="AC2" s="395"/>
      <c r="AD2"/>
      <c r="AE2"/>
    </row>
    <row r="3" spans="2:38" s="101" customFormat="1" ht="6.75" customHeight="1" thickTop="1" x14ac:dyDescent="0.35">
      <c r="C3" s="351"/>
      <c r="D3" s="351"/>
      <c r="E3" s="351"/>
      <c r="F3" s="351"/>
      <c r="G3" s="351"/>
      <c r="H3" s="351"/>
      <c r="I3" s="351"/>
      <c r="J3" s="351"/>
      <c r="K3" s="351"/>
      <c r="L3" s="351"/>
      <c r="M3" s="351"/>
      <c r="N3" s="351"/>
      <c r="O3" s="351"/>
      <c r="P3" s="351"/>
      <c r="Q3" s="351"/>
      <c r="R3" s="351"/>
      <c r="S3"/>
      <c r="T3" s="351"/>
      <c r="U3" s="351"/>
      <c r="V3" s="351"/>
      <c r="W3" s="403"/>
      <c r="X3" s="1078" t="s">
        <v>234</v>
      </c>
      <c r="Y3" s="1079"/>
      <c r="Z3" s="13"/>
      <c r="AA3" s="1068" t="s">
        <v>365</v>
      </c>
      <c r="AB3" s="1068"/>
      <c r="AC3" s="391"/>
    </row>
    <row r="4" spans="2:38" ht="18.600000000000001" thickBot="1" x14ac:dyDescent="0.4">
      <c r="B4" s="389"/>
      <c r="C4" s="355" t="s">
        <v>443</v>
      </c>
      <c r="D4" s="355"/>
      <c r="E4" s="355"/>
      <c r="F4" s="355"/>
      <c r="G4" s="355"/>
      <c r="H4" s="355"/>
      <c r="I4" s="355"/>
      <c r="J4" s="355"/>
      <c r="K4" s="355"/>
      <c r="L4" s="355"/>
      <c r="M4" s="355"/>
      <c r="N4" s="355"/>
      <c r="O4" s="355"/>
      <c r="P4" s="355"/>
      <c r="Q4" s="355"/>
      <c r="R4" s="355"/>
      <c r="S4" s="355"/>
      <c r="T4" s="355"/>
      <c r="U4" s="390"/>
      <c r="V4" s="351"/>
      <c r="W4" s="398"/>
      <c r="X4" s="1080"/>
      <c r="Y4" s="1081"/>
      <c r="Z4" s="122"/>
      <c r="AA4" s="1068"/>
      <c r="AB4" s="1068"/>
      <c r="AC4" s="404"/>
      <c r="AD4" s="354"/>
      <c r="AE4" s="354"/>
      <c r="AF4" s="354"/>
      <c r="AG4" s="354"/>
      <c r="AH4" s="354"/>
      <c r="AI4" s="354"/>
      <c r="AJ4" s="354"/>
      <c r="AK4" s="354"/>
      <c r="AL4" s="354"/>
    </row>
    <row r="5" spans="2:38" ht="10.5" customHeight="1" x14ac:dyDescent="0.35">
      <c r="B5" s="11"/>
      <c r="C5" s="347"/>
      <c r="D5" s="347"/>
      <c r="E5" s="347"/>
      <c r="F5" s="347"/>
      <c r="G5" s="347"/>
      <c r="H5" s="347"/>
      <c r="I5" s="347"/>
      <c r="J5" s="347"/>
      <c r="M5" s="13"/>
      <c r="N5" s="13"/>
      <c r="O5" s="13"/>
      <c r="P5" s="13"/>
      <c r="Q5" s="13"/>
      <c r="R5" s="13"/>
      <c r="S5" s="13"/>
      <c r="T5" s="13"/>
      <c r="U5" s="78"/>
      <c r="V5" s="354"/>
      <c r="W5" s="398"/>
      <c r="X5" s="1080"/>
      <c r="Y5" s="1081"/>
      <c r="Z5" s="122"/>
      <c r="AA5" s="1068"/>
      <c r="AB5" s="1068"/>
      <c r="AC5" s="391"/>
    </row>
    <row r="6" spans="2:38" s="1" customFormat="1" ht="18" x14ac:dyDescent="0.3">
      <c r="B6" s="229"/>
      <c r="C6" s="230"/>
      <c r="D6" s="230"/>
      <c r="E6" s="230"/>
      <c r="F6" s="230"/>
      <c r="G6" s="230"/>
      <c r="H6" s="230"/>
      <c r="I6" s="230"/>
      <c r="J6" s="230"/>
      <c r="K6" s="230"/>
      <c r="L6" s="230"/>
      <c r="M6" s="230"/>
      <c r="N6" s="230"/>
      <c r="O6" s="230"/>
      <c r="P6" s="230"/>
      <c r="Q6" s="230"/>
      <c r="R6" s="230"/>
      <c r="S6" s="230"/>
      <c r="T6" s="356"/>
      <c r="U6" s="357"/>
      <c r="V6" s="13"/>
      <c r="W6" s="399"/>
      <c r="X6" s="1080"/>
      <c r="Y6" s="1081"/>
      <c r="Z6" s="122"/>
      <c r="AA6" s="1068"/>
      <c r="AB6" s="1068"/>
      <c r="AC6" s="391"/>
    </row>
    <row r="7" spans="2:38" s="1" customFormat="1" ht="15" customHeight="1" x14ac:dyDescent="0.3">
      <c r="B7" s="229"/>
      <c r="C7" s="230"/>
      <c r="D7" s="230"/>
      <c r="E7" s="230"/>
      <c r="F7" s="230"/>
      <c r="G7" s="230"/>
      <c r="H7" s="230"/>
      <c r="I7" s="230"/>
      <c r="J7" s="230"/>
      <c r="K7" s="230"/>
      <c r="L7" s="230"/>
      <c r="M7" s="230"/>
      <c r="N7" s="230"/>
      <c r="O7" s="230"/>
      <c r="P7" s="230"/>
      <c r="Q7" s="230"/>
      <c r="R7" s="230"/>
      <c r="S7" s="230"/>
      <c r="T7" s="230"/>
      <c r="U7" s="357"/>
      <c r="V7" s="230"/>
      <c r="W7" s="400"/>
      <c r="X7" s="1080"/>
      <c r="Y7" s="1081"/>
      <c r="Z7" s="122"/>
      <c r="AA7" s="1068"/>
      <c r="AB7" s="1068"/>
      <c r="AC7" s="392"/>
    </row>
    <row r="8" spans="2:38" ht="7.5" customHeight="1" thickBot="1" x14ac:dyDescent="0.35">
      <c r="B8" s="11"/>
      <c r="D8" s="326"/>
      <c r="E8" s="327"/>
      <c r="F8" s="327"/>
      <c r="G8" s="327"/>
      <c r="M8" s="13"/>
      <c r="N8" s="13"/>
      <c r="O8" s="13"/>
      <c r="P8" s="13"/>
      <c r="Q8" s="13"/>
      <c r="R8" s="13"/>
      <c r="S8" s="13"/>
      <c r="T8" s="13"/>
      <c r="U8" s="78"/>
      <c r="V8" s="230"/>
      <c r="W8" s="400"/>
      <c r="X8" s="1082"/>
      <c r="Y8" s="1083"/>
      <c r="Z8" s="13"/>
      <c r="AA8" s="13"/>
      <c r="AB8" s="13"/>
      <c r="AC8" s="392"/>
    </row>
    <row r="9" spans="2:38" ht="9.75" customHeight="1" thickTop="1" x14ac:dyDescent="0.3">
      <c r="B9" s="11"/>
      <c r="D9" s="1094"/>
      <c r="E9" s="1094"/>
      <c r="F9" s="1094"/>
      <c r="G9" s="1094"/>
      <c r="H9" s="1094"/>
      <c r="I9" s="1094"/>
      <c r="M9" s="13"/>
      <c r="N9" s="13"/>
      <c r="O9" s="13"/>
      <c r="P9" s="13"/>
      <c r="Q9" s="13"/>
      <c r="R9" s="13"/>
      <c r="S9" s="13"/>
      <c r="T9" s="13"/>
      <c r="U9" s="78"/>
      <c r="V9" s="13"/>
      <c r="W9" s="393"/>
      <c r="X9" s="394"/>
      <c r="Y9" s="394"/>
      <c r="Z9" s="394"/>
      <c r="AA9" s="394"/>
      <c r="AB9" s="394"/>
      <c r="AC9" s="401"/>
    </row>
    <row r="10" spans="2:38" ht="15" customHeight="1" x14ac:dyDescent="0.3">
      <c r="B10" s="11"/>
      <c r="D10" s="330"/>
      <c r="E10" s="330"/>
      <c r="F10" s="330"/>
      <c r="G10" s="330"/>
      <c r="H10" s="330"/>
      <c r="I10" s="330"/>
      <c r="M10" s="13"/>
      <c r="N10" s="13"/>
      <c r="O10" s="13"/>
      <c r="P10" s="13"/>
      <c r="Q10" s="13"/>
      <c r="R10" s="13"/>
      <c r="S10" s="13"/>
      <c r="T10" s="13"/>
      <c r="U10" s="78"/>
      <c r="V10" s="13"/>
      <c r="Z10" s="13"/>
      <c r="AA10" s="13"/>
      <c r="AB10" s="13"/>
      <c r="AC10" s="13"/>
    </row>
    <row r="11" spans="2:38" ht="15" customHeight="1" thickBot="1" x14ac:dyDescent="0.35">
      <c r="B11" s="11"/>
      <c r="D11" s="330"/>
      <c r="E11" s="330"/>
      <c r="F11" s="330"/>
      <c r="M11" s="13"/>
      <c r="N11" s="13"/>
      <c r="O11" s="13"/>
      <c r="P11" s="13"/>
      <c r="Q11" s="13"/>
      <c r="R11" s="13"/>
      <c r="S11" s="13"/>
      <c r="T11" s="13"/>
      <c r="U11" s="78"/>
      <c r="V11" s="13"/>
      <c r="W11" s="396"/>
      <c r="X11" s="397"/>
      <c r="Y11" s="397"/>
      <c r="Z11" s="397"/>
      <c r="AA11" s="397"/>
      <c r="AB11" s="397"/>
      <c r="AC11" s="395"/>
    </row>
    <row r="12" spans="2:38" ht="19.5" customHeight="1" thickTop="1" x14ac:dyDescent="0.3">
      <c r="B12" s="11"/>
      <c r="M12" s="13"/>
      <c r="N12" s="13"/>
      <c r="O12" s="13"/>
      <c r="P12" s="13"/>
      <c r="Q12" s="13"/>
      <c r="R12" s="13"/>
      <c r="S12" s="13"/>
      <c r="T12" s="13"/>
      <c r="U12" s="78"/>
      <c r="V12" s="13"/>
      <c r="W12" s="398"/>
      <c r="X12" s="1078" t="s">
        <v>236</v>
      </c>
      <c r="Y12" s="1079"/>
      <c r="Z12" s="122"/>
      <c r="AA12" s="1068" t="s">
        <v>237</v>
      </c>
      <c r="AB12" s="1068"/>
      <c r="AC12" s="391"/>
    </row>
    <row r="13" spans="2:38" s="1" customFormat="1" ht="15" customHeight="1" x14ac:dyDescent="0.3">
      <c r="B13" s="229"/>
      <c r="C13" s="230"/>
      <c r="D13" s="13"/>
      <c r="E13" s="13"/>
      <c r="F13" s="13"/>
      <c r="G13" s="230"/>
      <c r="H13" s="13"/>
      <c r="I13" s="13"/>
      <c r="J13" s="230"/>
      <c r="K13" s="230"/>
      <c r="L13" s="230"/>
      <c r="M13" s="230"/>
      <c r="N13" s="230"/>
      <c r="O13" s="230"/>
      <c r="P13" s="230"/>
      <c r="Q13" s="230"/>
      <c r="R13" s="230"/>
      <c r="S13" s="230"/>
      <c r="T13" s="230"/>
      <c r="U13" s="357"/>
      <c r="V13" s="13"/>
      <c r="W13" s="398"/>
      <c r="X13" s="1080"/>
      <c r="Y13" s="1081"/>
      <c r="Z13" s="122"/>
      <c r="AA13" s="1068"/>
      <c r="AB13" s="1068"/>
      <c r="AC13" s="391"/>
    </row>
    <row r="14" spans="2:38" s="1" customFormat="1" ht="15" customHeight="1" x14ac:dyDescent="0.3">
      <c r="B14" s="229"/>
      <c r="C14" s="230"/>
      <c r="D14" s="230"/>
      <c r="E14" s="230"/>
      <c r="F14" s="230"/>
      <c r="G14" s="230"/>
      <c r="H14" s="230"/>
      <c r="I14" s="230"/>
      <c r="J14" s="230"/>
      <c r="K14" s="230"/>
      <c r="L14" s="230"/>
      <c r="M14" s="230"/>
      <c r="N14" s="230"/>
      <c r="O14" s="230"/>
      <c r="P14" s="230"/>
      <c r="Q14" s="230"/>
      <c r="R14" s="230"/>
      <c r="S14" s="230"/>
      <c r="T14" s="230"/>
      <c r="U14" s="357"/>
      <c r="V14" s="230"/>
      <c r="W14" s="399"/>
      <c r="X14" s="1080"/>
      <c r="Y14" s="1081"/>
      <c r="Z14" s="122"/>
      <c r="AA14" s="1068"/>
      <c r="AB14" s="1068"/>
      <c r="AC14" s="392"/>
    </row>
    <row r="15" spans="2:38" ht="18.600000000000001" thickBot="1" x14ac:dyDescent="0.35">
      <c r="B15" s="11"/>
      <c r="D15" s="326"/>
      <c r="E15" s="327"/>
      <c r="F15" s="327"/>
      <c r="G15" s="327"/>
      <c r="H15" s="327"/>
      <c r="I15" s="327"/>
      <c r="J15" s="327"/>
      <c r="M15" s="13"/>
      <c r="N15" s="13"/>
      <c r="O15" s="13"/>
      <c r="P15" s="13"/>
      <c r="Q15" s="13"/>
      <c r="R15" s="13"/>
      <c r="S15" s="13"/>
      <c r="T15" s="13"/>
      <c r="U15" s="78"/>
      <c r="V15" s="230"/>
      <c r="W15" s="400"/>
      <c r="X15" s="1082"/>
      <c r="Y15" s="1083"/>
      <c r="Z15" s="122"/>
      <c r="AA15" s="1068"/>
      <c r="AB15" s="1068"/>
      <c r="AC15" s="392"/>
    </row>
    <row r="16" spans="2:38" ht="9.75" customHeight="1" thickTop="1" x14ac:dyDescent="0.3">
      <c r="B16" s="11"/>
      <c r="D16" s="326"/>
      <c r="E16" s="327"/>
      <c r="F16" s="327"/>
      <c r="G16" s="327"/>
      <c r="H16" s="327"/>
      <c r="I16" s="327"/>
      <c r="J16" s="327"/>
      <c r="M16" s="13"/>
      <c r="N16" s="13"/>
      <c r="O16" s="13"/>
      <c r="P16" s="13"/>
      <c r="Q16" s="13"/>
      <c r="R16" s="13"/>
      <c r="S16" s="13"/>
      <c r="T16" s="13"/>
      <c r="U16" s="78"/>
      <c r="V16" s="13"/>
      <c r="W16" s="393"/>
      <c r="X16" s="394"/>
      <c r="Y16" s="394"/>
      <c r="Z16" s="394"/>
      <c r="AA16" s="394"/>
      <c r="AB16" s="394"/>
      <c r="AC16" s="401"/>
    </row>
    <row r="17" spans="1:38" ht="15.6" x14ac:dyDescent="0.3">
      <c r="B17" s="11"/>
      <c r="D17" s="326"/>
      <c r="E17" s="327"/>
      <c r="F17" s="327"/>
      <c r="G17" s="327"/>
      <c r="H17" s="327"/>
      <c r="I17" s="327"/>
      <c r="J17" s="327"/>
      <c r="M17" s="13"/>
      <c r="N17" s="13"/>
      <c r="O17" s="13"/>
      <c r="P17" s="13"/>
      <c r="Q17" s="13"/>
      <c r="R17" s="13"/>
      <c r="S17" s="13"/>
      <c r="T17" s="13"/>
      <c r="U17" s="78"/>
      <c r="V17" s="13"/>
    </row>
    <row r="18" spans="1:38" ht="15" thickBot="1" x14ac:dyDescent="0.35">
      <c r="B18" s="11"/>
      <c r="M18" s="13"/>
      <c r="N18" s="13"/>
      <c r="O18" s="13"/>
      <c r="P18" s="13"/>
      <c r="Q18" s="13"/>
      <c r="R18" s="13"/>
      <c r="S18" s="13"/>
      <c r="T18" s="13"/>
      <c r="U18" s="78"/>
      <c r="V18" s="13"/>
      <c r="W18" s="396"/>
      <c r="X18" s="397"/>
      <c r="Y18" s="397"/>
      <c r="Z18" s="397"/>
      <c r="AA18" s="397"/>
      <c r="AB18" s="397"/>
      <c r="AC18" s="395"/>
    </row>
    <row r="19" spans="1:38" ht="18.600000000000001" thickTop="1" x14ac:dyDescent="0.3">
      <c r="B19" s="11"/>
      <c r="M19" s="13"/>
      <c r="N19" s="13"/>
      <c r="O19" s="13"/>
      <c r="P19" s="13"/>
      <c r="Q19" s="13"/>
      <c r="R19" s="13"/>
      <c r="S19" s="13"/>
      <c r="T19" s="13"/>
      <c r="U19" s="78"/>
      <c r="V19" s="13"/>
      <c r="W19" s="398"/>
      <c r="X19" s="1070" t="s">
        <v>214</v>
      </c>
      <c r="Y19" s="1071"/>
      <c r="Z19" s="122"/>
      <c r="AA19" s="1068" t="s">
        <v>215</v>
      </c>
      <c r="AB19" s="1068"/>
      <c r="AC19" s="391"/>
    </row>
    <row r="20" spans="1:38" ht="18" x14ac:dyDescent="0.3">
      <c r="B20" s="11"/>
      <c r="M20" s="13"/>
      <c r="N20" s="13"/>
      <c r="O20" s="13"/>
      <c r="P20" s="13"/>
      <c r="Q20" s="13"/>
      <c r="R20" s="13"/>
      <c r="S20" s="13"/>
      <c r="T20" s="13"/>
      <c r="U20" s="78"/>
      <c r="V20" s="13"/>
      <c r="W20" s="398"/>
      <c r="X20" s="1072"/>
      <c r="Y20" s="1073"/>
      <c r="Z20" s="122"/>
      <c r="AA20" s="1068"/>
      <c r="AB20" s="1068"/>
      <c r="AC20" s="391"/>
    </row>
    <row r="21" spans="1:38" ht="18" x14ac:dyDescent="0.3">
      <c r="B21" s="11"/>
      <c r="M21" s="13"/>
      <c r="N21" s="13"/>
      <c r="O21" s="13"/>
      <c r="P21" s="13"/>
      <c r="Q21" s="13"/>
      <c r="R21" s="13"/>
      <c r="S21" s="13"/>
      <c r="T21" s="13"/>
      <c r="U21" s="78"/>
      <c r="V21" s="13"/>
      <c r="W21" s="399"/>
      <c r="X21" s="1072"/>
      <c r="Y21" s="1073"/>
      <c r="Z21" s="122"/>
      <c r="AA21" s="1068"/>
      <c r="AB21" s="1068"/>
      <c r="AC21" s="392"/>
    </row>
    <row r="22" spans="1:38" ht="18.600000000000001" thickBot="1" x14ac:dyDescent="0.35">
      <c r="B22" s="11"/>
      <c r="M22" s="13"/>
      <c r="N22" s="13"/>
      <c r="O22" s="13"/>
      <c r="P22" s="13"/>
      <c r="Q22" s="13"/>
      <c r="R22" s="13"/>
      <c r="S22" s="13"/>
      <c r="T22" s="13"/>
      <c r="U22" s="78"/>
      <c r="V22" s="13"/>
      <c r="W22" s="400"/>
      <c r="X22" s="1074"/>
      <c r="Y22" s="1075"/>
      <c r="Z22" s="122"/>
      <c r="AA22" s="1068"/>
      <c r="AB22" s="1068"/>
      <c r="AC22" s="392"/>
    </row>
    <row r="23" spans="1:38" ht="15" thickTop="1" x14ac:dyDescent="0.3">
      <c r="B23" s="11"/>
      <c r="M23" s="13"/>
      <c r="N23" s="13"/>
      <c r="O23" s="13"/>
      <c r="P23" s="13"/>
      <c r="Q23" s="13"/>
      <c r="R23" s="13"/>
      <c r="S23" s="13"/>
      <c r="T23" s="13"/>
      <c r="U23" s="78"/>
      <c r="V23" s="13"/>
      <c r="W23" s="393"/>
      <c r="X23" s="394"/>
      <c r="Y23" s="394"/>
      <c r="Z23" s="394"/>
      <c r="AA23" s="394"/>
      <c r="AB23" s="394"/>
      <c r="AC23" s="401"/>
    </row>
    <row r="24" spans="1:38" ht="14.25" customHeight="1" x14ac:dyDescent="0.3">
      <c r="B24" s="11"/>
      <c r="C24" s="230" t="s">
        <v>192</v>
      </c>
      <c r="D24" s="14" t="s">
        <v>194</v>
      </c>
      <c r="E24" s="352">
        <f>'Input 5_Product Uptake'!O20</f>
        <v>0.51</v>
      </c>
      <c r="F24" s="14" t="s">
        <v>193</v>
      </c>
      <c r="G24" s="352">
        <f>'Input 5_Product Uptake'!Q20</f>
        <v>0.61</v>
      </c>
      <c r="I24" s="353" t="s">
        <v>195</v>
      </c>
      <c r="J24" s="14" t="s">
        <v>194</v>
      </c>
      <c r="K24" s="352">
        <f>'Input 6_Product Efficacy'!M15</f>
        <v>0.73</v>
      </c>
      <c r="L24" s="14" t="s">
        <v>193</v>
      </c>
      <c r="M24" s="352">
        <f>'Input 6_Product Efficacy'!O15</f>
        <v>0.85</v>
      </c>
      <c r="N24" s="13"/>
      <c r="O24" s="13" t="s">
        <v>196</v>
      </c>
      <c r="P24" s="13"/>
      <c r="Q24" s="13"/>
      <c r="R24" s="13"/>
      <c r="S24" s="13"/>
      <c r="T24" s="13"/>
      <c r="U24" s="78"/>
      <c r="V24" s="13"/>
    </row>
    <row r="25" spans="1:38" ht="4.5" customHeight="1" x14ac:dyDescent="0.3">
      <c r="B25" s="18"/>
      <c r="C25" s="233"/>
      <c r="D25" s="12"/>
      <c r="E25" s="358"/>
      <c r="F25" s="12"/>
      <c r="G25" s="358"/>
      <c r="H25" s="370"/>
      <c r="I25" s="359"/>
      <c r="J25" s="12"/>
      <c r="K25" s="358"/>
      <c r="L25" s="12"/>
      <c r="M25" s="358"/>
      <c r="N25" s="370"/>
      <c r="O25" s="370"/>
      <c r="P25" s="370"/>
      <c r="Q25" s="370"/>
      <c r="R25" s="370"/>
      <c r="S25" s="370"/>
      <c r="T25" s="370"/>
      <c r="U25" s="51"/>
      <c r="V25" s="13"/>
    </row>
    <row r="26" spans="1:38" ht="6.75" customHeight="1" x14ac:dyDescent="0.3">
      <c r="A26" s="13"/>
      <c r="B26" s="384"/>
      <c r="C26" s="277"/>
      <c r="D26" s="273"/>
      <c r="E26" s="383"/>
      <c r="F26" s="273"/>
      <c r="G26" s="383"/>
      <c r="H26" s="384"/>
      <c r="I26" s="385"/>
      <c r="J26" s="273"/>
      <c r="K26" s="383"/>
      <c r="L26" s="273"/>
      <c r="M26" s="383"/>
      <c r="N26" s="384"/>
      <c r="O26" s="384"/>
      <c r="P26" s="384"/>
      <c r="Q26" s="384"/>
      <c r="R26" s="384"/>
      <c r="S26" s="384"/>
      <c r="T26" s="384"/>
      <c r="U26" s="384"/>
      <c r="V26" s="13"/>
    </row>
    <row r="27" spans="1:38" ht="18.600000000000001" thickBot="1" x14ac:dyDescent="0.4">
      <c r="B27" s="389"/>
      <c r="C27" s="355" t="s">
        <v>497</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90"/>
      <c r="AD27" s="418"/>
      <c r="AE27" s="418"/>
      <c r="AF27" s="418"/>
      <c r="AG27" s="354"/>
      <c r="AH27" s="354"/>
      <c r="AI27" s="354"/>
      <c r="AJ27" s="354"/>
      <c r="AK27" s="354"/>
      <c r="AL27" s="354"/>
    </row>
    <row r="28" spans="1:38" ht="18.75" customHeight="1" x14ac:dyDescent="0.35">
      <c r="B28" s="11"/>
      <c r="M28" s="13"/>
      <c r="N28" s="13"/>
      <c r="O28" s="13"/>
      <c r="P28" s="13"/>
      <c r="Q28" s="13"/>
      <c r="R28" s="13"/>
      <c r="S28" s="13"/>
      <c r="T28" s="13"/>
      <c r="U28" s="13"/>
      <c r="V28" s="354"/>
      <c r="W28" s="405"/>
      <c r="X28" s="408"/>
      <c r="Y28" s="408"/>
      <c r="Z28" s="408"/>
      <c r="AA28" s="408"/>
      <c r="AB28" s="408"/>
      <c r="AC28" s="714"/>
      <c r="AD28" s="419"/>
      <c r="AE28" s="419"/>
      <c r="AF28" s="419"/>
    </row>
    <row r="29" spans="1:38" ht="18.75" customHeight="1" x14ac:dyDescent="0.35">
      <c r="B29" s="11"/>
      <c r="M29" s="13"/>
      <c r="N29" s="13"/>
      <c r="O29" s="13"/>
      <c r="P29" s="13"/>
      <c r="Q29" s="13"/>
      <c r="R29" s="13"/>
      <c r="S29" s="13"/>
      <c r="T29" s="13"/>
      <c r="U29" s="13"/>
      <c r="V29" s="1095" t="s">
        <v>368</v>
      </c>
      <c r="W29" s="1095"/>
      <c r="X29" s="1095"/>
      <c r="Y29" s="1095"/>
      <c r="Z29" s="1095"/>
      <c r="AA29" s="1095"/>
      <c r="AB29" s="1095"/>
      <c r="AC29" s="714"/>
      <c r="AD29" s="419"/>
      <c r="AE29" s="419"/>
      <c r="AF29" s="419"/>
    </row>
    <row r="30" spans="1:38" ht="18" x14ac:dyDescent="0.35">
      <c r="B30" s="11"/>
      <c r="M30" s="13"/>
      <c r="N30" s="13"/>
      <c r="O30" s="13"/>
      <c r="P30" s="13"/>
      <c r="Q30" s="13"/>
      <c r="R30" s="13"/>
      <c r="S30" s="13"/>
      <c r="T30" s="13"/>
      <c r="U30" s="13"/>
      <c r="V30" s="1095"/>
      <c r="W30" s="1095"/>
      <c r="X30" s="1095"/>
      <c r="Y30" s="1095"/>
      <c r="Z30" s="1095"/>
      <c r="AA30" s="1095"/>
      <c r="AB30" s="1095"/>
      <c r="AC30" s="714"/>
      <c r="AD30" s="419"/>
      <c r="AE30" s="419"/>
      <c r="AF30" s="419"/>
    </row>
    <row r="31" spans="1:38" x14ac:dyDescent="0.3">
      <c r="B31" s="11"/>
      <c r="M31" s="13"/>
      <c r="N31" s="13"/>
      <c r="O31" s="13"/>
      <c r="P31" s="13"/>
      <c r="Q31" s="13"/>
      <c r="R31" s="13"/>
      <c r="S31" s="13"/>
      <c r="T31" s="13"/>
      <c r="U31" s="13"/>
      <c r="V31" s="13"/>
      <c r="W31" s="407"/>
      <c r="X31" s="407"/>
      <c r="Y31" s="407"/>
      <c r="Z31" s="407"/>
      <c r="AA31" s="407"/>
      <c r="AB31" s="407"/>
      <c r="AC31" s="715"/>
      <c r="AD31" s="419"/>
      <c r="AE31" s="419"/>
      <c r="AF31" s="419"/>
    </row>
    <row r="32" spans="1:38" ht="15.6" x14ac:dyDescent="0.3">
      <c r="B32" s="11"/>
      <c r="M32" s="13"/>
      <c r="N32" s="13"/>
      <c r="O32" s="13"/>
      <c r="P32" s="13"/>
      <c r="Q32" s="13"/>
      <c r="R32" s="13"/>
      <c r="S32" s="13"/>
      <c r="T32" s="13"/>
      <c r="U32" s="13"/>
      <c r="V32" s="326"/>
      <c r="W32" s="702"/>
      <c r="X32" s="165"/>
      <c r="Y32" s="719" t="s">
        <v>0</v>
      </c>
      <c r="Z32" s="702"/>
      <c r="AA32" s="719" t="s">
        <v>1</v>
      </c>
      <c r="AB32" s="407"/>
      <c r="AC32" s="715"/>
      <c r="AD32" s="419"/>
      <c r="AE32" s="419"/>
      <c r="AF32" s="419"/>
    </row>
    <row r="33" spans="2:32" ht="15.6" x14ac:dyDescent="0.3">
      <c r="B33" s="11"/>
      <c r="M33" s="13"/>
      <c r="N33" s="13"/>
      <c r="O33" s="13"/>
      <c r="P33" s="13"/>
      <c r="Q33" s="13"/>
      <c r="R33" s="13"/>
      <c r="S33" s="13"/>
      <c r="T33" s="13"/>
      <c r="U33" s="13"/>
      <c r="V33" s="165" t="s">
        <v>6</v>
      </c>
      <c r="W33" s="702"/>
      <c r="X33" s="165"/>
      <c r="Y33" s="722">
        <f>Maternal_Vaccine!B592</f>
        <v>605.87663407042214</v>
      </c>
      <c r="Z33" s="722" t="s">
        <v>371</v>
      </c>
      <c r="AA33" s="722">
        <f>Maternal_Vaccine!E592</f>
        <v>1004.0981681456299</v>
      </c>
      <c r="AB33" s="407"/>
      <c r="AC33" s="715"/>
      <c r="AD33" s="419"/>
      <c r="AE33" s="419"/>
      <c r="AF33" s="419"/>
    </row>
    <row r="34" spans="2:32" ht="15.6" x14ac:dyDescent="0.3">
      <c r="B34" s="11"/>
      <c r="M34" s="13"/>
      <c r="N34" s="13"/>
      <c r="O34" s="13"/>
      <c r="P34" s="13"/>
      <c r="Q34" s="13"/>
      <c r="R34" s="13"/>
      <c r="S34" s="13"/>
      <c r="T34" s="13"/>
      <c r="U34" s="13"/>
      <c r="V34" s="326"/>
      <c r="W34" s="165"/>
      <c r="X34" s="165"/>
      <c r="Y34" s="722"/>
      <c r="Z34" s="720"/>
      <c r="AA34" s="722"/>
      <c r="AB34" s="407"/>
      <c r="AC34" s="715"/>
      <c r="AD34" s="419"/>
      <c r="AE34" s="419"/>
      <c r="AF34" s="419"/>
    </row>
    <row r="35" spans="2:32" ht="15.6" x14ac:dyDescent="0.3">
      <c r="B35" s="11"/>
      <c r="M35" s="13"/>
      <c r="N35" s="13"/>
      <c r="O35" s="13"/>
      <c r="P35" s="13"/>
      <c r="Q35" s="13"/>
      <c r="R35" s="13"/>
      <c r="S35" s="13"/>
      <c r="T35" s="13"/>
      <c r="U35" s="13"/>
      <c r="V35" s="165" t="s">
        <v>7</v>
      </c>
      <c r="W35" s="702"/>
      <c r="X35" s="165"/>
      <c r="Y35" s="722">
        <f>Maternal_Vaccine!C592</f>
        <v>200.48742647437359</v>
      </c>
      <c r="Z35" s="722" t="s">
        <v>371</v>
      </c>
      <c r="AA35" s="722">
        <f>Maternal_Vaccine!F592</f>
        <v>318.04072742994759</v>
      </c>
      <c r="AB35" s="407"/>
      <c r="AC35" s="715"/>
      <c r="AD35" s="419"/>
      <c r="AE35" s="419"/>
      <c r="AF35" s="419"/>
    </row>
    <row r="36" spans="2:32" ht="15.6" x14ac:dyDescent="0.3">
      <c r="B36" s="11"/>
      <c r="M36" s="13"/>
      <c r="N36" s="13"/>
      <c r="O36" s="13"/>
      <c r="P36" s="13"/>
      <c r="Q36" s="13"/>
      <c r="R36" s="13"/>
      <c r="S36" s="13"/>
      <c r="T36" s="13"/>
      <c r="U36" s="13"/>
      <c r="V36" s="326"/>
      <c r="W36" s="165"/>
      <c r="X36" s="165"/>
      <c r="Y36" s="722"/>
      <c r="Z36" s="720"/>
      <c r="AA36" s="722"/>
      <c r="AB36" s="407"/>
      <c r="AC36" s="715"/>
      <c r="AD36" s="419"/>
      <c r="AE36" s="419"/>
      <c r="AF36" s="419"/>
    </row>
    <row r="37" spans="2:32" ht="15.6" x14ac:dyDescent="0.3">
      <c r="B37" s="11"/>
      <c r="M37" s="13"/>
      <c r="N37" s="13"/>
      <c r="O37" s="13"/>
      <c r="P37" s="13"/>
      <c r="Q37" s="13"/>
      <c r="R37" s="13"/>
      <c r="S37" s="13"/>
      <c r="T37" s="13"/>
      <c r="U37" s="13"/>
      <c r="V37" s="165" t="s">
        <v>108</v>
      </c>
      <c r="W37" s="702"/>
      <c r="X37" s="165"/>
      <c r="Y37" s="722">
        <f>Maternal_Vaccine!D592</f>
        <v>83.091572896731918</v>
      </c>
      <c r="Z37" s="722" t="s">
        <v>371</v>
      </c>
      <c r="AA37" s="722">
        <f>Maternal_Vaccine!G592</f>
        <v>170.48588108847849</v>
      </c>
      <c r="AB37" s="407"/>
      <c r="AC37" s="715"/>
      <c r="AD37" s="419"/>
      <c r="AE37" s="419"/>
      <c r="AF37" s="419"/>
    </row>
    <row r="38" spans="2:32" ht="8.25" customHeight="1" x14ac:dyDescent="0.3">
      <c r="B38" s="11"/>
      <c r="M38" s="13"/>
      <c r="N38" s="13"/>
      <c r="O38" s="13"/>
      <c r="P38" s="13"/>
      <c r="Q38" s="13"/>
      <c r="R38" s="13"/>
      <c r="S38" s="13"/>
      <c r="T38" s="13"/>
      <c r="U38" s="13"/>
      <c r="V38" s="13"/>
      <c r="W38" s="407"/>
      <c r="X38" s="407"/>
      <c r="Y38" s="407"/>
      <c r="Z38" s="407"/>
      <c r="AA38" s="407"/>
      <c r="AB38" s="407"/>
      <c r="AC38" s="715"/>
      <c r="AD38" s="419"/>
      <c r="AE38" s="419"/>
      <c r="AF38" s="419"/>
    </row>
    <row r="39" spans="2:32" x14ac:dyDescent="0.3">
      <c r="B39" s="11"/>
      <c r="M39" s="13"/>
      <c r="N39" s="13"/>
      <c r="O39" s="13"/>
      <c r="P39" s="13"/>
      <c r="Q39" s="13"/>
      <c r="R39" s="13"/>
      <c r="S39" s="13"/>
      <c r="T39" s="13"/>
      <c r="U39" s="13"/>
      <c r="V39" s="13"/>
      <c r="W39" s="407"/>
      <c r="X39" s="407"/>
      <c r="Y39" s="407"/>
      <c r="Z39" s="407"/>
      <c r="AA39" s="407"/>
      <c r="AB39" s="407"/>
      <c r="AC39" s="715"/>
      <c r="AD39" s="419"/>
      <c r="AE39" s="419"/>
      <c r="AF39" s="419"/>
    </row>
    <row r="40" spans="2:32" ht="12.75" customHeight="1" x14ac:dyDescent="0.3">
      <c r="B40" s="11"/>
      <c r="M40" s="13"/>
      <c r="N40" s="13"/>
      <c r="O40" s="13"/>
      <c r="P40" s="13"/>
      <c r="Q40" s="13"/>
      <c r="R40" s="13"/>
      <c r="S40" s="13"/>
      <c r="T40" s="13"/>
      <c r="U40" s="13"/>
      <c r="V40" s="13"/>
      <c r="W40" s="407"/>
      <c r="X40" s="407"/>
      <c r="Y40" s="407"/>
      <c r="Z40" s="407"/>
      <c r="AA40" s="407"/>
      <c r="AB40" s="407"/>
      <c r="AC40" s="715"/>
      <c r="AD40" s="419"/>
      <c r="AE40" s="419"/>
      <c r="AF40" s="419"/>
    </row>
    <row r="41" spans="2:32" ht="9.75" customHeight="1" x14ac:dyDescent="0.3">
      <c r="B41" s="11"/>
      <c r="M41" s="13"/>
      <c r="N41" s="13"/>
      <c r="O41" s="13"/>
      <c r="P41" s="13"/>
      <c r="Q41" s="13"/>
      <c r="R41" s="13"/>
      <c r="S41" s="13"/>
      <c r="T41" s="13"/>
      <c r="U41" s="13"/>
      <c r="V41" s="13"/>
      <c r="W41" s="407"/>
      <c r="X41" s="407"/>
      <c r="Z41" s="407"/>
      <c r="AA41" s="407"/>
      <c r="AB41" s="407"/>
      <c r="AC41" s="715"/>
      <c r="AD41" s="419"/>
      <c r="AE41" s="419"/>
      <c r="AF41" s="419"/>
    </row>
    <row r="42" spans="2:32" x14ac:dyDescent="0.3">
      <c r="B42" s="11"/>
      <c r="M42" s="13"/>
      <c r="N42" s="13"/>
      <c r="O42" s="13"/>
      <c r="P42" s="13"/>
      <c r="Q42" s="13"/>
      <c r="R42" s="13"/>
      <c r="S42" s="13"/>
      <c r="T42" s="13"/>
      <c r="U42" s="13"/>
      <c r="V42" s="13"/>
      <c r="W42" s="407"/>
      <c r="X42" s="407"/>
      <c r="Z42" s="407"/>
      <c r="AA42" s="407"/>
      <c r="AB42" s="407"/>
      <c r="AC42" s="715"/>
      <c r="AD42" s="419"/>
      <c r="AE42" s="419"/>
      <c r="AF42" s="419"/>
    </row>
    <row r="43" spans="2:32" ht="9" customHeight="1" x14ac:dyDescent="0.3">
      <c r="B43" s="11"/>
      <c r="M43" s="13"/>
      <c r="N43" s="13"/>
      <c r="O43" s="13"/>
      <c r="P43" s="13"/>
      <c r="Q43" s="13"/>
      <c r="R43" s="13"/>
      <c r="S43" s="13"/>
      <c r="T43" s="13"/>
      <c r="U43" s="13"/>
      <c r="V43" s="13"/>
      <c r="W43" s="407"/>
      <c r="X43" s="407"/>
      <c r="Z43" s="407"/>
      <c r="AA43" s="407"/>
      <c r="AB43" s="407"/>
      <c r="AC43" s="715"/>
      <c r="AD43" s="419"/>
      <c r="AE43" s="419"/>
      <c r="AF43" s="419"/>
    </row>
    <row r="44" spans="2:32" x14ac:dyDescent="0.3">
      <c r="B44" s="11"/>
      <c r="M44" s="13"/>
      <c r="N44" s="13"/>
      <c r="O44" s="13"/>
      <c r="P44" s="13"/>
      <c r="Q44" s="13"/>
      <c r="R44" s="13"/>
      <c r="S44" s="13"/>
      <c r="T44" s="13"/>
      <c r="U44" s="13"/>
      <c r="V44" s="13"/>
      <c r="W44" s="407"/>
      <c r="X44" s="407"/>
      <c r="Z44" s="407"/>
      <c r="AA44" s="407"/>
      <c r="AB44" s="407"/>
      <c r="AC44" s="715"/>
      <c r="AD44" s="419"/>
      <c r="AE44" s="419"/>
      <c r="AF44" s="419"/>
    </row>
    <row r="45" spans="2:32" x14ac:dyDescent="0.3">
      <c r="B45" s="11"/>
      <c r="M45" s="13"/>
      <c r="N45" s="13"/>
      <c r="O45" s="13"/>
      <c r="P45" s="13"/>
      <c r="Q45" s="13"/>
      <c r="R45" s="13"/>
      <c r="S45" s="13"/>
      <c r="T45" s="13"/>
      <c r="U45" s="13"/>
      <c r="V45" s="13"/>
      <c r="W45" s="407"/>
      <c r="X45" s="407"/>
      <c r="Z45" s="407"/>
      <c r="AA45" s="407"/>
      <c r="AB45" s="407"/>
      <c r="AC45" s="715"/>
      <c r="AD45" s="419"/>
      <c r="AE45" s="419"/>
      <c r="AF45" s="419"/>
    </row>
    <row r="46" spans="2:32" x14ac:dyDescent="0.3">
      <c r="B46" s="11"/>
      <c r="M46" s="13"/>
      <c r="N46" s="13"/>
      <c r="O46" s="13"/>
      <c r="P46" s="13"/>
      <c r="Q46" s="13"/>
      <c r="R46" s="13"/>
      <c r="S46" s="13"/>
      <c r="T46" s="13"/>
      <c r="U46" s="13"/>
      <c r="V46" s="13"/>
      <c r="W46" s="407"/>
      <c r="X46" s="407"/>
      <c r="Z46" s="407"/>
      <c r="AA46" s="407"/>
      <c r="AB46" s="407"/>
      <c r="AC46" s="715"/>
      <c r="AD46" s="419"/>
      <c r="AE46" s="419"/>
      <c r="AF46" s="419"/>
    </row>
    <row r="47" spans="2:32" ht="9.75" customHeight="1" x14ac:dyDescent="0.3">
      <c r="B47" s="11"/>
      <c r="M47" s="13"/>
      <c r="N47" s="13"/>
      <c r="O47" s="13"/>
      <c r="P47" s="13"/>
      <c r="Q47" s="13"/>
      <c r="R47" s="13"/>
      <c r="S47" s="13"/>
      <c r="T47" s="13"/>
      <c r="U47" s="13"/>
      <c r="V47" s="13"/>
      <c r="W47" s="407"/>
      <c r="X47" s="407"/>
      <c r="Y47" s="407"/>
      <c r="Z47" s="407"/>
      <c r="AA47" s="407"/>
      <c r="AB47" s="407"/>
      <c r="AC47" s="715"/>
      <c r="AD47" s="419"/>
      <c r="AE47" s="419"/>
      <c r="AF47" s="419"/>
    </row>
    <row r="48" spans="2:32" x14ac:dyDescent="0.3">
      <c r="B48" s="229"/>
      <c r="C48" s="1093" t="s">
        <v>505</v>
      </c>
      <c r="D48" s="1093"/>
      <c r="E48" s="1093"/>
      <c r="F48" s="1093"/>
      <c r="G48" s="1093"/>
      <c r="H48" s="1093"/>
      <c r="I48" s="1093"/>
      <c r="J48" s="1093"/>
      <c r="K48" s="1093"/>
      <c r="L48" s="1093"/>
      <c r="M48" s="1093"/>
      <c r="N48" s="1093"/>
      <c r="O48" s="1093"/>
      <c r="P48" s="1093"/>
      <c r="Q48" s="1093"/>
      <c r="R48" s="1093"/>
      <c r="S48" s="1093"/>
      <c r="T48" s="1093"/>
      <c r="U48" s="13"/>
      <c r="V48" s="13"/>
      <c r="W48" s="407"/>
      <c r="X48" s="407"/>
      <c r="Y48" s="407"/>
      <c r="Z48" s="407"/>
      <c r="AA48" s="407"/>
      <c r="AB48" s="407"/>
      <c r="AC48" s="715"/>
      <c r="AD48" s="419"/>
      <c r="AE48" s="419"/>
      <c r="AF48" s="419"/>
    </row>
    <row r="49" spans="2:32" ht="16.5" customHeight="1" x14ac:dyDescent="0.3">
      <c r="B49" s="18"/>
      <c r="C49" s="386" t="str">
        <f t="shared" ref="C49:G49" si="0">I24</f>
        <v>° Efficacy range:</v>
      </c>
      <c r="D49" s="386" t="str">
        <f t="shared" si="0"/>
        <v>Low:</v>
      </c>
      <c r="E49" s="387">
        <f t="shared" si="0"/>
        <v>0.73</v>
      </c>
      <c r="F49" s="386" t="str">
        <f t="shared" si="0"/>
        <v>High:</v>
      </c>
      <c r="G49" s="387">
        <f t="shared" si="0"/>
        <v>0.85</v>
      </c>
      <c r="H49" s="388"/>
      <c r="I49" s="388"/>
      <c r="J49" s="388" t="s">
        <v>212</v>
      </c>
      <c r="K49" s="388"/>
      <c r="L49" s="388"/>
      <c r="M49" s="388"/>
      <c r="N49" s="370"/>
      <c r="O49" s="370"/>
      <c r="P49" s="370"/>
      <c r="Q49" s="370"/>
      <c r="R49" s="370"/>
      <c r="S49" s="370"/>
      <c r="T49" s="370"/>
      <c r="U49" s="500"/>
      <c r="V49" s="500"/>
      <c r="W49" s="716"/>
      <c r="X49" s="716"/>
      <c r="Y49" s="716"/>
      <c r="Z49" s="716"/>
      <c r="AA49" s="716"/>
      <c r="AB49" s="716"/>
      <c r="AC49" s="717"/>
      <c r="AD49" s="419"/>
      <c r="AE49" s="419"/>
      <c r="AF49" s="419"/>
    </row>
    <row r="50" spans="2:32" x14ac:dyDescent="0.3">
      <c r="U50" s="13"/>
      <c r="W50" s="419"/>
      <c r="X50" s="419"/>
      <c r="Y50" s="420"/>
      <c r="Z50" s="419"/>
      <c r="AA50" s="419"/>
      <c r="AB50" s="419"/>
      <c r="AC50" s="419"/>
      <c r="AD50" s="419"/>
      <c r="AE50" s="419"/>
      <c r="AF50" s="419"/>
    </row>
    <row r="51" spans="2:32" x14ac:dyDescent="0.3">
      <c r="U51" s="13"/>
      <c r="W51" s="419"/>
      <c r="X51" s="419"/>
      <c r="Y51" s="419"/>
      <c r="Z51" s="419"/>
      <c r="AA51" s="419"/>
      <c r="AB51" s="419"/>
      <c r="AC51" s="419"/>
      <c r="AD51" s="419"/>
      <c r="AE51" s="419"/>
      <c r="AF51" s="419"/>
    </row>
    <row r="52" spans="2:32" x14ac:dyDescent="0.3">
      <c r="U52" s="13"/>
      <c r="W52" s="419"/>
      <c r="X52" s="419"/>
      <c r="Y52" s="419"/>
      <c r="Z52" s="419"/>
      <c r="AA52" s="419"/>
      <c r="AB52" s="419"/>
      <c r="AC52" s="419"/>
      <c r="AD52" s="13"/>
      <c r="AE52" s="13"/>
      <c r="AF52" s="13"/>
    </row>
    <row r="53" spans="2:32" ht="18" x14ac:dyDescent="0.35">
      <c r="W53" s="354"/>
      <c r="X53" s="13"/>
      <c r="Y53" s="13"/>
      <c r="Z53" s="13"/>
      <c r="AA53" s="13"/>
      <c r="AB53" s="13"/>
      <c r="AC53" s="354"/>
    </row>
  </sheetData>
  <sheetProtection algorithmName="SHA-256" hashValue="9b5n5Cda87JjgewuBL8skmg1zqkWH43FX3QvKKO3u5U=" saltValue="QMHizJgarYzk4uQPP6Fatg==" spinCount="100000" sheet="1" objects="1" scenarios="1"/>
  <mergeCells count="10">
    <mergeCell ref="C48:T48"/>
    <mergeCell ref="X3:Y8"/>
    <mergeCell ref="AA3:AB7"/>
    <mergeCell ref="D9:F9"/>
    <mergeCell ref="G9:I9"/>
    <mergeCell ref="X12:Y15"/>
    <mergeCell ref="AA12:AB15"/>
    <mergeCell ref="X19:Y22"/>
    <mergeCell ref="AA19:AB22"/>
    <mergeCell ref="V29:AB30"/>
  </mergeCells>
  <hyperlinks>
    <hyperlink ref="X19:Y22" location="'Input 1_Population'!A1" display="'Input 1_Population'!A1"/>
    <hyperlink ref="X12:Y15" location="Results!A1" display="Results!A1"/>
    <hyperlink ref="X3:Y8" location="'Sensitivity Analyses_Antibody'!A1" display="'Sensitivity Analyses_Antibody'!A1"/>
  </hyperlinks>
  <pageMargins left="0.7" right="0.7" top="0.75" bottom="0.75" header="0.3" footer="0.3"/>
  <pageSetup orientation="portrait"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BD107"/>
  <sheetViews>
    <sheetView showGridLines="0" topLeftCell="AK12" zoomScaleNormal="100" workbookViewId="0">
      <selection activeCell="BC23" sqref="BC23"/>
    </sheetView>
  </sheetViews>
  <sheetFormatPr defaultRowHeight="14.4" x14ac:dyDescent="0.3"/>
  <cols>
    <col min="1" max="1" width="9.109375" customWidth="1"/>
    <col min="4" max="4" width="10.5546875" bestFit="1" customWidth="1"/>
    <col min="6" max="6" width="10.5546875" customWidth="1"/>
    <col min="7" max="7" width="12.5546875" customWidth="1"/>
    <col min="8" max="8" width="13.44140625" customWidth="1"/>
    <col min="10" max="10" width="10.88671875" customWidth="1"/>
    <col min="11" max="11" width="10.5546875" bestFit="1" customWidth="1"/>
    <col min="12" max="12" width="10.109375" customWidth="1"/>
    <col min="13" max="13" width="10.6640625" customWidth="1"/>
    <col min="14" max="14" width="11.5546875" customWidth="1"/>
    <col min="16" max="16" width="10.6640625" customWidth="1"/>
    <col min="17" max="18" width="9.6640625" customWidth="1"/>
    <col min="19" max="19" width="13.109375" customWidth="1"/>
    <col min="20" max="21" width="12.44140625" customWidth="1"/>
    <col min="22" max="22" width="10.6640625" customWidth="1"/>
    <col min="25" max="25" width="10.5546875" bestFit="1" customWidth="1"/>
    <col min="31" max="31" width="10.5546875" bestFit="1" customWidth="1"/>
    <col min="33" max="34" width="10.5546875" customWidth="1"/>
    <col min="35" max="35" width="13.44140625" customWidth="1"/>
    <col min="37" max="37" width="10.88671875" customWidth="1"/>
    <col min="38" max="38" width="10.5546875" bestFit="1" customWidth="1"/>
    <col min="39" max="39" width="10.109375" customWidth="1"/>
    <col min="40" max="40" width="10.6640625" customWidth="1"/>
    <col min="41" max="41" width="11.5546875" customWidth="1"/>
    <col min="43" max="43" width="10.6640625" customWidth="1"/>
    <col min="44" max="45" width="9.6640625" customWidth="1"/>
    <col min="46" max="46" width="13.109375" customWidth="1"/>
    <col min="47" max="48" width="12.44140625" customWidth="1"/>
    <col min="49" max="49" width="10.6640625" customWidth="1"/>
    <col min="52" max="52" width="10.5546875" bestFit="1" customWidth="1"/>
  </cols>
  <sheetData>
    <row r="2" spans="2:53" ht="18.600000000000001" thickBot="1" x14ac:dyDescent="0.4">
      <c r="B2" s="612" t="s">
        <v>311</v>
      </c>
      <c r="C2" s="612"/>
      <c r="D2" s="612"/>
      <c r="E2" s="612"/>
      <c r="F2" s="612"/>
      <c r="G2" s="612"/>
      <c r="H2" s="612"/>
      <c r="I2" s="612"/>
      <c r="J2" s="612"/>
      <c r="K2" s="612"/>
      <c r="L2" s="612"/>
      <c r="M2" s="612"/>
      <c r="N2" s="612"/>
      <c r="O2" s="612"/>
      <c r="P2" s="612"/>
      <c r="Q2" s="612"/>
      <c r="R2" s="612"/>
      <c r="S2" s="612"/>
      <c r="T2" s="612"/>
      <c r="U2" s="612"/>
      <c r="V2" s="612"/>
      <c r="W2" s="612"/>
      <c r="X2" s="612"/>
      <c r="Y2" s="612"/>
      <c r="Z2" s="612"/>
      <c r="AC2" s="612" t="s">
        <v>333</v>
      </c>
      <c r="AD2" s="612"/>
      <c r="AE2" s="612"/>
      <c r="AF2" s="612"/>
      <c r="AG2" s="612"/>
      <c r="AH2" s="612"/>
      <c r="AI2" s="612"/>
      <c r="AJ2" s="612"/>
      <c r="AK2" s="612"/>
      <c r="AL2" s="612"/>
      <c r="AM2" s="612"/>
      <c r="AN2" s="612"/>
      <c r="AO2" s="612"/>
      <c r="AP2" s="612"/>
      <c r="AQ2" s="612"/>
      <c r="AR2" s="612"/>
      <c r="AS2" s="612"/>
      <c r="AT2" s="612"/>
      <c r="AU2" s="612"/>
      <c r="AV2" s="612"/>
      <c r="AW2" s="612"/>
      <c r="AX2" s="612"/>
      <c r="AY2" s="612"/>
      <c r="AZ2" s="612"/>
      <c r="BA2" s="612"/>
    </row>
    <row r="3" spans="2:53" x14ac:dyDescent="0.3">
      <c r="G3" s="13"/>
      <c r="H3" s="13"/>
      <c r="L3" s="619"/>
      <c r="M3" s="95"/>
      <c r="N3" s="95"/>
      <c r="O3" s="95"/>
      <c r="P3" s="95"/>
      <c r="Q3" s="95"/>
      <c r="R3" s="95"/>
      <c r="S3" s="95"/>
      <c r="T3" s="95"/>
      <c r="U3" s="95"/>
      <c r="V3" s="95"/>
      <c r="AH3" s="13"/>
      <c r="AI3" s="13"/>
    </row>
    <row r="4" spans="2:53" x14ac:dyDescent="0.3">
      <c r="G4" s="13"/>
      <c r="H4" s="13"/>
      <c r="I4" s="2" t="s">
        <v>9</v>
      </c>
      <c r="J4" s="62" t="s">
        <v>37</v>
      </c>
      <c r="AH4" s="13"/>
      <c r="AI4" s="13"/>
      <c r="AJ4" s="2" t="s">
        <v>9</v>
      </c>
      <c r="AK4" s="62" t="s">
        <v>37</v>
      </c>
    </row>
    <row r="5" spans="2:53" x14ac:dyDescent="0.3">
      <c r="E5" s="28"/>
      <c r="G5" s="13"/>
      <c r="H5" s="13"/>
      <c r="I5" s="16"/>
      <c r="J5" s="28">
        <f>SUM(Palivizumab!O10,Palivizumab!AP10,Palivizumab!V44,Palivizumab!AW44,Palivizumab!R58,Palivizumab!AS58,Palivizumab!Y33)</f>
        <v>123267.4179816183</v>
      </c>
      <c r="K5" s="17"/>
      <c r="L5" s="28"/>
      <c r="AH5" s="13"/>
      <c r="AI5" s="13"/>
      <c r="AJ5" s="16"/>
      <c r="AL5" s="17"/>
    </row>
    <row r="6" spans="2:53" x14ac:dyDescent="0.3">
      <c r="G6" s="13"/>
      <c r="H6" s="13"/>
      <c r="I6" s="11"/>
      <c r="J6" s="13"/>
      <c r="K6" s="13"/>
      <c r="N6" s="237" t="s">
        <v>160</v>
      </c>
      <c r="O6" s="237" t="s">
        <v>161</v>
      </c>
      <c r="P6" s="237" t="s">
        <v>162</v>
      </c>
      <c r="AH6" s="13"/>
      <c r="AI6" s="13"/>
      <c r="AJ6" s="11"/>
      <c r="AK6" s="13"/>
      <c r="AL6" s="13"/>
      <c r="AO6" s="540" t="s">
        <v>160</v>
      </c>
      <c r="AP6" s="540" t="s">
        <v>161</v>
      </c>
      <c r="AQ6" s="540" t="s">
        <v>162</v>
      </c>
      <c r="AS6" s="37"/>
    </row>
    <row r="7" spans="2:53" x14ac:dyDescent="0.3">
      <c r="E7" s="10" t="s">
        <v>25</v>
      </c>
      <c r="F7" s="10"/>
      <c r="G7" s="33">
        <f>D21*G9</f>
        <v>1953602.7124999999</v>
      </c>
      <c r="H7" s="10"/>
      <c r="I7" s="11"/>
      <c r="M7" s="12" t="s">
        <v>6</v>
      </c>
      <c r="N7" s="30">
        <f>N8*G7</f>
        <v>252463.77635812998</v>
      </c>
      <c r="O7" s="30">
        <f>O8*G7</f>
        <v>210480.77297951194</v>
      </c>
      <c r="P7" s="30">
        <f>P8*G7</f>
        <v>294407.76207561546</v>
      </c>
      <c r="AF7" s="500" t="s">
        <v>25</v>
      </c>
      <c r="AG7" s="500"/>
      <c r="AH7" s="33">
        <f>AE21*AH9</f>
        <v>1953602.7124999999</v>
      </c>
      <c r="AI7" s="500"/>
      <c r="AJ7" s="11"/>
      <c r="AN7" s="12" t="s">
        <v>6</v>
      </c>
      <c r="AO7" s="30">
        <f>AO8*AH7</f>
        <v>102667.94755655344</v>
      </c>
      <c r="AP7" s="30">
        <f>AP8*AH7</f>
        <v>85608.204106241057</v>
      </c>
      <c r="AQ7" s="30">
        <f>AQ8*AH7</f>
        <v>120530.38130482857</v>
      </c>
      <c r="AS7" s="69"/>
    </row>
    <row r="8" spans="2:53" x14ac:dyDescent="0.3">
      <c r="E8" s="16" t="s">
        <v>15</v>
      </c>
      <c r="F8" s="14"/>
      <c r="G8" s="27"/>
      <c r="H8" s="52"/>
      <c r="I8" s="59" t="s">
        <v>128</v>
      </c>
      <c r="J8" s="50">
        <f>SUM(O8,O11,O14)</f>
        <v>0.15492636201705176</v>
      </c>
      <c r="L8" s="16"/>
      <c r="M8" s="2" t="s">
        <v>43</v>
      </c>
      <c r="N8" s="61">
        <f>'WiS percent RSV_base'!CF74</f>
        <v>0.12922984532257092</v>
      </c>
      <c r="O8" s="61">
        <f>'WiS percent RSV_low'!CD71</f>
        <v>0.10773980381618248</v>
      </c>
      <c r="P8" s="61">
        <f>'WiS percent RSV_high'!CD73</f>
        <v>0.15069991467142554</v>
      </c>
      <c r="AF8" s="16" t="s">
        <v>15</v>
      </c>
      <c r="AG8" s="14"/>
      <c r="AH8" s="27"/>
      <c r="AI8" s="52"/>
      <c r="AJ8" s="59" t="s">
        <v>128</v>
      </c>
      <c r="AK8" s="50">
        <f>SUM(AP8,AP11,AP14)</f>
        <v>6.3378768667233937E-2</v>
      </c>
      <c r="AM8" s="16"/>
      <c r="AN8" s="2" t="s">
        <v>43</v>
      </c>
      <c r="AO8" s="61">
        <f>'OoS percent RSV_base'!BG73</f>
        <v>5.2553135240670609E-2</v>
      </c>
      <c r="AP8" s="61">
        <f>'OoS percent RSV_low'!BG73</f>
        <v>4.3820682454258755E-2</v>
      </c>
      <c r="AQ8" s="61">
        <f>'OoS percent RSV_high'!BG73</f>
        <v>6.1696464963742502E-2</v>
      </c>
    </row>
    <row r="9" spans="2:53" x14ac:dyDescent="0.3">
      <c r="E9" s="11"/>
      <c r="F9" t="str">
        <f>Antibody_Candidate!E33</f>
        <v>1-p1</v>
      </c>
      <c r="G9" s="27">
        <f>1-G49</f>
        <v>0.99019999999999997</v>
      </c>
      <c r="I9" s="238" t="s">
        <v>129</v>
      </c>
      <c r="J9" s="50">
        <f>SUM(P8,P11,P14)</f>
        <v>0.21737581063121242</v>
      </c>
      <c r="L9" s="11"/>
      <c r="M9" s="2"/>
      <c r="AF9" s="11"/>
      <c r="AG9" s="2" t="str">
        <f>F9</f>
        <v>1-p1</v>
      </c>
      <c r="AH9">
        <f>G9</f>
        <v>0.99019999999999997</v>
      </c>
      <c r="AJ9" s="238" t="s">
        <v>129</v>
      </c>
      <c r="AK9" s="50">
        <f>SUM(AQ8,AQ11,AQ14)</f>
        <v>8.9978285052383214E-2</v>
      </c>
      <c r="AM9" s="11"/>
      <c r="AN9" s="2"/>
    </row>
    <row r="10" spans="2:53" x14ac:dyDescent="0.3">
      <c r="E10" s="11"/>
      <c r="I10" s="18" t="s">
        <v>46</v>
      </c>
      <c r="J10" s="50">
        <f>SUM(N8,N11,N14)</f>
        <v>0.18597458567567429</v>
      </c>
      <c r="K10" s="10"/>
      <c r="L10" s="18"/>
      <c r="M10" s="12" t="s">
        <v>7</v>
      </c>
      <c r="N10" s="30">
        <f>N11*G7</f>
        <v>87536.122750863884</v>
      </c>
      <c r="O10" s="30">
        <f>O11*G7</f>
        <v>74952.927035618239</v>
      </c>
      <c r="P10" s="30">
        <f>P11*G7</f>
        <v>100158.33612724204</v>
      </c>
      <c r="AF10" s="11"/>
      <c r="AJ10" s="18" t="s">
        <v>46</v>
      </c>
      <c r="AK10" s="50">
        <f>SUM(AO8,AO11,AO14)</f>
        <v>7.633199129690689E-2</v>
      </c>
      <c r="AL10" s="500"/>
      <c r="AM10" s="18"/>
      <c r="AN10" s="12" t="s">
        <v>7</v>
      </c>
      <c r="AO10" s="30">
        <f>AO11*AH7</f>
        <v>40829.020457164748</v>
      </c>
      <c r="AP10" s="30">
        <f>AP11*AH7</f>
        <v>34962.531211840775</v>
      </c>
      <c r="AQ10" s="30">
        <f>AQ11*AH7</f>
        <v>46701.641276449627</v>
      </c>
    </row>
    <row r="11" spans="2:53" x14ac:dyDescent="0.3">
      <c r="E11" s="11"/>
      <c r="I11" s="2" t="s">
        <v>10</v>
      </c>
      <c r="J11" s="54">
        <f>G7*J10</f>
        <v>363320.45503206091</v>
      </c>
      <c r="L11" s="11"/>
      <c r="M11" s="2" t="s">
        <v>44</v>
      </c>
      <c r="N11" s="61">
        <f>'WiS percent RSV_base'!CF50</f>
        <v>4.4807535427121237E-2</v>
      </c>
      <c r="O11" s="61">
        <f>'WiS percent RSV_low'!CD48</f>
        <v>3.8366514622464848E-2</v>
      </c>
      <c r="P11" s="61">
        <f>'WiS percent RSV_high'!CD49</f>
        <v>5.1268528389311424E-2</v>
      </c>
      <c r="AF11" s="11"/>
      <c r="AJ11" s="2" t="s">
        <v>10</v>
      </c>
      <c r="AK11" s="54">
        <f>AH7*AK10</f>
        <v>149122.38524816369</v>
      </c>
      <c r="AM11" s="11"/>
      <c r="AN11" s="2" t="s">
        <v>44</v>
      </c>
      <c r="AO11" s="61">
        <f>'OoS percent RSV_base'!BG50</f>
        <v>2.0899346727931385E-2</v>
      </c>
      <c r="AP11" s="61">
        <f>'OoS percent RSV_low'!BG50</f>
        <v>1.7896438711993638E-2</v>
      </c>
      <c r="AQ11" s="61">
        <f>'OoS percent RSV_high'!BG50</f>
        <v>2.3905393342071146E-2</v>
      </c>
    </row>
    <row r="12" spans="2:53" x14ac:dyDescent="0.3">
      <c r="E12" s="11"/>
      <c r="I12" s="14" t="s">
        <v>128</v>
      </c>
      <c r="J12" s="71">
        <f>G7*J8</f>
        <v>302664.5610742693</v>
      </c>
      <c r="L12" s="11"/>
      <c r="M12" s="2"/>
      <c r="AF12" s="11"/>
      <c r="AJ12" s="14" t="s">
        <v>128</v>
      </c>
      <c r="AK12" s="71">
        <f>AH7*AK8</f>
        <v>123816.93438321822</v>
      </c>
      <c r="AM12" s="11"/>
      <c r="AN12" s="2"/>
    </row>
    <row r="13" spans="2:53" x14ac:dyDescent="0.3">
      <c r="E13" s="11"/>
      <c r="H13" s="13"/>
      <c r="I13" s="285" t="s">
        <v>129</v>
      </c>
      <c r="J13" s="71">
        <f>G7*J9</f>
        <v>424665.97328102292</v>
      </c>
      <c r="L13" s="18"/>
      <c r="M13" s="12" t="s">
        <v>8</v>
      </c>
      <c r="N13" s="30">
        <f>N14*G7</f>
        <v>23320.555923067055</v>
      </c>
      <c r="O13" s="30">
        <f>O14*G7</f>
        <v>17230.861059139108</v>
      </c>
      <c r="P13" s="30">
        <f>P14*G7</f>
        <v>30099.875078165373</v>
      </c>
      <c r="AF13" s="11"/>
      <c r="AI13" s="13"/>
      <c r="AJ13" s="285" t="s">
        <v>129</v>
      </c>
      <c r="AK13" s="71">
        <f>AH7*AK9</f>
        <v>175781.82174443404</v>
      </c>
      <c r="AM13" s="18"/>
      <c r="AN13" s="12" t="s">
        <v>8</v>
      </c>
      <c r="AO13" s="30">
        <f>AO14*AH7</f>
        <v>5625.4172344454973</v>
      </c>
      <c r="AP13" s="30">
        <f>AP14*AH7</f>
        <v>3246.1990651363853</v>
      </c>
      <c r="AQ13" s="30">
        <f>AQ14*AH7</f>
        <v>8549.7991631558289</v>
      </c>
    </row>
    <row r="14" spans="2:53" x14ac:dyDescent="0.3">
      <c r="E14" s="11"/>
      <c r="H14" s="13"/>
      <c r="I14" s="13"/>
      <c r="M14" s="2" t="s">
        <v>45</v>
      </c>
      <c r="N14" s="61">
        <f>'WiS percent RSV_base'!CF25</f>
        <v>1.1937204925982133E-2</v>
      </c>
      <c r="O14" s="61">
        <f>'WiS percent RSV_low'!CD25</f>
        <v>8.8200435784044334E-3</v>
      </c>
      <c r="P14" s="61">
        <f>'WiS percent RSV_high'!CD25</f>
        <v>1.540736757047545E-2</v>
      </c>
      <c r="AF14" s="11"/>
      <c r="AI14" s="13"/>
      <c r="AJ14" s="13"/>
      <c r="AN14" s="2" t="s">
        <v>45</v>
      </c>
      <c r="AO14" s="61">
        <f>'OoS percent RSV_base'!BG29</f>
        <v>2.879509328304896E-3</v>
      </c>
      <c r="AP14" s="61">
        <f>'OoS percent RSV_low'!BG29</f>
        <v>1.6616475009815412E-3</v>
      </c>
      <c r="AQ14" s="61">
        <f>'OoS percent RSV_high'!BG29</f>
        <v>4.3764267465695537E-3</v>
      </c>
    </row>
    <row r="15" spans="2:53" x14ac:dyDescent="0.3">
      <c r="E15" s="11"/>
      <c r="H15" s="13"/>
      <c r="AF15" s="11"/>
      <c r="AI15" s="13"/>
    </row>
    <row r="16" spans="2:53" x14ac:dyDescent="0.3">
      <c r="B16" t="s">
        <v>68</v>
      </c>
      <c r="E16" s="11"/>
      <c r="G16" t="s">
        <v>166</v>
      </c>
      <c r="H16" s="13"/>
      <c r="I16" s="55" t="s">
        <v>5</v>
      </c>
      <c r="J16" s="56">
        <f>N7+N10+N13</f>
        <v>363320.45503206091</v>
      </c>
      <c r="K16" s="56"/>
      <c r="M16" s="55" t="s">
        <v>5</v>
      </c>
      <c r="N16" s="56">
        <f>SUM(N7,N10,N13)</f>
        <v>363320.45503206091</v>
      </c>
      <c r="AC16" t="s">
        <v>68</v>
      </c>
      <c r="AF16" s="11"/>
      <c r="AH16" t="s">
        <v>166</v>
      </c>
      <c r="AI16" s="13"/>
      <c r="AJ16" s="55" t="s">
        <v>5</v>
      </c>
      <c r="AK16" s="56">
        <f>AO7+AO10+AO13</f>
        <v>149122.38524816369</v>
      </c>
      <c r="AL16" s="56"/>
      <c r="AN16" s="55" t="s">
        <v>5</v>
      </c>
      <c r="AO16" s="56">
        <f>SUM(AO7,AO10,AO13)</f>
        <v>149122.38524816369</v>
      </c>
    </row>
    <row r="17" spans="2:56" x14ac:dyDescent="0.3">
      <c r="B17" t="s">
        <v>68</v>
      </c>
      <c r="E17" s="11"/>
      <c r="G17" t="s">
        <v>36</v>
      </c>
      <c r="I17" t="s">
        <v>5</v>
      </c>
      <c r="J17" s="8">
        <f>J44+J56</f>
        <v>19334.787499999999</v>
      </c>
      <c r="M17" s="28"/>
      <c r="O17" s="2" t="s">
        <v>5</v>
      </c>
      <c r="P17" s="28">
        <f>P28+P45</f>
        <v>16292.207839145372</v>
      </c>
      <c r="Q17" s="19"/>
      <c r="R17" s="19"/>
      <c r="T17" s="2" t="s">
        <v>5</v>
      </c>
      <c r="U17" s="21">
        <f>X19+X22+X25+X30+X33+X36</f>
        <v>12319.62333430583</v>
      </c>
      <c r="AC17" t="s">
        <v>68</v>
      </c>
      <c r="AF17" s="11"/>
      <c r="AH17" t="s">
        <v>36</v>
      </c>
      <c r="AJ17" t="s">
        <v>5</v>
      </c>
      <c r="AK17" s="8">
        <f>AK44+AK56</f>
        <v>19334.787499999999</v>
      </c>
      <c r="AN17" s="28"/>
      <c r="AP17" s="2" t="s">
        <v>5</v>
      </c>
      <c r="AQ17" s="28">
        <f>AQ28+AQ45</f>
        <v>8171.7039274411336</v>
      </c>
      <c r="AR17" s="19"/>
      <c r="AS17" s="19"/>
      <c r="AU17" s="2" t="s">
        <v>5</v>
      </c>
      <c r="AV17" s="21">
        <f>AY19+AY22+AY25+AY30+AY33+AY36</f>
        <v>4329.0120070422536</v>
      </c>
    </row>
    <row r="18" spans="2:56" x14ac:dyDescent="0.3">
      <c r="E18" s="11"/>
      <c r="H18" s="13"/>
      <c r="X18" s="236" t="s">
        <v>127</v>
      </c>
      <c r="Y18" s="236" t="s">
        <v>128</v>
      </c>
      <c r="Z18" s="237" t="s">
        <v>129</v>
      </c>
      <c r="AF18" s="11"/>
      <c r="AI18" s="13"/>
      <c r="AY18" s="541" t="s">
        <v>127</v>
      </c>
      <c r="AZ18" s="541" t="s">
        <v>128</v>
      </c>
      <c r="BA18" s="540" t="s">
        <v>129</v>
      </c>
    </row>
    <row r="19" spans="2:56" x14ac:dyDescent="0.3">
      <c r="E19" s="11"/>
      <c r="W19" s="2" t="s">
        <v>64</v>
      </c>
      <c r="X19" s="33">
        <f>$J$44*$P$29*X20</f>
        <v>5587.1516185282053</v>
      </c>
      <c r="Y19" s="33">
        <f t="shared" ref="Y19:Z19" si="0">$J$44*$P$29*Y20</f>
        <v>4658.0909801999487</v>
      </c>
      <c r="Z19" s="33">
        <f t="shared" si="0"/>
        <v>6515.6562660495601</v>
      </c>
      <c r="AF19" s="11"/>
      <c r="AX19" s="2" t="s">
        <v>64</v>
      </c>
      <c r="AY19" s="33">
        <f>$AK$44*$AQ$29*AY20</f>
        <v>2869.6771067581026</v>
      </c>
      <c r="AZ19" s="33">
        <f t="shared" ref="AZ19:BA19" si="1">$AK$44*$AQ$29*AZ20</f>
        <v>2392.8401714023598</v>
      </c>
      <c r="BA19" s="33">
        <f t="shared" si="1"/>
        <v>3368.9533637807722</v>
      </c>
    </row>
    <row r="20" spans="2:56" x14ac:dyDescent="0.3">
      <c r="E20" s="11"/>
      <c r="S20" s="14" t="s">
        <v>128</v>
      </c>
      <c r="T20" s="103">
        <f>$P$28*T24</f>
        <v>15801.499439092395</v>
      </c>
      <c r="V20" s="16"/>
      <c r="W20" s="15" t="s">
        <v>40</v>
      </c>
      <c r="X20" s="61">
        <f>'WiS percent RSV_base'!AX70</f>
        <v>1.4910674201012974</v>
      </c>
      <c r="Y20" s="61">
        <f>'WiS percent RSV_low'!AW67</f>
        <v>1.2431249721971007</v>
      </c>
      <c r="Z20" s="61">
        <f>'WiS percent RSV_high'!AW69</f>
        <v>1.7388614883239231</v>
      </c>
      <c r="AF20" s="11"/>
      <c r="AT20" s="14" t="s">
        <v>128</v>
      </c>
      <c r="AU20" s="103">
        <f>$P$28*AU24</f>
        <v>7761.9873479254993</v>
      </c>
      <c r="AW20" s="16"/>
      <c r="AX20" s="15" t="s">
        <v>40</v>
      </c>
      <c r="AY20" s="61">
        <f>'OoS percent RSV_base'!AH72</f>
        <v>0.76584319385710953</v>
      </c>
      <c r="AZ20" s="61">
        <f>'OoS percent RSV_low'!AH72</f>
        <v>0.6385876497884504</v>
      </c>
      <c r="BA20" s="61">
        <f>'OoS percent RSV_high'!AH72</f>
        <v>0.89908721716369955</v>
      </c>
    </row>
    <row r="21" spans="2:56" x14ac:dyDescent="0.3">
      <c r="B21" s="10" t="s">
        <v>332</v>
      </c>
      <c r="C21" s="10"/>
      <c r="D21" s="90">
        <f>Antibody_Candidate!$B$43/12*'Input 4_RSV Season'!$AG$27</f>
        <v>1972937.5</v>
      </c>
      <c r="E21" s="11"/>
      <c r="O21" s="2"/>
      <c r="S21" s="285" t="s">
        <v>129</v>
      </c>
      <c r="T21" s="103">
        <f>$P$28*T25</f>
        <v>21076.392413725349</v>
      </c>
      <c r="V21" s="11"/>
      <c r="W21" s="2"/>
      <c r="AC21" s="500" t="s">
        <v>331</v>
      </c>
      <c r="AD21" s="500"/>
      <c r="AE21" s="90">
        <f>Antibody_Candidate!$B$43/12*(12-'Input 4_RSV Season'!$AG$27)</f>
        <v>1972937.5</v>
      </c>
      <c r="AF21" s="11"/>
      <c r="AP21" s="2"/>
      <c r="AT21" s="285" t="s">
        <v>129</v>
      </c>
      <c r="AU21" s="103">
        <f>$P$28*AU25</f>
        <v>10754.309454730441</v>
      </c>
      <c r="AW21" s="11"/>
      <c r="AX21" s="2"/>
    </row>
    <row r="22" spans="2:56" x14ac:dyDescent="0.3">
      <c r="C22" s="8"/>
      <c r="E22" s="11"/>
      <c r="O22" s="235"/>
      <c r="S22" s="12" t="s">
        <v>295</v>
      </c>
      <c r="T22" s="90">
        <f>$P$28*T23</f>
        <v>18424.981464884699</v>
      </c>
      <c r="U22" s="90"/>
      <c r="V22" s="18"/>
      <c r="W22" s="12" t="s">
        <v>65</v>
      </c>
      <c r="X22" s="33">
        <f>$J$44*$P$29*X23</f>
        <v>2098.309305236884</v>
      </c>
      <c r="Y22" s="33">
        <f t="shared" ref="Y22:Z22" si="2">$J$44*$P$29*Y23</f>
        <v>1796.4062970907189</v>
      </c>
      <c r="Z22" s="33">
        <f t="shared" si="2"/>
        <v>2400.7683041899477</v>
      </c>
      <c r="AD22" s="8"/>
      <c r="AF22" s="11"/>
      <c r="AP22" s="235"/>
      <c r="AT22" s="12" t="s">
        <v>295</v>
      </c>
      <c r="AU22" s="90">
        <f>$P$28*AU23</f>
        <v>9241.4419755847157</v>
      </c>
      <c r="AV22" s="90"/>
      <c r="AW22" s="18"/>
      <c r="AX22" s="12" t="s">
        <v>65</v>
      </c>
      <c r="AY22" s="33">
        <f>$AK$44*$AQ$29*AY23</f>
        <v>1140.5766562223894</v>
      </c>
      <c r="AZ22" s="33">
        <f t="shared" ref="AZ22" si="3">$AK$44*$AQ$29*AZ23</f>
        <v>976.69603531968721</v>
      </c>
      <c r="BA22" s="33">
        <f t="shared" ref="BA22" si="4">$AK$44*$AQ$29*BA23</f>
        <v>1304.6400200308426</v>
      </c>
    </row>
    <row r="23" spans="2:56" x14ac:dyDescent="0.3">
      <c r="E23" s="11"/>
      <c r="S23" s="59" t="s">
        <v>87</v>
      </c>
      <c r="T23" s="96">
        <f>SUM(X20,X23,X26)</f>
        <v>2.2174658581401898</v>
      </c>
      <c r="U23" s="96"/>
      <c r="V23" s="11"/>
      <c r="W23" s="2" t="s">
        <v>41</v>
      </c>
      <c r="X23" s="61">
        <f>'WiS percent RSV_base'!AX46</f>
        <v>0.55998491824682028</v>
      </c>
      <c r="Y23" s="61">
        <f>'WiS percent RSV_low'!AW44</f>
        <v>0.47941475115407434</v>
      </c>
      <c r="Z23" s="61">
        <f>'WiS percent RSV_high'!AW45</f>
        <v>0.64070346502113651</v>
      </c>
      <c r="AF23" s="11"/>
      <c r="AT23" s="59" t="s">
        <v>87</v>
      </c>
      <c r="AU23" s="96">
        <f>SUM(AY26,AY23,AY20)</f>
        <v>1.1122172415694733</v>
      </c>
      <c r="AV23" s="96"/>
      <c r="AW23" s="11"/>
      <c r="AX23" s="2" t="s">
        <v>41</v>
      </c>
      <c r="AY23" s="61">
        <f>'OoS percent RSV_base'!AH49</f>
        <v>0.30439064631456758</v>
      </c>
      <c r="AZ23" s="61">
        <f>'OoS percent RSV_low'!AH49</f>
        <v>0.26065511320255214</v>
      </c>
      <c r="BA23" s="61">
        <f>'OoS percent RSV_high'!AH49</f>
        <v>0.34817494881958039</v>
      </c>
    </row>
    <row r="24" spans="2:56" x14ac:dyDescent="0.3">
      <c r="E24" s="11"/>
      <c r="N24" s="13"/>
      <c r="S24" s="300" t="s">
        <v>128</v>
      </c>
      <c r="T24" s="96">
        <f>SUM(Y20,Y23,Y26)</f>
        <v>1.9017270427320898</v>
      </c>
      <c r="V24" s="11"/>
      <c r="W24" s="2"/>
      <c r="AF24" s="11"/>
      <c r="AO24" s="13"/>
      <c r="AT24" s="300" t="s">
        <v>128</v>
      </c>
      <c r="AU24" s="96">
        <f>SUM(AZ20,AZ23,AZ26)</f>
        <v>0.9341633242966535</v>
      </c>
      <c r="AW24" s="11"/>
      <c r="AX24" s="2"/>
    </row>
    <row r="25" spans="2:56" x14ac:dyDescent="0.3">
      <c r="E25" s="11"/>
      <c r="N25" s="13"/>
      <c r="O25" s="13"/>
      <c r="S25" s="300" t="s">
        <v>129</v>
      </c>
      <c r="T25" s="96">
        <f>SUM(Z20,Z23,Z26)</f>
        <v>2.5365659487513268</v>
      </c>
      <c r="V25" s="18"/>
      <c r="W25" s="12" t="s">
        <v>66</v>
      </c>
      <c r="X25" s="33">
        <f>$J$44*$P$29*X26</f>
        <v>623.56507419904949</v>
      </c>
      <c r="Y25" s="33">
        <f t="shared" ref="Y25:Z25" si="5">$J$44*$P$29*Y26</f>
        <v>671.4295463787912</v>
      </c>
      <c r="Z25" s="33">
        <f t="shared" si="5"/>
        <v>588.29557521622462</v>
      </c>
      <c r="AF25" s="11"/>
      <c r="AO25" s="13"/>
      <c r="AP25" s="13"/>
      <c r="AT25" s="300" t="s">
        <v>129</v>
      </c>
      <c r="AU25" s="96">
        <f>SUM(BA20,BA23,BA26)</f>
        <v>1.2942924305887886</v>
      </c>
      <c r="AW25" s="18"/>
      <c r="AX25" s="12" t="s">
        <v>66</v>
      </c>
      <c r="AY25" s="33">
        <f>$AK$44*$AQ$29*AY26</f>
        <v>157.31524001448628</v>
      </c>
      <c r="AZ25" s="33">
        <f t="shared" ref="AZ25" si="6">$AK$44*$AQ$29*AZ26</f>
        <v>130.85020032529911</v>
      </c>
      <c r="BA25" s="33">
        <f t="shared" ref="BA25" si="7">$AK$44*$AQ$29*BA26</f>
        <v>176.22624937551518</v>
      </c>
    </row>
    <row r="26" spans="2:56" x14ac:dyDescent="0.3">
      <c r="E26" s="11"/>
      <c r="H26" s="13"/>
      <c r="N26" s="13"/>
      <c r="O26" s="13"/>
      <c r="P26" s="13"/>
      <c r="S26" s="11"/>
      <c r="W26" s="2" t="s">
        <v>40</v>
      </c>
      <c r="X26" s="61">
        <f>'WiS percent RSV_base'!AX21</f>
        <v>0.16641351979207206</v>
      </c>
      <c r="Y26" s="61">
        <f>'WiS percent RSV_low'!AW21</f>
        <v>0.17918731938091481</v>
      </c>
      <c r="Z26" s="61">
        <f>'WiS percent RSV_high'!AW21</f>
        <v>0.15700099540626716</v>
      </c>
      <c r="AF26" s="11"/>
      <c r="AI26" s="13"/>
      <c r="AO26" s="13"/>
      <c r="AP26" s="13"/>
      <c r="AQ26" s="13"/>
      <c r="AT26" s="11"/>
      <c r="AX26" s="2" t="s">
        <v>40</v>
      </c>
      <c r="AY26" s="61">
        <f>'OoS percent RSV_base'!AH28</f>
        <v>4.1983401397796216E-2</v>
      </c>
      <c r="AZ26" s="61">
        <f>'OoS percent RSV_low'!AH28</f>
        <v>3.4920561305651056E-2</v>
      </c>
      <c r="BA26" s="61">
        <f>'OoS percent RSV_high'!AH28</f>
        <v>4.7030264605508632E-2</v>
      </c>
    </row>
    <row r="27" spans="2:56" x14ac:dyDescent="0.3">
      <c r="E27" s="11"/>
      <c r="N27" s="13"/>
      <c r="O27" s="13"/>
      <c r="S27" s="11"/>
      <c r="AF27" s="11"/>
      <c r="AO27" s="13"/>
      <c r="AP27" s="13"/>
      <c r="AT27" s="11"/>
    </row>
    <row r="28" spans="2:56" x14ac:dyDescent="0.3">
      <c r="E28" s="11"/>
      <c r="L28" s="2"/>
      <c r="M28" s="13"/>
      <c r="O28" s="2" t="s">
        <v>12</v>
      </c>
      <c r="P28" s="33">
        <f>M39*P29</f>
        <v>8309.0259979641396</v>
      </c>
      <c r="Q28" s="494"/>
      <c r="R28" s="51"/>
      <c r="S28" s="65" t="s">
        <v>9</v>
      </c>
      <c r="T28" s="62" t="s">
        <v>37</v>
      </c>
      <c r="AF28" s="11"/>
      <c r="AM28" s="2"/>
      <c r="AN28" s="13"/>
      <c r="AP28" s="2" t="s">
        <v>12</v>
      </c>
      <c r="AQ28" s="33">
        <f>AN39*AQ29</f>
        <v>4167.5690029949783</v>
      </c>
      <c r="AR28" s="500"/>
      <c r="AS28" s="51"/>
      <c r="AT28" s="65" t="s">
        <v>9</v>
      </c>
      <c r="AU28" s="62" t="s">
        <v>37</v>
      </c>
      <c r="BD28" s="28"/>
    </row>
    <row r="29" spans="2:56" x14ac:dyDescent="0.3">
      <c r="E29" s="11"/>
      <c r="L29" s="2"/>
      <c r="M29" s="13"/>
      <c r="O29" s="64" t="s">
        <v>47</v>
      </c>
      <c r="P29" s="66">
        <f>'Input 6_Product Efficacy'!K9</f>
        <v>0.51</v>
      </c>
      <c r="S29" s="11" t="s">
        <v>288</v>
      </c>
      <c r="X29" s="493" t="s">
        <v>160</v>
      </c>
      <c r="Y29" s="493" t="s">
        <v>161</v>
      </c>
      <c r="Z29" s="493" t="s">
        <v>162</v>
      </c>
      <c r="AF29" s="11"/>
      <c r="AM29" s="2"/>
      <c r="AN29" s="13"/>
      <c r="AP29" s="64" t="s">
        <v>47</v>
      </c>
      <c r="AQ29" s="66">
        <f>P29</f>
        <v>0.51</v>
      </c>
      <c r="AT29" s="11" t="s">
        <v>288</v>
      </c>
      <c r="AY29" s="540" t="s">
        <v>160</v>
      </c>
      <c r="AZ29" s="540" t="s">
        <v>161</v>
      </c>
      <c r="BA29" s="540" t="s">
        <v>162</v>
      </c>
    </row>
    <row r="30" spans="2:56" x14ac:dyDescent="0.3">
      <c r="E30" s="11"/>
      <c r="L30" s="2"/>
      <c r="M30" s="13"/>
      <c r="O30" s="11"/>
      <c r="S30" s="11"/>
      <c r="W30" s="12" t="s">
        <v>6</v>
      </c>
      <c r="X30" s="33">
        <f>$J$44*X31</f>
        <v>3152.7949285332397</v>
      </c>
      <c r="Y30" s="33">
        <f t="shared" ref="Y30" si="8">$J$44*Y31</f>
        <v>2628.4192851637763</v>
      </c>
      <c r="Z30" s="33">
        <f>$J$44*Z31</f>
        <v>3676.0803938499603</v>
      </c>
      <c r="AF30" s="11"/>
      <c r="AM30" s="2"/>
      <c r="AN30" s="13"/>
      <c r="AP30" s="11"/>
      <c r="AT30" s="11"/>
      <c r="AX30" s="12" t="s">
        <v>6</v>
      </c>
      <c r="AY30" s="33">
        <f>$AK$44*AY31</f>
        <v>110.3965176932181</v>
      </c>
      <c r="AZ30" s="33">
        <f>$AK$44*AZ31</f>
        <v>92.05092434730868</v>
      </c>
      <c r="BA30" s="33">
        <f>$AK$44*BA31</f>
        <v>129.5987871492413</v>
      </c>
    </row>
    <row r="31" spans="2:56" x14ac:dyDescent="0.3">
      <c r="E31" s="11"/>
      <c r="L31" s="2"/>
      <c r="M31" s="13"/>
      <c r="O31" s="11"/>
      <c r="S31" s="59" t="s">
        <v>128</v>
      </c>
      <c r="T31" s="103">
        <f>$P$28*T36</f>
        <v>3801.9459137377357</v>
      </c>
      <c r="V31" s="16"/>
      <c r="W31" s="2" t="s">
        <v>82</v>
      </c>
      <c r="X31" s="61">
        <f>'WiS percent RSV_base'!AX71</f>
        <v>0.42911403910169688</v>
      </c>
      <c r="Y31" s="61">
        <f>'WiS percent RSV_low'!AW68</f>
        <v>0.35774341226631784</v>
      </c>
      <c r="Z31" s="61">
        <f>'WiS percent RSV_high'!AW70</f>
        <v>0.50033628625550552</v>
      </c>
      <c r="AF31" s="11"/>
      <c r="AM31" s="2"/>
      <c r="AN31" s="13"/>
      <c r="AP31" s="11"/>
      <c r="AT31" s="59" t="s">
        <v>128</v>
      </c>
      <c r="AU31" s="103">
        <f>$P$28*AU36</f>
        <v>152.50779957620117</v>
      </c>
      <c r="AW31" s="16"/>
      <c r="AX31" s="2" t="s">
        <v>82</v>
      </c>
      <c r="AY31" s="61">
        <f>'OoS percent RSV_base'!AI72</f>
        <v>1.5025619072578801E-2</v>
      </c>
      <c r="AZ31" s="61">
        <f>'OoS percent RSV_low'!AI72</f>
        <v>1.2528675300836938E-2</v>
      </c>
      <c r="BA31" s="61">
        <f>'OoS percent RSV_high'!AI72</f>
        <v>1.7639161530294788E-2</v>
      </c>
    </row>
    <row r="32" spans="2:56" x14ac:dyDescent="0.3">
      <c r="E32" s="11"/>
      <c r="L32" s="2"/>
      <c r="M32" s="13"/>
      <c r="O32" s="11"/>
      <c r="S32" s="59" t="s">
        <v>129</v>
      </c>
      <c r="T32" s="103">
        <f>$P$28*T37</f>
        <v>5263.6940697616437</v>
      </c>
      <c r="V32" s="11"/>
      <c r="W32" s="2"/>
      <c r="AA32" s="13"/>
      <c r="AF32" s="11"/>
      <c r="AM32" s="2"/>
      <c r="AN32" s="13"/>
      <c r="AP32" s="11"/>
      <c r="AT32" s="59" t="s">
        <v>129</v>
      </c>
      <c r="AU32" s="103">
        <f>$P$28*AU37</f>
        <v>213.22711852457621</v>
      </c>
      <c r="AW32" s="11"/>
      <c r="AX32" s="2"/>
      <c r="BB32" s="13"/>
    </row>
    <row r="33" spans="5:53" x14ac:dyDescent="0.3">
      <c r="E33" s="11"/>
      <c r="L33" s="2"/>
      <c r="M33" s="13"/>
      <c r="O33" s="11"/>
      <c r="S33" s="65" t="s">
        <v>83</v>
      </c>
      <c r="T33" s="90">
        <f>$P$28*T34</f>
        <v>4535.6149586837</v>
      </c>
      <c r="U33" s="494"/>
      <c r="V33" s="18"/>
      <c r="W33" s="12" t="s">
        <v>7</v>
      </c>
      <c r="X33" s="33">
        <f>$J$44*X34</f>
        <v>777.29695160587835</v>
      </c>
      <c r="Y33" s="33">
        <f t="shared" ref="Y33:Z33" si="9">$J$44*Y34</f>
        <v>666.09879022607538</v>
      </c>
      <c r="Z33" s="33">
        <f t="shared" si="9"/>
        <v>889.58529103842454</v>
      </c>
      <c r="AF33" s="11"/>
      <c r="AM33" s="2"/>
      <c r="AN33" s="13"/>
      <c r="AP33" s="11"/>
      <c r="AT33" s="65" t="s">
        <v>83</v>
      </c>
      <c r="AU33" s="90">
        <f>$P$28*AU34</f>
        <v>182.57711825031561</v>
      </c>
      <c r="AV33" s="500"/>
      <c r="AW33" s="18"/>
      <c r="AX33" s="12" t="s">
        <v>7</v>
      </c>
      <c r="AY33" s="33">
        <f>$AK$44*AY34</f>
        <v>45.152332553870188</v>
      </c>
      <c r="AZ33" s="33">
        <f>$AK$44*AZ34</f>
        <v>38.660066652446233</v>
      </c>
      <c r="BA33" s="33">
        <f>$AK$44*BA34</f>
        <v>51.62891911713551</v>
      </c>
    </row>
    <row r="34" spans="5:53" x14ac:dyDescent="0.3">
      <c r="E34" s="11"/>
      <c r="L34" s="2"/>
      <c r="M34" s="13"/>
      <c r="O34" s="11"/>
      <c r="S34" s="2" t="s">
        <v>294</v>
      </c>
      <c r="T34" s="96">
        <f>SUM(X31,X34,X37)</f>
        <v>0.54586602085431035</v>
      </c>
      <c r="V34" s="11"/>
      <c r="W34" s="2" t="s">
        <v>81</v>
      </c>
      <c r="X34" s="61">
        <f>'WiS percent RSV_base'!AX47</f>
        <v>0.10579471295971989</v>
      </c>
      <c r="Y34" s="61">
        <f>'WiS percent RSV_low'!AW45</f>
        <v>9.0659985439535573E-2</v>
      </c>
      <c r="Z34" s="61">
        <f>'WiS percent RSV_high'!AW46</f>
        <v>0.12107782016147464</v>
      </c>
      <c r="AF34" s="11"/>
      <c r="AM34" s="2"/>
      <c r="AN34" s="13"/>
      <c r="AP34" s="11"/>
      <c r="AT34" s="2" t="s">
        <v>294</v>
      </c>
      <c r="AU34" s="96">
        <f>SUM(AY31,AY34,AY37)</f>
        <v>2.1973347814178253E-2</v>
      </c>
      <c r="AW34" s="11"/>
      <c r="AX34" s="2" t="s">
        <v>81</v>
      </c>
      <c r="AY34" s="61">
        <f>'OoS percent RSV_base'!AI49</f>
        <v>6.1454995444528478E-3</v>
      </c>
      <c r="AZ34" s="61">
        <f>'OoS percent RSV_low'!AI49</f>
        <v>5.2618637523912512E-3</v>
      </c>
      <c r="BA34" s="61">
        <f>'OoS percent RSV_high'!AI49</f>
        <v>7.0270012858450514E-3</v>
      </c>
    </row>
    <row r="35" spans="5:53" x14ac:dyDescent="0.3">
      <c r="E35" s="11"/>
      <c r="L35" s="2"/>
      <c r="M35" s="13"/>
      <c r="O35" s="11"/>
      <c r="S35" s="14" t="s">
        <v>282</v>
      </c>
      <c r="V35" s="11"/>
      <c r="W35" s="2"/>
      <c r="AF35" s="11"/>
      <c r="AM35" s="2"/>
      <c r="AN35" s="13"/>
      <c r="AP35" s="11"/>
      <c r="AT35" s="14" t="s">
        <v>282</v>
      </c>
      <c r="AW35" s="11"/>
      <c r="AX35" s="2"/>
    </row>
    <row r="36" spans="5:53" x14ac:dyDescent="0.3">
      <c r="E36" s="11"/>
      <c r="L36" s="2" t="s">
        <v>128</v>
      </c>
      <c r="M36" s="28">
        <f>$J$44*M41</f>
        <v>13972.405536606781</v>
      </c>
      <c r="O36" s="11"/>
      <c r="S36" s="14" t="s">
        <v>128</v>
      </c>
      <c r="T36" s="96">
        <f>SUM(Y31,Y34,Y37)</f>
        <v>0.45756818123679965</v>
      </c>
      <c r="V36" s="18"/>
      <c r="W36" s="12" t="s">
        <v>8</v>
      </c>
      <c r="X36" s="33">
        <f>$J$44*X37</f>
        <v>80.505456202572333</v>
      </c>
      <c r="Y36" s="33">
        <f t="shared" ref="Y36:Z36" si="10">$J$44*Y37</f>
        <v>67.335673980651308</v>
      </c>
      <c r="Z36" s="33">
        <f t="shared" si="10"/>
        <v>88.732364286006757</v>
      </c>
      <c r="AF36" s="11"/>
      <c r="AM36" s="2" t="s">
        <v>128</v>
      </c>
      <c r="AN36" s="28">
        <f>$J$44*AN41</f>
        <v>6863.5027589163647</v>
      </c>
      <c r="AP36" s="11"/>
      <c r="AT36" s="14" t="s">
        <v>128</v>
      </c>
      <c r="AU36" s="96">
        <f>SUM(AZ31,AZ34,AZ37)</f>
        <v>1.835447375102308E-2</v>
      </c>
      <c r="AW36" s="18"/>
      <c r="AX36" s="12" t="s">
        <v>8</v>
      </c>
      <c r="AY36" s="33">
        <f>$AK$44*AY37</f>
        <v>5.8941538001875697</v>
      </c>
      <c r="AZ36" s="33">
        <f>$AK$44*AZ37</f>
        <v>4.1433518673815346</v>
      </c>
      <c r="BA36" s="33">
        <f>$AK$44*BA37</f>
        <v>7.3174240809887428</v>
      </c>
    </row>
    <row r="37" spans="5:53" x14ac:dyDescent="0.3">
      <c r="E37" s="11"/>
      <c r="L37" s="235" t="s">
        <v>129</v>
      </c>
      <c r="M37" s="28">
        <f>$J$44*M42</f>
        <v>18636.70616756026</v>
      </c>
      <c r="O37" s="11"/>
      <c r="S37" s="285" t="s">
        <v>129</v>
      </c>
      <c r="T37" s="96">
        <f>SUM(Z31,Z34,Z37)</f>
        <v>0.63349110606361603</v>
      </c>
      <c r="W37" s="2" t="s">
        <v>80</v>
      </c>
      <c r="X37" s="61">
        <f>'WiS percent RSV_base'!AX22</f>
        <v>1.095726879289363E-2</v>
      </c>
      <c r="Y37" s="61">
        <f>'WiS percent RSV_low'!AW22</f>
        <v>9.1647835309462584E-3</v>
      </c>
      <c r="Z37" s="61">
        <f>'WiS percent RSV_high'!AW22</f>
        <v>1.2076999646635939E-2</v>
      </c>
      <c r="AF37" s="11"/>
      <c r="AM37" s="235" t="s">
        <v>129</v>
      </c>
      <c r="AN37" s="28">
        <f>$J$44*AN42</f>
        <v>9509.4502611512362</v>
      </c>
      <c r="AP37" s="11"/>
      <c r="AT37" s="285" t="s">
        <v>129</v>
      </c>
      <c r="AU37" s="96">
        <f>SUM(BA31,BA34,BA37)</f>
        <v>2.5662107517393819E-2</v>
      </c>
      <c r="AX37" s="2" t="s">
        <v>80</v>
      </c>
      <c r="AY37" s="61">
        <f>'OoS percent RSV_base'!AI28</f>
        <v>8.0222919714660352E-4</v>
      </c>
      <c r="AZ37" s="61">
        <f>'OoS percent RSV_low'!AI28</f>
        <v>5.6393469779488815E-4</v>
      </c>
      <c r="BA37" s="61">
        <f>'OoS percent RSV_high'!AI28</f>
        <v>9.9594470125398036E-4</v>
      </c>
    </row>
    <row r="38" spans="5:53" x14ac:dyDescent="0.3">
      <c r="E38" s="11"/>
      <c r="L38" s="2" t="s">
        <v>32</v>
      </c>
      <c r="M38" s="13"/>
      <c r="O38" s="11"/>
      <c r="T38" s="2"/>
      <c r="U38" s="61"/>
      <c r="V38" s="61"/>
      <c r="W38" s="61"/>
      <c r="AF38" s="11"/>
      <c r="AM38" s="2" t="s">
        <v>32</v>
      </c>
      <c r="AN38" s="13"/>
      <c r="AP38" s="11"/>
      <c r="AU38" s="2"/>
      <c r="AV38" s="61"/>
      <c r="AW38" s="61"/>
      <c r="AX38" s="61"/>
    </row>
    <row r="39" spans="5:53" x14ac:dyDescent="0.3">
      <c r="E39" s="11"/>
      <c r="L39" s="2" t="s">
        <v>33</v>
      </c>
      <c r="M39" s="33">
        <f>$J$44*M40</f>
        <v>16292.207839145371</v>
      </c>
      <c r="O39" s="11"/>
      <c r="U39" s="13"/>
      <c r="Y39" s="8"/>
      <c r="AF39" s="11"/>
      <c r="AM39" s="2" t="s">
        <v>33</v>
      </c>
      <c r="AN39" s="33">
        <f>$J$44*AN40</f>
        <v>8171.7039274411336</v>
      </c>
      <c r="AP39" s="11"/>
      <c r="AZ39" s="8"/>
    </row>
    <row r="40" spans="5:53" x14ac:dyDescent="0.3">
      <c r="E40" s="11"/>
      <c r="L40" s="16" t="s">
        <v>42</v>
      </c>
      <c r="M40" s="68">
        <f>U42+U45+U48</f>
        <v>2.2174658581401898</v>
      </c>
      <c r="N40" s="17"/>
      <c r="O40" s="11"/>
      <c r="P40" s="13"/>
      <c r="Q40" s="13"/>
      <c r="R40" s="13"/>
      <c r="U40" s="236" t="s">
        <v>127</v>
      </c>
      <c r="V40" s="236" t="s">
        <v>128</v>
      </c>
      <c r="W40" s="237" t="s">
        <v>129</v>
      </c>
      <c r="Y40" s="8"/>
      <c r="AF40" s="11"/>
      <c r="AM40" s="16" t="s">
        <v>42</v>
      </c>
      <c r="AN40" s="68">
        <f>AV48+AV45+AV42</f>
        <v>1.1122172415694733</v>
      </c>
      <c r="AO40" s="17"/>
      <c r="AP40" s="11"/>
      <c r="AQ40" s="13"/>
      <c r="AR40" s="13"/>
      <c r="AS40" s="13"/>
      <c r="AV40" s="541" t="s">
        <v>127</v>
      </c>
      <c r="AW40" s="541" t="s">
        <v>128</v>
      </c>
      <c r="AX40" s="540" t="s">
        <v>129</v>
      </c>
      <c r="AZ40" s="8"/>
    </row>
    <row r="41" spans="5:53" x14ac:dyDescent="0.3">
      <c r="E41" s="11"/>
      <c r="L41" s="59" t="s">
        <v>128</v>
      </c>
      <c r="M41" s="68">
        <f>V42+V45+V48</f>
        <v>1.9017270427320898</v>
      </c>
      <c r="O41" s="11"/>
      <c r="P41" s="13"/>
      <c r="T41" s="2" t="s">
        <v>67</v>
      </c>
      <c r="U41" s="33">
        <f>$J$44*$P$44*U42</f>
        <v>5368.0476334878831</v>
      </c>
      <c r="V41" s="33">
        <f>$J$44*$P$44*V42</f>
        <v>4475.4207456823033</v>
      </c>
      <c r="W41" s="33">
        <f>$J$44*$P$44*W42</f>
        <v>6260.1403340476163</v>
      </c>
      <c r="Y41" s="8"/>
      <c r="AF41" s="11"/>
      <c r="AM41" s="59" t="s">
        <v>128</v>
      </c>
      <c r="AN41" s="68">
        <f>AW42+AW45+AW48</f>
        <v>0.9341633242966535</v>
      </c>
      <c r="AP41" s="11"/>
      <c r="AQ41" s="13"/>
      <c r="AU41" s="2" t="s">
        <v>67</v>
      </c>
      <c r="AV41" s="33">
        <f>$AK$44*$AQ$44*AV42</f>
        <v>2757.1407496303336</v>
      </c>
      <c r="AW41" s="33">
        <f>$AK$44*$AQ$44*AW42</f>
        <v>2299.0033019356006</v>
      </c>
      <c r="AX41" s="33">
        <f>$AK$44*$AQ$44*AX42</f>
        <v>3236.837545593291</v>
      </c>
      <c r="AZ41" s="8"/>
    </row>
    <row r="42" spans="5:53" x14ac:dyDescent="0.3">
      <c r="E42" s="11"/>
      <c r="I42" s="2"/>
      <c r="L42" s="238" t="s">
        <v>129</v>
      </c>
      <c r="M42" s="68">
        <f>W42+W45+W48</f>
        <v>2.5365659487513268</v>
      </c>
      <c r="O42" s="59"/>
      <c r="P42" s="13"/>
      <c r="S42" s="16"/>
      <c r="T42" s="15" t="s">
        <v>40</v>
      </c>
      <c r="U42" s="61">
        <f>X20</f>
        <v>1.4910674201012974</v>
      </c>
      <c r="V42" s="61">
        <f t="shared" ref="V42:W42" si="11">Y20</f>
        <v>1.2431249721971007</v>
      </c>
      <c r="W42" s="61">
        <f t="shared" si="11"/>
        <v>1.7388614883239231</v>
      </c>
      <c r="AF42" s="11"/>
      <c r="AJ42" s="2"/>
      <c r="AM42" s="238" t="s">
        <v>129</v>
      </c>
      <c r="AN42" s="68">
        <f>AX42+AX45+AX48</f>
        <v>1.2942924305887886</v>
      </c>
      <c r="AP42" s="59"/>
      <c r="AQ42" s="13"/>
      <c r="AT42" s="16"/>
      <c r="AU42" s="15" t="s">
        <v>40</v>
      </c>
      <c r="AV42" s="61">
        <f>AY20</f>
        <v>0.76584319385710953</v>
      </c>
      <c r="AW42" s="61">
        <f t="shared" ref="AW42" si="12">AZ20</f>
        <v>0.6385876497884504</v>
      </c>
      <c r="AX42" s="61">
        <f t="shared" ref="AX42" si="13">BA20</f>
        <v>0.89908721716369955</v>
      </c>
    </row>
    <row r="43" spans="5:53" x14ac:dyDescent="0.3">
      <c r="E43" s="11"/>
      <c r="I43" s="235"/>
      <c r="L43" s="11"/>
      <c r="M43" s="13"/>
      <c r="N43" s="13"/>
      <c r="O43" s="238"/>
      <c r="P43" s="13"/>
      <c r="S43" s="11"/>
      <c r="T43" s="2"/>
      <c r="AF43" s="11"/>
      <c r="AJ43" s="235"/>
      <c r="AM43" s="11"/>
      <c r="AN43" s="13"/>
      <c r="AO43" s="13"/>
      <c r="AP43" s="238"/>
      <c r="AQ43" s="13"/>
      <c r="AT43" s="11"/>
      <c r="AU43" s="2"/>
    </row>
    <row r="44" spans="5:53" x14ac:dyDescent="0.3">
      <c r="E44" s="11"/>
      <c r="I44" s="12" t="s">
        <v>69</v>
      </c>
      <c r="J44" s="30">
        <f>G51*J45</f>
        <v>7347.2192499999992</v>
      </c>
      <c r="K44" s="10"/>
      <c r="L44" s="11"/>
      <c r="M44" s="13"/>
      <c r="O44" s="65" t="s">
        <v>48</v>
      </c>
      <c r="P44" s="67">
        <f>1-'Input 6_Product Efficacy'!K9</f>
        <v>0.49</v>
      </c>
      <c r="Q44" s="10"/>
      <c r="R44" s="10"/>
      <c r="S44" s="18"/>
      <c r="T44" s="12" t="s">
        <v>7</v>
      </c>
      <c r="U44" s="33">
        <f>$J$44*$P$44*U45</f>
        <v>2016.0226658158299</v>
      </c>
      <c r="V44" s="33">
        <f>$J$44*$P$44*V45</f>
        <v>1725.9589913224554</v>
      </c>
      <c r="W44" s="33">
        <f>$J$44*$P$44*W45</f>
        <v>2306.6205275550478</v>
      </c>
      <c r="AF44" s="11"/>
      <c r="AJ44" s="12" t="s">
        <v>69</v>
      </c>
      <c r="AK44" s="30">
        <f>AH51*AK45</f>
        <v>7347.2192499999992</v>
      </c>
      <c r="AL44" s="500"/>
      <c r="AM44" s="11"/>
      <c r="AN44" s="13"/>
      <c r="AP44" s="65" t="s">
        <v>48</v>
      </c>
      <c r="AQ44" s="67">
        <f>P44</f>
        <v>0.49</v>
      </c>
      <c r="AR44" s="500"/>
      <c r="AS44" s="500"/>
      <c r="AT44" s="18"/>
      <c r="AU44" s="12" t="s">
        <v>7</v>
      </c>
      <c r="AV44" s="33">
        <f>$AK$44*$AQ$44*AV45</f>
        <v>1095.8481598999429</v>
      </c>
      <c r="AW44" s="33">
        <f>$AK$44*$AQ$44*AW45</f>
        <v>938.39423001303282</v>
      </c>
      <c r="AX44" s="33">
        <f>$AK$44*$AQ$44*AX45</f>
        <v>1253.477666304143</v>
      </c>
    </row>
    <row r="45" spans="5:53" x14ac:dyDescent="0.3">
      <c r="E45" s="11"/>
      <c r="I45" s="59" t="s">
        <v>29</v>
      </c>
      <c r="J45" s="60">
        <f>'Input 5_Product Uptake'!M9</f>
        <v>0.38</v>
      </c>
      <c r="L45" s="11"/>
      <c r="M45" s="13"/>
      <c r="O45" s="2" t="s">
        <v>13</v>
      </c>
      <c r="P45" s="71">
        <f>M39*P44</f>
        <v>7983.1818411812319</v>
      </c>
      <c r="S45" s="11"/>
      <c r="T45" s="2" t="s">
        <v>41</v>
      </c>
      <c r="U45" s="61">
        <f>X23</f>
        <v>0.55998491824682028</v>
      </c>
      <c r="V45" s="61">
        <f t="shared" ref="V45:W45" si="14">Y23</f>
        <v>0.47941475115407434</v>
      </c>
      <c r="W45" s="61">
        <f t="shared" si="14"/>
        <v>0.64070346502113651</v>
      </c>
      <c r="AF45" s="11"/>
      <c r="AJ45" s="59" t="s">
        <v>29</v>
      </c>
      <c r="AK45" s="60">
        <f>J45</f>
        <v>0.38</v>
      </c>
      <c r="AM45" s="11"/>
      <c r="AN45" s="13"/>
      <c r="AP45" s="2" t="s">
        <v>13</v>
      </c>
      <c r="AQ45" s="71">
        <f>AN39*AQ44</f>
        <v>4004.1349244461553</v>
      </c>
      <c r="AT45" s="11"/>
      <c r="AU45" s="2" t="s">
        <v>41</v>
      </c>
      <c r="AV45" s="61">
        <f>AY23</f>
        <v>0.30439064631456758</v>
      </c>
      <c r="AW45" s="61">
        <f t="shared" ref="AW45" si="15">AZ23</f>
        <v>0.26065511320255214</v>
      </c>
      <c r="AX45" s="61">
        <f t="shared" ref="AX45" si="16">BA23</f>
        <v>0.34817494881958039</v>
      </c>
    </row>
    <row r="46" spans="5:53" x14ac:dyDescent="0.3">
      <c r="E46" s="11"/>
      <c r="I46" s="59"/>
      <c r="L46" s="11"/>
      <c r="M46" s="13"/>
      <c r="O46" s="2" t="s">
        <v>10</v>
      </c>
      <c r="P46" s="13"/>
      <c r="S46" s="11"/>
      <c r="T46" s="2"/>
      <c r="AF46" s="11"/>
      <c r="AJ46" s="59"/>
      <c r="AM46" s="11"/>
      <c r="AN46" s="13"/>
      <c r="AP46" s="2" t="s">
        <v>10</v>
      </c>
      <c r="AQ46" s="13"/>
      <c r="AT46" s="11"/>
      <c r="AU46" s="2"/>
    </row>
    <row r="47" spans="5:53" x14ac:dyDescent="0.3">
      <c r="E47" s="11"/>
      <c r="I47" s="59"/>
      <c r="L47" s="11"/>
      <c r="O47" s="2"/>
      <c r="S47" s="18"/>
      <c r="T47" s="12" t="s">
        <v>8</v>
      </c>
      <c r="U47" s="30">
        <f>$J$44*$P$44*U48</f>
        <v>599.11154187751822</v>
      </c>
      <c r="V47" s="30">
        <f>$J$44*$P$44*V48</f>
        <v>645.09897593256403</v>
      </c>
      <c r="W47" s="30">
        <f>$J$44*$P$44*W48</f>
        <v>565.22516050186289</v>
      </c>
      <c r="AF47" s="11"/>
      <c r="AJ47" s="59"/>
      <c r="AM47" s="11"/>
      <c r="AP47" s="2"/>
      <c r="AT47" s="18"/>
      <c r="AU47" s="12" t="s">
        <v>8</v>
      </c>
      <c r="AV47" s="30">
        <f>$AK$44*$AQ$44*AV48</f>
        <v>151.14601491587896</v>
      </c>
      <c r="AW47" s="30">
        <f>$AK$44*$AQ$44*AW48</f>
        <v>125.71881992038543</v>
      </c>
      <c r="AX47" s="30">
        <f>$AK$44*$AQ$44*AX48</f>
        <v>169.31541606667145</v>
      </c>
    </row>
    <row r="48" spans="5:53" x14ac:dyDescent="0.3">
      <c r="E48" s="11"/>
      <c r="I48" s="11"/>
      <c r="L48" s="18"/>
      <c r="M48" s="10"/>
      <c r="N48" s="13"/>
      <c r="O48" s="235"/>
      <c r="T48" s="2" t="s">
        <v>40</v>
      </c>
      <c r="U48" s="61">
        <f>X26</f>
        <v>0.16641351979207206</v>
      </c>
      <c r="V48" s="61">
        <f t="shared" ref="V48:W48" si="17">Y26</f>
        <v>0.17918731938091481</v>
      </c>
      <c r="W48" s="61">
        <f t="shared" si="17"/>
        <v>0.15700099540626716</v>
      </c>
      <c r="AF48" s="11"/>
      <c r="AJ48" s="11"/>
      <c r="AM48" s="18"/>
      <c r="AN48" s="500"/>
      <c r="AO48" s="13"/>
      <c r="AP48" s="235"/>
      <c r="AU48" s="2" t="s">
        <v>40</v>
      </c>
      <c r="AV48" s="61">
        <f>AY26</f>
        <v>4.1983401397796216E-2</v>
      </c>
      <c r="AW48" s="61">
        <f t="shared" ref="AW48" si="18">AZ26</f>
        <v>3.4920561305651056E-2</v>
      </c>
      <c r="AX48" s="61">
        <f t="shared" ref="AX48" si="19">BA26</f>
        <v>4.7030264605508632E-2</v>
      </c>
    </row>
    <row r="49" spans="5:49" x14ac:dyDescent="0.3">
      <c r="E49" s="11"/>
      <c r="F49" s="2" t="s">
        <v>27</v>
      </c>
      <c r="G49" s="27">
        <f>'Input 1_Population'!G24</f>
        <v>9.7999999999999997E-3</v>
      </c>
      <c r="I49" s="11"/>
      <c r="L49" s="2" t="s">
        <v>9</v>
      </c>
      <c r="M49" s="63" t="s">
        <v>37</v>
      </c>
      <c r="N49" s="13"/>
      <c r="AF49" s="11"/>
      <c r="AG49" s="2" t="s">
        <v>27</v>
      </c>
      <c r="AH49" s="27">
        <f>'Input 1_Population'!G24</f>
        <v>9.7999999999999997E-3</v>
      </c>
      <c r="AJ49" s="11"/>
      <c r="AM49" s="2" t="s">
        <v>9</v>
      </c>
      <c r="AN49" s="63" t="s">
        <v>37</v>
      </c>
      <c r="AO49" s="13"/>
    </row>
    <row r="50" spans="5:49" x14ac:dyDescent="0.3">
      <c r="E50" s="18" t="s">
        <v>26</v>
      </c>
      <c r="F50" s="10"/>
      <c r="G50" s="10" t="s">
        <v>15</v>
      </c>
      <c r="H50" s="51"/>
      <c r="I50" s="11"/>
      <c r="AF50" s="18" t="s">
        <v>26</v>
      </c>
      <c r="AG50" s="500"/>
      <c r="AH50" s="500" t="s">
        <v>15</v>
      </c>
      <c r="AI50" s="51"/>
      <c r="AJ50" s="11"/>
    </row>
    <row r="51" spans="5:49" x14ac:dyDescent="0.3">
      <c r="F51" s="2" t="s">
        <v>127</v>
      </c>
      <c r="G51" s="284">
        <f>G49*D21</f>
        <v>19334.787499999999</v>
      </c>
      <c r="I51" s="11"/>
      <c r="AG51" s="2" t="s">
        <v>127</v>
      </c>
      <c r="AH51" s="284">
        <f>AH49*AE21</f>
        <v>19334.787499999999</v>
      </c>
      <c r="AJ51" s="11"/>
    </row>
    <row r="52" spans="5:49" x14ac:dyDescent="0.3">
      <c r="F52" s="2"/>
      <c r="G52" s="203"/>
      <c r="I52" s="11"/>
      <c r="L52" s="2" t="s">
        <v>9</v>
      </c>
      <c r="M52" s="62" t="s">
        <v>37</v>
      </c>
      <c r="N52" s="13"/>
      <c r="AG52" s="2"/>
      <c r="AH52" s="538"/>
      <c r="AJ52" s="11"/>
      <c r="AM52" s="2" t="s">
        <v>9</v>
      </c>
      <c r="AN52" s="62" t="s">
        <v>37</v>
      </c>
      <c r="AO52" s="13"/>
    </row>
    <row r="53" spans="5:49" x14ac:dyDescent="0.3">
      <c r="E53" s="2"/>
      <c r="F53" s="235"/>
      <c r="G53" s="203"/>
      <c r="I53" s="59"/>
      <c r="L53" s="16"/>
      <c r="N53" s="13"/>
      <c r="AF53" s="2"/>
      <c r="AG53" s="235"/>
      <c r="AH53" s="538"/>
      <c r="AJ53" s="59"/>
      <c r="AM53" s="16"/>
      <c r="AO53" s="13"/>
      <c r="AW53" s="29"/>
    </row>
    <row r="54" spans="5:49" ht="29.25" customHeight="1" x14ac:dyDescent="0.3">
      <c r="I54" s="59"/>
      <c r="L54" s="11"/>
      <c r="M54" s="13"/>
      <c r="N54" s="13"/>
      <c r="Q54" s="236" t="s">
        <v>127</v>
      </c>
      <c r="R54" s="236" t="s">
        <v>128</v>
      </c>
      <c r="S54" s="237" t="s">
        <v>129</v>
      </c>
      <c r="AJ54" s="59"/>
      <c r="AM54" s="11"/>
      <c r="AN54" s="13"/>
      <c r="AO54" s="13"/>
      <c r="AR54" s="541" t="s">
        <v>127</v>
      </c>
      <c r="AS54" s="541" t="s">
        <v>128</v>
      </c>
      <c r="AT54" s="540" t="s">
        <v>129</v>
      </c>
      <c r="AV54" s="37"/>
      <c r="AW54" s="20"/>
    </row>
    <row r="55" spans="5:49" x14ac:dyDescent="0.3">
      <c r="I55" s="59" t="s">
        <v>30</v>
      </c>
      <c r="J55" s="67">
        <f>1-'Input 5_Product Uptake'!M9</f>
        <v>0.62</v>
      </c>
      <c r="K55" s="10"/>
      <c r="L55" s="11"/>
      <c r="P55" s="12" t="s">
        <v>6</v>
      </c>
      <c r="Q55" s="30">
        <f>$J$56*Q56</f>
        <v>23018.306294580481</v>
      </c>
      <c r="R55" s="30">
        <f>$J$56*R56</f>
        <v>19190.519018022467</v>
      </c>
      <c r="S55" s="30">
        <f>$J$56*S56</f>
        <v>26842.536148019011</v>
      </c>
      <c r="AJ55" s="59" t="s">
        <v>30</v>
      </c>
      <c r="AK55" s="67">
        <f>J55</f>
        <v>0.62</v>
      </c>
      <c r="AL55" s="500"/>
      <c r="AM55" s="11"/>
      <c r="AQ55" s="12" t="s">
        <v>6</v>
      </c>
      <c r="AR55" s="30">
        <f>$AK$56*AR56</f>
        <v>9360.7181892911212</v>
      </c>
      <c r="AS55" s="30">
        <f t="shared" ref="AS55:AT55" si="20">$AK$56*AS56</f>
        <v>7805.3013856970174</v>
      </c>
      <c r="AT55" s="30">
        <f t="shared" si="20"/>
        <v>10989.320031169602</v>
      </c>
      <c r="AV55" s="69"/>
    </row>
    <row r="56" spans="5:49" x14ac:dyDescent="0.3">
      <c r="I56" s="15" t="s">
        <v>70</v>
      </c>
      <c r="J56" s="28">
        <f>G51*J55</f>
        <v>11987.568249999998</v>
      </c>
      <c r="L56" s="59" t="s">
        <v>128</v>
      </c>
      <c r="M56" s="50">
        <f>SUM(R56,R59,R62)</f>
        <v>2.3592952239688896</v>
      </c>
      <c r="O56" s="16"/>
      <c r="P56" s="2" t="s">
        <v>40</v>
      </c>
      <c r="Q56" s="61">
        <f>'WiS percent RSV_base'!$AT$69</f>
        <v>1.9201814592029942</v>
      </c>
      <c r="R56" s="61">
        <f>'WiS percent RSV_low'!$AT$66</f>
        <v>1.6008683844634186</v>
      </c>
      <c r="S56" s="61">
        <f>'WiS percent RSV_high'!$AT$68</f>
        <v>2.2391977745794285</v>
      </c>
      <c r="AJ56" s="15" t="s">
        <v>70</v>
      </c>
      <c r="AK56" s="28">
        <f>AH51*AK55</f>
        <v>11987.568249999998</v>
      </c>
      <c r="AM56" s="59" t="s">
        <v>128</v>
      </c>
      <c r="AN56" s="50">
        <f>SUM(AS56,AS59,AS62)</f>
        <v>0.95251779804767667</v>
      </c>
      <c r="AP56" s="16"/>
      <c r="AQ56" s="2" t="s">
        <v>40</v>
      </c>
      <c r="AR56" s="61">
        <f>'OoS percent RSV_base'!AI73</f>
        <v>0.78086881292968835</v>
      </c>
      <c r="AS56" s="61">
        <f>'OoS percent RSV_low'!AI73</f>
        <v>0.6511163250892873</v>
      </c>
      <c r="AT56" s="61">
        <f>'OoS percent RSV_high'!AI73</f>
        <v>0.91672637869399431</v>
      </c>
    </row>
    <row r="57" spans="5:49" x14ac:dyDescent="0.3">
      <c r="I57" s="2"/>
      <c r="J57" s="58"/>
      <c r="L57" s="238" t="s">
        <v>129</v>
      </c>
      <c r="M57" s="50">
        <f>SUM(S56,S59,S62)</f>
        <v>3.1700570548149427</v>
      </c>
      <c r="O57" s="11"/>
      <c r="P57" s="2"/>
      <c r="AJ57" s="2"/>
      <c r="AK57" s="58"/>
      <c r="AM57" s="238" t="s">
        <v>129</v>
      </c>
      <c r="AN57" s="50">
        <f>SUM(AT56,AT59,AT62)</f>
        <v>1.3199545381061824</v>
      </c>
      <c r="AP57" s="11"/>
      <c r="AQ57" s="2"/>
    </row>
    <row r="58" spans="5:49" x14ac:dyDescent="0.3">
      <c r="I58" s="235"/>
      <c r="L58" s="18" t="s">
        <v>42</v>
      </c>
      <c r="M58" s="50">
        <f>SUM(Q56,Q59,Q62)</f>
        <v>2.7633318789944998</v>
      </c>
      <c r="N58" s="10"/>
      <c r="O58" s="18"/>
      <c r="P58" s="12" t="s">
        <v>7</v>
      </c>
      <c r="Q58" s="30">
        <f>$J$56*Q59</f>
        <v>7981.0787685482292</v>
      </c>
      <c r="R58" s="30">
        <f>$J$56*R59</f>
        <v>6833.8098125166698</v>
      </c>
      <c r="S58" s="30">
        <f>$J$56*S59</f>
        <v>9131.9051476992627</v>
      </c>
      <c r="AJ58" s="235"/>
      <c r="AM58" s="18" t="s">
        <v>42</v>
      </c>
      <c r="AN58" s="50">
        <f>SUM(AR56,AR59,AR62)</f>
        <v>1.1341905893836515</v>
      </c>
      <c r="AO58" s="500"/>
      <c r="AP58" s="18"/>
      <c r="AQ58" s="12" t="s">
        <v>7</v>
      </c>
      <c r="AR58" s="30">
        <f>$AK$56*AR59</f>
        <v>3722.573242576962</v>
      </c>
      <c r="AS58" s="30">
        <f t="shared" ref="AS58" si="21">$AK$56*AS59</f>
        <v>3187.6979100810604</v>
      </c>
      <c r="AT58" s="30">
        <f t="shared" ref="AT58" si="22">$AK$56*AT59</f>
        <v>4258.0076194218818</v>
      </c>
    </row>
    <row r="59" spans="5:49" x14ac:dyDescent="0.3">
      <c r="L59" s="2" t="s">
        <v>10</v>
      </c>
      <c r="M59" s="54">
        <f>$J$56*M58</f>
        <v>33125.629496847301</v>
      </c>
      <c r="O59" s="11"/>
      <c r="P59" s="2" t="s">
        <v>41</v>
      </c>
      <c r="Q59" s="61">
        <f>'WiS percent RSV_base'!$AT$45</f>
        <v>0.66577963120654016</v>
      </c>
      <c r="R59" s="61">
        <f>'WiS percent RSV_low'!$AT$43</f>
        <v>0.57007473659360985</v>
      </c>
      <c r="S59" s="61">
        <f>'WiS percent RSV_high'!$AT$44</f>
        <v>0.76178128518261112</v>
      </c>
      <c r="AM59" s="2" t="s">
        <v>10</v>
      </c>
      <c r="AN59" s="54">
        <f>$J$56*AN58</f>
        <v>13596.187098744245</v>
      </c>
      <c r="AP59" s="11"/>
      <c r="AQ59" s="2" t="s">
        <v>41</v>
      </c>
      <c r="AR59" s="61">
        <f>'OoS percent RSV_base'!AI50</f>
        <v>0.31053614585902045</v>
      </c>
      <c r="AS59" s="61">
        <f>'OoS percent RSV_low'!AI50</f>
        <v>0.26591697695494337</v>
      </c>
      <c r="AT59" s="61">
        <f>'OoS percent RSV_high'!AI50</f>
        <v>0.35520195010542543</v>
      </c>
    </row>
    <row r="60" spans="5:49" x14ac:dyDescent="0.3">
      <c r="L60" s="2" t="s">
        <v>128</v>
      </c>
      <c r="M60" s="71">
        <f>$J$56*M56</f>
        <v>28282.212519226097</v>
      </c>
      <c r="O60" s="11"/>
      <c r="P60" s="2"/>
      <c r="AM60" s="2" t="s">
        <v>128</v>
      </c>
      <c r="AN60" s="71">
        <f>$J$56*AN56</f>
        <v>11418.372113436239</v>
      </c>
      <c r="AP60" s="11"/>
      <c r="AQ60" s="2"/>
    </row>
    <row r="61" spans="5:49" x14ac:dyDescent="0.3">
      <c r="L61" s="235" t="s">
        <v>129</v>
      </c>
      <c r="M61" s="71">
        <f>$J$56*M57</f>
        <v>38001.275300988113</v>
      </c>
      <c r="O61" s="18"/>
      <c r="P61" s="12" t="s">
        <v>8</v>
      </c>
      <c r="Q61" s="30">
        <f>$J$56*Q62</f>
        <v>2126.2444337185971</v>
      </c>
      <c r="R61" s="30">
        <f>$J$56*R62</f>
        <v>2257.8836886869581</v>
      </c>
      <c r="S61" s="30">
        <f>$J$56*S62</f>
        <v>2026.8340052698381</v>
      </c>
      <c r="AM61" s="235" t="s">
        <v>129</v>
      </c>
      <c r="AN61" s="71">
        <f>$J$56*AN57</f>
        <v>15823.045112445085</v>
      </c>
      <c r="AP61" s="18"/>
      <c r="AQ61" s="12" t="s">
        <v>8</v>
      </c>
      <c r="AR61" s="30">
        <f>$AK$56*AR62</f>
        <v>512.89566687616514</v>
      </c>
      <c r="AS61" s="30">
        <f t="shared" ref="AS61" si="23">$AK$56*AS62</f>
        <v>425.37281765816039</v>
      </c>
      <c r="AT61" s="30">
        <f t="shared" ref="AT61" si="24">$AK$56*AT62</f>
        <v>575.71746185360189</v>
      </c>
    </row>
    <row r="62" spans="5:49" x14ac:dyDescent="0.3">
      <c r="J62" s="22"/>
      <c r="P62" s="2" t="s">
        <v>40</v>
      </c>
      <c r="Q62" s="61">
        <f>'WiS percent RSV_base'!$AT$20</f>
        <v>0.17737078858496569</v>
      </c>
      <c r="R62" s="61">
        <f>'WiS percent RSV_low'!$AT$20</f>
        <v>0.18835210291186108</v>
      </c>
      <c r="S62" s="61">
        <f>'WiS percent RSV_high'!$AT$20</f>
        <v>0.16907799505290311</v>
      </c>
      <c r="AK62" s="22"/>
      <c r="AQ62" s="2" t="s">
        <v>40</v>
      </c>
      <c r="AR62" s="61">
        <f>'OoS percent RSV_base'!AI29</f>
        <v>4.2785630594942822E-2</v>
      </c>
      <c r="AS62" s="61">
        <f>'OoS percent RSV_low'!AI29</f>
        <v>3.5484496003445942E-2</v>
      </c>
      <c r="AT62" s="61">
        <f>'OoS percent RSV_high'!AI29</f>
        <v>4.8026209306762609E-2</v>
      </c>
    </row>
    <row r="64" spans="5:49" ht="32.25" customHeight="1" x14ac:dyDescent="0.3"/>
    <row r="65" spans="5:50" ht="16.5" customHeight="1" x14ac:dyDescent="0.3">
      <c r="E65" t="s">
        <v>68</v>
      </c>
      <c r="G65" t="s">
        <v>11</v>
      </c>
      <c r="I65" s="2" t="s">
        <v>5</v>
      </c>
      <c r="J65" s="21">
        <f>J44+J56</f>
        <v>19334.787499999999</v>
      </c>
      <c r="K65" s="28"/>
      <c r="L65" s="2"/>
      <c r="M65" s="21"/>
      <c r="N65" s="28"/>
      <c r="O65" s="28"/>
      <c r="P65" s="55" t="s">
        <v>5</v>
      </c>
      <c r="Q65" s="56">
        <f>Q55+Q58+Q61</f>
        <v>33125.629496847308</v>
      </c>
      <c r="R65" s="56"/>
      <c r="T65" s="55" t="s">
        <v>5</v>
      </c>
      <c r="U65" s="56">
        <f>U41+U44+U47</f>
        <v>7983.181841181231</v>
      </c>
      <c r="AF65" t="s">
        <v>68</v>
      </c>
      <c r="AH65" t="s">
        <v>11</v>
      </c>
      <c r="AJ65" s="2" t="s">
        <v>5</v>
      </c>
      <c r="AK65" s="21">
        <f>AK44+AK56</f>
        <v>19334.787499999999</v>
      </c>
      <c r="AL65" s="28"/>
      <c r="AM65" s="2"/>
      <c r="AN65" s="21"/>
      <c r="AO65" s="28"/>
      <c r="AP65" s="28"/>
      <c r="AQ65" s="55" t="s">
        <v>5</v>
      </c>
      <c r="AR65" s="56">
        <f>AR55+AR58+AR61</f>
        <v>13596.187098744249</v>
      </c>
      <c r="AS65" s="56"/>
      <c r="AU65" s="55" t="s">
        <v>5</v>
      </c>
      <c r="AV65" s="56">
        <f>AV41+AV44+AV47</f>
        <v>4004.1349244461553</v>
      </c>
    </row>
    <row r="66" spans="5:50" x14ac:dyDescent="0.3">
      <c r="U66" s="28"/>
      <c r="AV66" s="28"/>
    </row>
    <row r="67" spans="5:50" x14ac:dyDescent="0.3">
      <c r="F67" s="13"/>
      <c r="G67" s="13"/>
      <c r="H67" s="13"/>
      <c r="I67" s="13"/>
      <c r="J67" s="13"/>
      <c r="K67" s="13"/>
      <c r="L67" s="13"/>
      <c r="M67" s="13"/>
      <c r="N67" s="13"/>
      <c r="O67" s="13"/>
      <c r="P67" s="13"/>
      <c r="Q67" s="13"/>
      <c r="R67" s="13"/>
      <c r="S67" s="13"/>
      <c r="T67" s="13"/>
      <c r="U67" s="13"/>
      <c r="V67" s="13"/>
      <c r="W67" s="13"/>
      <c r="AG67" s="13"/>
      <c r="AH67" s="13"/>
      <c r="AI67" s="13"/>
      <c r="AJ67" s="13"/>
      <c r="AK67" s="13"/>
      <c r="AL67" s="13"/>
      <c r="AM67" s="13"/>
      <c r="AN67" s="13"/>
      <c r="AO67" s="13"/>
      <c r="AP67" s="13"/>
      <c r="AQ67" s="13"/>
      <c r="AR67" s="13"/>
      <c r="AS67" s="13"/>
      <c r="AT67" s="13"/>
      <c r="AU67" s="13"/>
      <c r="AV67" s="13"/>
      <c r="AW67" s="13"/>
      <c r="AX67" s="13"/>
    </row>
    <row r="68" spans="5:50" ht="18" x14ac:dyDescent="0.35">
      <c r="F68" s="13"/>
      <c r="G68" s="239"/>
      <c r="H68" s="13"/>
      <c r="I68" s="13"/>
      <c r="J68" s="13"/>
      <c r="K68" s="13"/>
      <c r="L68" s="13"/>
      <c r="M68" s="13"/>
      <c r="N68" s="13"/>
      <c r="O68" s="13"/>
      <c r="P68" s="13"/>
      <c r="Q68" s="13"/>
      <c r="R68" s="13"/>
      <c r="S68" s="13"/>
      <c r="T68" s="13"/>
      <c r="U68" s="13"/>
      <c r="V68" s="13"/>
      <c r="W68" s="13"/>
      <c r="AG68" s="13"/>
      <c r="AH68" s="239"/>
      <c r="AI68" s="13"/>
      <c r="AJ68" s="13"/>
      <c r="AK68" s="13"/>
      <c r="AL68" s="13"/>
      <c r="AM68" s="13"/>
      <c r="AN68" s="13"/>
      <c r="AO68" s="13"/>
      <c r="AP68" s="13"/>
      <c r="AQ68" s="13"/>
      <c r="AR68" s="13"/>
      <c r="AS68" s="13"/>
      <c r="AT68" s="13"/>
      <c r="AU68" s="13"/>
      <c r="AV68" s="13"/>
      <c r="AW68" s="13"/>
      <c r="AX68" s="13"/>
    </row>
    <row r="69" spans="5:50" x14ac:dyDescent="0.3">
      <c r="F69" s="13"/>
      <c r="G69" s="13"/>
      <c r="H69" s="13"/>
      <c r="I69" s="13"/>
      <c r="J69" s="13"/>
      <c r="K69" s="13"/>
      <c r="L69" s="13"/>
      <c r="M69" s="13"/>
      <c r="N69" s="13"/>
      <c r="O69" s="13"/>
      <c r="P69" s="13"/>
      <c r="Q69" s="13"/>
      <c r="R69" s="13"/>
      <c r="S69" s="13"/>
      <c r="T69" s="13"/>
      <c r="U69" s="13"/>
      <c r="V69" s="13"/>
      <c r="W69" s="13"/>
      <c r="AG69" s="13"/>
      <c r="AH69" s="13"/>
      <c r="AI69" s="13"/>
      <c r="AJ69" s="13"/>
      <c r="AK69" s="13"/>
      <c r="AL69" s="13"/>
      <c r="AM69" s="13"/>
      <c r="AN69" s="13"/>
      <c r="AO69" s="13"/>
      <c r="AP69" s="13"/>
      <c r="AQ69" s="13"/>
      <c r="AR69" s="13"/>
      <c r="AS69" s="13"/>
      <c r="AT69" s="13"/>
      <c r="AU69" s="13"/>
      <c r="AV69" s="13"/>
      <c r="AW69" s="13"/>
      <c r="AX69" s="13"/>
    </row>
    <row r="70" spans="5:50" x14ac:dyDescent="0.3">
      <c r="F70" s="13"/>
      <c r="G70" s="1096"/>
      <c r="H70" s="1096"/>
      <c r="I70" s="13"/>
      <c r="J70" s="1096"/>
      <c r="K70" s="1096"/>
      <c r="L70" s="13"/>
      <c r="M70" s="1097"/>
      <c r="N70" s="1097"/>
      <c r="O70" s="13"/>
      <c r="P70" s="13"/>
      <c r="Q70" s="13"/>
      <c r="R70" s="13"/>
      <c r="S70" s="13"/>
      <c r="T70" s="13"/>
      <c r="U70" s="1096"/>
      <c r="V70" s="1096"/>
      <c r="W70" s="13"/>
      <c r="AG70" s="13"/>
      <c r="AH70" s="1096"/>
      <c r="AI70" s="1096"/>
      <c r="AJ70" s="13"/>
      <c r="AK70" s="1096"/>
      <c r="AL70" s="1096"/>
      <c r="AM70" s="13"/>
      <c r="AN70" s="1097"/>
      <c r="AO70" s="1097"/>
      <c r="AP70" s="13"/>
      <c r="AQ70" s="13"/>
      <c r="AR70" s="13"/>
      <c r="AS70" s="13"/>
      <c r="AT70" s="13"/>
      <c r="AU70" s="13"/>
      <c r="AV70" s="1096"/>
      <c r="AW70" s="1096"/>
      <c r="AX70" s="13"/>
    </row>
    <row r="71" spans="5:50" x14ac:dyDescent="0.3">
      <c r="F71" s="13"/>
      <c r="G71" s="13"/>
      <c r="H71" s="13"/>
      <c r="I71" s="13"/>
      <c r="J71" s="13"/>
      <c r="K71" s="13"/>
      <c r="L71" s="13"/>
      <c r="M71" s="13"/>
      <c r="N71" s="13"/>
      <c r="O71" s="13"/>
      <c r="P71" s="13"/>
      <c r="Q71" s="13"/>
      <c r="R71" s="13"/>
      <c r="S71" s="13"/>
      <c r="T71" s="13"/>
      <c r="U71" s="13"/>
      <c r="V71" s="13"/>
      <c r="W71" s="13"/>
      <c r="AG71" s="13"/>
      <c r="AH71" s="13"/>
      <c r="AI71" s="13"/>
      <c r="AJ71" s="13"/>
      <c r="AK71" s="13"/>
      <c r="AL71" s="13"/>
      <c r="AM71" s="13"/>
      <c r="AN71" s="13"/>
      <c r="AO71" s="13"/>
      <c r="AP71" s="13"/>
      <c r="AQ71" s="13"/>
      <c r="AR71" s="13"/>
      <c r="AS71" s="13"/>
      <c r="AT71" s="13"/>
      <c r="AU71" s="13"/>
      <c r="AV71" s="13"/>
      <c r="AW71" s="13"/>
      <c r="AX71" s="13"/>
    </row>
    <row r="72" spans="5:50" x14ac:dyDescent="0.3">
      <c r="F72" s="13"/>
      <c r="G72" s="13"/>
      <c r="H72" s="71"/>
      <c r="I72" s="13"/>
      <c r="J72" s="240"/>
      <c r="K72" s="240"/>
      <c r="L72" s="13"/>
      <c r="M72" s="240"/>
      <c r="N72" s="240"/>
      <c r="O72" s="13"/>
      <c r="P72" s="93"/>
      <c r="Q72" s="93"/>
      <c r="R72" s="93"/>
      <c r="S72" s="93"/>
      <c r="T72" s="13"/>
      <c r="U72" s="93"/>
      <c r="V72" s="88"/>
      <c r="W72" s="13"/>
      <c r="AG72" s="13"/>
      <c r="AH72" s="13"/>
      <c r="AI72" s="71"/>
      <c r="AJ72" s="13"/>
      <c r="AK72" s="240"/>
      <c r="AL72" s="240"/>
      <c r="AM72" s="13"/>
      <c r="AN72" s="240"/>
      <c r="AO72" s="240"/>
      <c r="AP72" s="13"/>
      <c r="AQ72" s="93"/>
      <c r="AR72" s="93"/>
      <c r="AS72" s="93"/>
      <c r="AT72" s="93"/>
      <c r="AU72" s="13"/>
      <c r="AV72" s="93"/>
      <c r="AW72" s="88"/>
      <c r="AX72" s="13"/>
    </row>
    <row r="73" spans="5:50" x14ac:dyDescent="0.3">
      <c r="F73" s="13"/>
      <c r="G73" s="13"/>
      <c r="H73" s="71"/>
      <c r="I73" s="13"/>
      <c r="J73" s="240"/>
      <c r="K73" s="240"/>
      <c r="L73" s="13"/>
      <c r="M73" s="240"/>
      <c r="N73" s="240"/>
      <c r="O73" s="13"/>
      <c r="P73" s="93"/>
      <c r="Q73" s="93"/>
      <c r="R73" s="93"/>
      <c r="S73" s="93"/>
      <c r="T73" s="13"/>
      <c r="U73" s="93"/>
      <c r="V73" s="88"/>
      <c r="W73" s="13"/>
      <c r="AG73" s="13"/>
      <c r="AH73" s="13"/>
      <c r="AI73" s="71"/>
      <c r="AJ73" s="13"/>
      <c r="AK73" s="240"/>
      <c r="AL73" s="240"/>
      <c r="AM73" s="13"/>
      <c r="AN73" s="240"/>
      <c r="AO73" s="240"/>
      <c r="AP73" s="13"/>
      <c r="AQ73" s="93"/>
      <c r="AR73" s="93"/>
      <c r="AS73" s="93"/>
      <c r="AT73" s="93"/>
      <c r="AU73" s="13"/>
      <c r="AV73" s="93"/>
      <c r="AW73" s="88"/>
      <c r="AX73" s="13"/>
    </row>
    <row r="74" spans="5:50" x14ac:dyDescent="0.3">
      <c r="F74" s="13"/>
      <c r="G74" s="13"/>
      <c r="H74" s="71"/>
      <c r="I74" s="13"/>
      <c r="J74" s="240"/>
      <c r="K74" s="240"/>
      <c r="L74" s="13"/>
      <c r="M74" s="240"/>
      <c r="N74" s="240"/>
      <c r="O74" s="13"/>
      <c r="P74" s="93"/>
      <c r="Q74" s="93"/>
      <c r="R74" s="93"/>
      <c r="S74" s="93"/>
      <c r="T74" s="13"/>
      <c r="U74" s="93"/>
      <c r="V74" s="88"/>
      <c r="W74" s="13"/>
      <c r="AG74" s="13"/>
      <c r="AH74" s="13"/>
      <c r="AI74" s="71"/>
      <c r="AJ74" s="13"/>
      <c r="AK74" s="240"/>
      <c r="AL74" s="240"/>
      <c r="AM74" s="13"/>
      <c r="AN74" s="240"/>
      <c r="AO74" s="240"/>
      <c r="AP74" s="13"/>
      <c r="AQ74" s="93"/>
      <c r="AR74" s="93"/>
      <c r="AS74" s="93"/>
      <c r="AT74" s="93"/>
      <c r="AU74" s="13"/>
      <c r="AV74" s="93"/>
      <c r="AW74" s="88"/>
      <c r="AX74" s="13"/>
    </row>
    <row r="75" spans="5:50" x14ac:dyDescent="0.3">
      <c r="F75" s="13"/>
      <c r="G75" s="13"/>
      <c r="H75" s="71"/>
      <c r="I75" s="13"/>
      <c r="J75" s="240"/>
      <c r="K75" s="240"/>
      <c r="L75" s="13"/>
      <c r="M75" s="240"/>
      <c r="N75" s="240"/>
      <c r="O75" s="13"/>
      <c r="P75" s="93"/>
      <c r="Q75" s="93"/>
      <c r="R75" s="93"/>
      <c r="S75" s="93"/>
      <c r="T75" s="13"/>
      <c r="U75" s="93"/>
      <c r="V75" s="88"/>
      <c r="W75" s="13"/>
      <c r="AG75" s="13"/>
      <c r="AH75" s="13"/>
      <c r="AI75" s="71"/>
      <c r="AJ75" s="13"/>
      <c r="AK75" s="240"/>
      <c r="AL75" s="240"/>
      <c r="AM75" s="13"/>
      <c r="AN75" s="240"/>
      <c r="AO75" s="240"/>
      <c r="AP75" s="13"/>
      <c r="AQ75" s="93"/>
      <c r="AR75" s="93"/>
      <c r="AS75" s="93"/>
      <c r="AT75" s="93"/>
      <c r="AU75" s="13"/>
      <c r="AV75" s="93"/>
      <c r="AW75" s="88"/>
      <c r="AX75" s="13"/>
    </row>
    <row r="76" spans="5:50" x14ac:dyDescent="0.3">
      <c r="F76" s="13"/>
      <c r="G76" s="13"/>
      <c r="H76" s="71"/>
      <c r="I76" s="13"/>
      <c r="J76" s="240"/>
      <c r="K76" s="240"/>
      <c r="L76" s="13"/>
      <c r="M76" s="240"/>
      <c r="N76" s="240"/>
      <c r="O76" s="13"/>
      <c r="P76" s="93"/>
      <c r="Q76" s="93"/>
      <c r="R76" s="93"/>
      <c r="S76" s="93"/>
      <c r="T76" s="13"/>
      <c r="U76" s="93"/>
      <c r="V76" s="88"/>
      <c r="W76" s="13"/>
      <c r="AG76" s="13"/>
      <c r="AH76" s="13"/>
      <c r="AI76" s="71"/>
      <c r="AJ76" s="13"/>
      <c r="AK76" s="240"/>
      <c r="AL76" s="240"/>
      <c r="AM76" s="13"/>
      <c r="AN76" s="240"/>
      <c r="AO76" s="240"/>
      <c r="AP76" s="13"/>
      <c r="AQ76" s="93"/>
      <c r="AR76" s="93"/>
      <c r="AS76" s="93"/>
      <c r="AT76" s="93"/>
      <c r="AU76" s="13"/>
      <c r="AV76" s="93"/>
      <c r="AW76" s="88"/>
      <c r="AX76" s="13"/>
    </row>
    <row r="77" spans="5:50" x14ac:dyDescent="0.3">
      <c r="F77" s="13"/>
      <c r="G77" s="13"/>
      <c r="H77" s="71"/>
      <c r="I77" s="13"/>
      <c r="J77" s="240"/>
      <c r="K77" s="240"/>
      <c r="L77" s="13"/>
      <c r="M77" s="240"/>
      <c r="N77" s="240"/>
      <c r="O77" s="13"/>
      <c r="P77" s="93"/>
      <c r="Q77" s="93"/>
      <c r="R77" s="93"/>
      <c r="S77" s="93"/>
      <c r="T77" s="13"/>
      <c r="U77" s="93"/>
      <c r="V77" s="88"/>
      <c r="W77" s="13"/>
      <c r="AG77" s="13"/>
      <c r="AH77" s="13"/>
      <c r="AI77" s="71"/>
      <c r="AJ77" s="13"/>
      <c r="AK77" s="240"/>
      <c r="AL77" s="240"/>
      <c r="AM77" s="13"/>
      <c r="AN77" s="240"/>
      <c r="AO77" s="240"/>
      <c r="AP77" s="13"/>
      <c r="AQ77" s="93"/>
      <c r="AR77" s="93"/>
      <c r="AS77" s="93"/>
      <c r="AT77" s="93"/>
      <c r="AU77" s="13"/>
      <c r="AV77" s="93"/>
      <c r="AW77" s="88"/>
      <c r="AX77" s="13"/>
    </row>
    <row r="78" spans="5:50" x14ac:dyDescent="0.3">
      <c r="F78" s="13"/>
      <c r="G78" s="13"/>
      <c r="H78" s="88"/>
      <c r="I78" s="88"/>
      <c r="J78" s="88"/>
      <c r="K78" s="88"/>
      <c r="L78" s="88"/>
      <c r="M78" s="88"/>
      <c r="N78" s="88"/>
      <c r="O78" s="88"/>
      <c r="P78" s="88"/>
      <c r="Q78" s="88"/>
      <c r="R78" s="88"/>
      <c r="S78" s="93"/>
      <c r="T78" s="93"/>
      <c r="U78" s="88"/>
      <c r="V78" s="88"/>
      <c r="W78" s="13"/>
      <c r="AG78" s="13"/>
      <c r="AH78" s="13"/>
      <c r="AI78" s="88"/>
      <c r="AJ78" s="88"/>
      <c r="AK78" s="88"/>
      <c r="AL78" s="88"/>
      <c r="AM78" s="88"/>
      <c r="AN78" s="88"/>
      <c r="AO78" s="88"/>
      <c r="AP78" s="88"/>
      <c r="AQ78" s="88"/>
      <c r="AR78" s="88"/>
      <c r="AS78" s="88"/>
      <c r="AT78" s="93"/>
      <c r="AU78" s="93"/>
      <c r="AV78" s="88"/>
      <c r="AW78" s="88"/>
      <c r="AX78" s="13"/>
    </row>
    <row r="79" spans="5:50" x14ac:dyDescent="0.3">
      <c r="F79" s="13"/>
      <c r="G79" s="13"/>
      <c r="H79" s="13"/>
      <c r="I79" s="13"/>
      <c r="J79" s="13"/>
      <c r="K79" s="13"/>
      <c r="L79" s="13"/>
      <c r="M79" s="13"/>
      <c r="N79" s="13"/>
      <c r="O79" s="13"/>
      <c r="P79" s="13"/>
      <c r="Q79" s="13"/>
      <c r="R79" s="13"/>
      <c r="S79" s="13"/>
      <c r="T79" s="13"/>
      <c r="U79" s="13"/>
      <c r="V79" s="13"/>
      <c r="W79" s="13"/>
      <c r="AG79" s="13"/>
      <c r="AH79" s="13"/>
      <c r="AI79" s="13"/>
      <c r="AJ79" s="13"/>
      <c r="AK79" s="13"/>
      <c r="AL79" s="13"/>
      <c r="AM79" s="13"/>
      <c r="AN79" s="13"/>
      <c r="AO79" s="13"/>
      <c r="AP79" s="13"/>
      <c r="AQ79" s="13"/>
      <c r="AR79" s="13"/>
      <c r="AS79" s="13"/>
      <c r="AT79" s="13"/>
      <c r="AU79" s="13"/>
      <c r="AV79" s="13"/>
      <c r="AW79" s="13"/>
      <c r="AX79" s="13"/>
    </row>
    <row r="80" spans="5:50" x14ac:dyDescent="0.3">
      <c r="F80" s="13"/>
      <c r="G80" s="13"/>
      <c r="H80" s="13"/>
      <c r="I80" s="13"/>
      <c r="J80" s="13"/>
      <c r="K80" s="13"/>
      <c r="L80" s="13"/>
      <c r="M80" s="1097"/>
      <c r="N80" s="1097"/>
      <c r="O80" s="13"/>
      <c r="P80" s="13"/>
      <c r="Q80" s="13"/>
      <c r="R80" s="13"/>
      <c r="S80" s="13"/>
      <c r="T80" s="13"/>
      <c r="U80" s="13"/>
      <c r="V80" s="13"/>
      <c r="W80" s="13"/>
      <c r="AG80" s="13"/>
      <c r="AH80" s="13"/>
      <c r="AI80" s="13"/>
      <c r="AJ80" s="13"/>
      <c r="AK80" s="13"/>
      <c r="AL80" s="13"/>
      <c r="AM80" s="13"/>
      <c r="AN80" s="1097"/>
      <c r="AO80" s="1097"/>
      <c r="AP80" s="13"/>
      <c r="AQ80" s="13"/>
      <c r="AR80" s="13"/>
      <c r="AS80" s="13"/>
      <c r="AT80" s="13"/>
      <c r="AU80" s="13"/>
      <c r="AV80" s="13"/>
      <c r="AW80" s="13"/>
      <c r="AX80" s="13"/>
    </row>
    <row r="81" spans="6:50" x14ac:dyDescent="0.3">
      <c r="F81" s="13"/>
      <c r="G81" s="13"/>
      <c r="H81" s="13"/>
      <c r="I81" s="13"/>
      <c r="J81" s="13"/>
      <c r="K81" s="13"/>
      <c r="L81" s="13"/>
      <c r="M81" s="13"/>
      <c r="N81" s="13"/>
      <c r="O81" s="13"/>
      <c r="P81" s="13"/>
      <c r="Q81" s="13"/>
      <c r="R81" s="13"/>
      <c r="S81" s="13"/>
      <c r="T81" s="13"/>
      <c r="U81" s="13"/>
      <c r="V81" s="13"/>
      <c r="W81" s="13"/>
      <c r="AG81" s="13"/>
      <c r="AH81" s="13"/>
      <c r="AI81" s="13"/>
      <c r="AJ81" s="13"/>
      <c r="AK81" s="13"/>
      <c r="AL81" s="13"/>
      <c r="AM81" s="13"/>
      <c r="AN81" s="13"/>
      <c r="AO81" s="13"/>
      <c r="AP81" s="13"/>
      <c r="AQ81" s="13"/>
      <c r="AR81" s="13"/>
      <c r="AS81" s="13"/>
      <c r="AT81" s="13"/>
      <c r="AU81" s="13"/>
      <c r="AV81" s="13"/>
      <c r="AW81" s="13"/>
      <c r="AX81" s="13"/>
    </row>
    <row r="82" spans="6:50" x14ac:dyDescent="0.3">
      <c r="F82" s="13"/>
      <c r="G82" s="13"/>
      <c r="H82" s="13"/>
      <c r="I82" s="13"/>
      <c r="J82" s="13"/>
      <c r="K82" s="13"/>
      <c r="L82" s="13"/>
      <c r="M82" s="241"/>
      <c r="N82" s="241"/>
      <c r="O82" s="13"/>
      <c r="P82" s="13"/>
      <c r="Q82" s="13"/>
      <c r="R82" s="13"/>
      <c r="S82" s="13"/>
      <c r="T82" s="13"/>
      <c r="U82" s="93"/>
      <c r="V82" s="88"/>
      <c r="W82" s="13"/>
      <c r="AG82" s="13"/>
      <c r="AH82" s="13"/>
      <c r="AI82" s="13"/>
      <c r="AJ82" s="13"/>
      <c r="AK82" s="13"/>
      <c r="AL82" s="13"/>
      <c r="AM82" s="13"/>
      <c r="AN82" s="241"/>
      <c r="AO82" s="241"/>
      <c r="AP82" s="13"/>
      <c r="AQ82" s="13"/>
      <c r="AR82" s="13"/>
      <c r="AS82" s="13"/>
      <c r="AT82" s="13"/>
      <c r="AU82" s="13"/>
      <c r="AV82" s="93"/>
      <c r="AW82" s="88"/>
      <c r="AX82" s="13"/>
    </row>
    <row r="83" spans="6:50" x14ac:dyDescent="0.3">
      <c r="F83" s="13"/>
      <c r="G83" s="13"/>
      <c r="H83" s="13"/>
      <c r="I83" s="13"/>
      <c r="J83" s="13"/>
      <c r="K83" s="13"/>
      <c r="L83" s="13"/>
      <c r="M83" s="241"/>
      <c r="N83" s="241"/>
      <c r="O83" s="13"/>
      <c r="P83" s="13"/>
      <c r="Q83" s="13"/>
      <c r="R83" s="13"/>
      <c r="S83" s="13"/>
      <c r="T83" s="13"/>
      <c r="U83" s="93"/>
      <c r="V83" s="88"/>
      <c r="W83" s="13"/>
      <c r="AG83" s="13"/>
      <c r="AH83" s="13"/>
      <c r="AI83" s="13"/>
      <c r="AJ83" s="13"/>
      <c r="AK83" s="13"/>
      <c r="AL83" s="13"/>
      <c r="AM83" s="13"/>
      <c r="AN83" s="241"/>
      <c r="AO83" s="241"/>
      <c r="AP83" s="13"/>
      <c r="AQ83" s="13"/>
      <c r="AR83" s="13"/>
      <c r="AS83" s="13"/>
      <c r="AT83" s="13"/>
      <c r="AU83" s="13"/>
      <c r="AV83" s="93"/>
      <c r="AW83" s="88"/>
      <c r="AX83" s="13"/>
    </row>
    <row r="84" spans="6:50" x14ac:dyDescent="0.3">
      <c r="F84" s="13"/>
      <c r="G84" s="13"/>
      <c r="H84" s="13"/>
      <c r="I84" s="13"/>
      <c r="J84" s="13"/>
      <c r="K84" s="13"/>
      <c r="L84" s="13"/>
      <c r="M84" s="241"/>
      <c r="N84" s="241"/>
      <c r="O84" s="13"/>
      <c r="P84" s="13"/>
      <c r="Q84" s="13"/>
      <c r="R84" s="13"/>
      <c r="S84" s="13"/>
      <c r="T84" s="13"/>
      <c r="U84" s="93"/>
      <c r="V84" s="88"/>
      <c r="W84" s="13"/>
      <c r="AG84" s="13"/>
      <c r="AH84" s="13"/>
      <c r="AI84" s="13"/>
      <c r="AJ84" s="13"/>
      <c r="AK84" s="13"/>
      <c r="AL84" s="13"/>
      <c r="AM84" s="13"/>
      <c r="AN84" s="241"/>
      <c r="AO84" s="241"/>
      <c r="AP84" s="13"/>
      <c r="AQ84" s="13"/>
      <c r="AR84" s="13"/>
      <c r="AS84" s="13"/>
      <c r="AT84" s="13"/>
      <c r="AU84" s="13"/>
      <c r="AV84" s="93"/>
      <c r="AW84" s="88"/>
      <c r="AX84" s="13"/>
    </row>
    <row r="85" spans="6:50" x14ac:dyDescent="0.3">
      <c r="F85" s="13"/>
      <c r="G85" s="13"/>
      <c r="H85" s="13"/>
      <c r="I85" s="13"/>
      <c r="J85" s="13"/>
      <c r="K85" s="13"/>
      <c r="L85" s="13"/>
      <c r="M85" s="241"/>
      <c r="N85" s="241"/>
      <c r="O85" s="13"/>
      <c r="P85" s="13"/>
      <c r="Q85" s="13"/>
      <c r="R85" s="13"/>
      <c r="S85" s="13"/>
      <c r="T85" s="13"/>
      <c r="U85" s="93"/>
      <c r="V85" s="88"/>
      <c r="W85" s="13"/>
      <c r="AG85" s="13"/>
      <c r="AH85" s="13"/>
      <c r="AI85" s="13"/>
      <c r="AJ85" s="13"/>
      <c r="AK85" s="13"/>
      <c r="AL85" s="13"/>
      <c r="AM85" s="13"/>
      <c r="AN85" s="241"/>
      <c r="AO85" s="241"/>
      <c r="AP85" s="13"/>
      <c r="AQ85" s="13"/>
      <c r="AR85" s="13"/>
      <c r="AS85" s="13"/>
      <c r="AT85" s="13"/>
      <c r="AU85" s="13"/>
      <c r="AV85" s="93"/>
      <c r="AW85" s="88"/>
      <c r="AX85" s="13"/>
    </row>
    <row r="86" spans="6:50" x14ac:dyDescent="0.3">
      <c r="F86" s="13"/>
      <c r="G86" s="13"/>
      <c r="H86" s="13"/>
      <c r="I86" s="13"/>
      <c r="J86" s="13"/>
      <c r="K86" s="13"/>
      <c r="L86" s="13"/>
      <c r="M86" s="241"/>
      <c r="N86" s="241"/>
      <c r="O86" s="13"/>
      <c r="P86" s="13"/>
      <c r="Q86" s="13"/>
      <c r="R86" s="13"/>
      <c r="S86" s="13"/>
      <c r="T86" s="13"/>
      <c r="U86" s="93"/>
      <c r="V86" s="88"/>
      <c r="W86" s="13"/>
      <c r="AG86" s="13"/>
      <c r="AH86" s="13"/>
      <c r="AI86" s="13"/>
      <c r="AJ86" s="13"/>
      <c r="AK86" s="13"/>
      <c r="AL86" s="13"/>
      <c r="AM86" s="13"/>
      <c r="AN86" s="241"/>
      <c r="AO86" s="241"/>
      <c r="AP86" s="13"/>
      <c r="AQ86" s="13"/>
      <c r="AR86" s="13"/>
      <c r="AS86" s="13"/>
      <c r="AT86" s="13"/>
      <c r="AU86" s="13"/>
      <c r="AV86" s="93"/>
      <c r="AW86" s="88"/>
      <c r="AX86" s="13"/>
    </row>
    <row r="87" spans="6:50" x14ac:dyDescent="0.3">
      <c r="F87" s="13"/>
      <c r="G87" s="13"/>
      <c r="H87" s="13"/>
      <c r="I87" s="13"/>
      <c r="J87" s="13"/>
      <c r="K87" s="13"/>
      <c r="L87" s="13"/>
      <c r="M87" s="241"/>
      <c r="N87" s="241"/>
      <c r="O87" s="13"/>
      <c r="P87" s="13"/>
      <c r="Q87" s="13"/>
      <c r="R87" s="13"/>
      <c r="S87" s="13"/>
      <c r="T87" s="13"/>
      <c r="U87" s="93"/>
      <c r="V87" s="88"/>
      <c r="W87" s="13"/>
      <c r="AG87" s="13"/>
      <c r="AH87" s="13"/>
      <c r="AI87" s="13"/>
      <c r="AJ87" s="13"/>
      <c r="AK87" s="13"/>
      <c r="AL87" s="13"/>
      <c r="AM87" s="13"/>
      <c r="AN87" s="241"/>
      <c r="AO87" s="241"/>
      <c r="AP87" s="13"/>
      <c r="AQ87" s="13"/>
      <c r="AR87" s="13"/>
      <c r="AS87" s="13"/>
      <c r="AT87" s="13"/>
      <c r="AU87" s="13"/>
      <c r="AV87" s="93"/>
      <c r="AW87" s="88"/>
      <c r="AX87" s="13"/>
    </row>
    <row r="88" spans="6:50" x14ac:dyDescent="0.3">
      <c r="F88" s="13"/>
      <c r="G88" s="13"/>
      <c r="H88" s="13"/>
      <c r="I88" s="13"/>
      <c r="J88" s="13"/>
      <c r="K88" s="13"/>
      <c r="L88" s="13"/>
      <c r="M88" s="88"/>
      <c r="N88" s="88"/>
      <c r="O88" s="88"/>
      <c r="P88" s="13"/>
      <c r="Q88" s="13"/>
      <c r="R88" s="13"/>
      <c r="S88" s="13"/>
      <c r="T88" s="13"/>
      <c r="U88" s="88"/>
      <c r="V88" s="88"/>
      <c r="W88" s="13"/>
      <c r="AG88" s="13"/>
      <c r="AH88" s="13"/>
      <c r="AI88" s="13"/>
      <c r="AJ88" s="13"/>
      <c r="AK88" s="13"/>
      <c r="AL88" s="13"/>
      <c r="AM88" s="13"/>
      <c r="AN88" s="88"/>
      <c r="AO88" s="88"/>
      <c r="AP88" s="88"/>
      <c r="AQ88" s="13"/>
      <c r="AR88" s="13"/>
      <c r="AS88" s="13"/>
      <c r="AT88" s="13"/>
      <c r="AU88" s="13"/>
      <c r="AV88" s="88"/>
      <c r="AW88" s="88"/>
      <c r="AX88" s="13"/>
    </row>
    <row r="89" spans="6:50" x14ac:dyDescent="0.3">
      <c r="F89" s="13"/>
      <c r="G89" s="13"/>
      <c r="H89" s="13"/>
      <c r="I89" s="13"/>
      <c r="J89" s="13"/>
      <c r="K89" s="13"/>
      <c r="L89" s="13"/>
      <c r="M89" s="93"/>
      <c r="N89" s="93"/>
      <c r="O89" s="13"/>
      <c r="P89" s="13"/>
      <c r="Q89" s="13"/>
      <c r="R89" s="13"/>
      <c r="S89" s="13"/>
      <c r="T89" s="13"/>
      <c r="U89" s="93"/>
      <c r="V89" s="93"/>
      <c r="W89" s="13"/>
      <c r="AG89" s="13"/>
      <c r="AH89" s="13"/>
      <c r="AI89" s="13"/>
      <c r="AJ89" s="13"/>
      <c r="AK89" s="13"/>
      <c r="AL89" s="13"/>
      <c r="AM89" s="13"/>
      <c r="AN89" s="93"/>
      <c r="AO89" s="93"/>
      <c r="AP89" s="13"/>
      <c r="AQ89" s="13"/>
      <c r="AR89" s="13"/>
      <c r="AS89" s="13"/>
      <c r="AT89" s="13"/>
      <c r="AU89" s="13"/>
      <c r="AV89" s="93"/>
      <c r="AW89" s="93"/>
      <c r="AX89" s="13"/>
    </row>
    <row r="90" spans="6:50" x14ac:dyDescent="0.3">
      <c r="F90" s="13"/>
      <c r="G90" s="13"/>
      <c r="H90" s="13"/>
      <c r="I90" s="13"/>
      <c r="J90" s="13"/>
      <c r="K90" s="13"/>
      <c r="L90" s="13"/>
      <c r="M90" s="13"/>
      <c r="N90" s="13"/>
      <c r="O90" s="13"/>
      <c r="P90" s="13"/>
      <c r="Q90" s="13"/>
      <c r="R90" s="13"/>
      <c r="S90" s="13"/>
      <c r="T90" s="13"/>
      <c r="U90" s="1096"/>
      <c r="V90" s="1096"/>
      <c r="W90" s="13"/>
      <c r="AG90" s="13"/>
      <c r="AH90" s="13"/>
      <c r="AI90" s="13"/>
      <c r="AJ90" s="13"/>
      <c r="AK90" s="13"/>
      <c r="AL90" s="13"/>
      <c r="AM90" s="13"/>
      <c r="AN90" s="13"/>
      <c r="AO90" s="13"/>
      <c r="AP90" s="13"/>
      <c r="AQ90" s="13"/>
      <c r="AR90" s="13"/>
      <c r="AS90" s="13"/>
      <c r="AT90" s="13"/>
      <c r="AU90" s="13"/>
      <c r="AV90" s="1096"/>
      <c r="AW90" s="1096"/>
      <c r="AX90" s="13"/>
    </row>
    <row r="91" spans="6:50" x14ac:dyDescent="0.3">
      <c r="F91" s="13"/>
      <c r="G91" s="13"/>
      <c r="H91" s="13"/>
      <c r="I91" s="13"/>
      <c r="J91" s="13"/>
      <c r="K91" s="13"/>
      <c r="L91" s="13"/>
      <c r="M91" s="13"/>
      <c r="N91" s="13"/>
      <c r="O91" s="13"/>
      <c r="P91" s="13"/>
      <c r="Q91" s="13"/>
      <c r="R91" s="13"/>
      <c r="S91" s="13"/>
      <c r="T91" s="13"/>
      <c r="U91" s="13"/>
      <c r="V91" s="13"/>
      <c r="W91" s="13"/>
      <c r="AG91" s="13"/>
      <c r="AH91" s="13"/>
      <c r="AI91" s="13"/>
      <c r="AJ91" s="13"/>
      <c r="AK91" s="13"/>
      <c r="AL91" s="13"/>
      <c r="AM91" s="13"/>
      <c r="AN91" s="13"/>
      <c r="AO91" s="13"/>
      <c r="AP91" s="13"/>
      <c r="AQ91" s="13"/>
      <c r="AR91" s="13"/>
      <c r="AS91" s="13"/>
      <c r="AT91" s="13"/>
      <c r="AU91" s="13"/>
      <c r="AV91" s="13"/>
      <c r="AW91" s="13"/>
      <c r="AX91" s="13"/>
    </row>
    <row r="92" spans="6:50" x14ac:dyDescent="0.3">
      <c r="F92" s="13"/>
      <c r="G92" s="13"/>
      <c r="H92" s="13"/>
      <c r="I92" s="13"/>
      <c r="J92" s="13"/>
      <c r="K92" s="13"/>
      <c r="L92" s="13"/>
      <c r="M92" s="13"/>
      <c r="N92" s="13"/>
      <c r="O92" s="13"/>
      <c r="P92" s="13"/>
      <c r="Q92" s="13"/>
      <c r="R92" s="13"/>
      <c r="S92" s="13"/>
      <c r="T92" s="13"/>
      <c r="U92" s="88"/>
      <c r="V92" s="88"/>
      <c r="W92" s="13"/>
      <c r="AG92" s="13"/>
      <c r="AH92" s="13"/>
      <c r="AI92" s="13"/>
      <c r="AJ92" s="13"/>
      <c r="AK92" s="13"/>
      <c r="AL92" s="13"/>
      <c r="AM92" s="13"/>
      <c r="AN92" s="13"/>
      <c r="AO92" s="13"/>
      <c r="AP92" s="13"/>
      <c r="AQ92" s="13"/>
      <c r="AR92" s="13"/>
      <c r="AS92" s="13"/>
      <c r="AT92" s="13"/>
      <c r="AU92" s="13"/>
      <c r="AV92" s="88"/>
      <c r="AW92" s="88"/>
      <c r="AX92" s="13"/>
    </row>
    <row r="93" spans="6:50" x14ac:dyDescent="0.3">
      <c r="F93" s="13"/>
      <c r="G93" s="13"/>
      <c r="H93" s="13"/>
      <c r="I93" s="13"/>
      <c r="J93" s="13"/>
      <c r="K93" s="13"/>
      <c r="L93" s="13"/>
      <c r="M93" s="13"/>
      <c r="N93" s="13"/>
      <c r="O93" s="13"/>
      <c r="P93" s="13"/>
      <c r="Q93" s="13"/>
      <c r="R93" s="13"/>
      <c r="S93" s="13"/>
      <c r="T93" s="13"/>
      <c r="U93" s="88"/>
      <c r="V93" s="88"/>
      <c r="W93" s="13"/>
      <c r="AG93" s="13"/>
      <c r="AH93" s="13"/>
      <c r="AI93" s="13"/>
      <c r="AJ93" s="13"/>
      <c r="AK93" s="13"/>
      <c r="AL93" s="13"/>
      <c r="AM93" s="13"/>
      <c r="AN93" s="13"/>
      <c r="AO93" s="13"/>
      <c r="AP93" s="13"/>
      <c r="AQ93" s="13"/>
      <c r="AR93" s="13"/>
      <c r="AS93" s="13"/>
      <c r="AT93" s="13"/>
      <c r="AU93" s="13"/>
      <c r="AV93" s="88"/>
      <c r="AW93" s="88"/>
      <c r="AX93" s="13"/>
    </row>
    <row r="94" spans="6:50" x14ac:dyDescent="0.3">
      <c r="F94" s="13"/>
      <c r="G94" s="13"/>
      <c r="H94" s="13"/>
      <c r="I94" s="13"/>
      <c r="J94" s="13"/>
      <c r="K94" s="13"/>
      <c r="L94" s="13"/>
      <c r="M94" s="13"/>
      <c r="N94" s="13"/>
      <c r="O94" s="13"/>
      <c r="P94" s="13"/>
      <c r="Q94" s="13"/>
      <c r="R94" s="13"/>
      <c r="S94" s="13"/>
      <c r="T94" s="13"/>
      <c r="U94" s="88"/>
      <c r="V94" s="88"/>
      <c r="W94" s="13"/>
      <c r="AG94" s="13"/>
      <c r="AH94" s="13"/>
      <c r="AI94" s="13"/>
      <c r="AJ94" s="13"/>
      <c r="AK94" s="13"/>
      <c r="AL94" s="13"/>
      <c r="AM94" s="13"/>
      <c r="AN94" s="13"/>
      <c r="AO94" s="13"/>
      <c r="AP94" s="13"/>
      <c r="AQ94" s="13"/>
      <c r="AR94" s="13"/>
      <c r="AS94" s="13"/>
      <c r="AT94" s="13"/>
      <c r="AU94" s="13"/>
      <c r="AV94" s="88"/>
      <c r="AW94" s="88"/>
      <c r="AX94" s="13"/>
    </row>
    <row r="95" spans="6:50" x14ac:dyDescent="0.3">
      <c r="F95" s="13"/>
      <c r="G95" s="13"/>
      <c r="H95" s="13"/>
      <c r="I95" s="13"/>
      <c r="J95" s="13"/>
      <c r="K95" s="13"/>
      <c r="L95" s="13"/>
      <c r="M95" s="13"/>
      <c r="N95" s="13"/>
      <c r="O95" s="13"/>
      <c r="P95" s="13"/>
      <c r="Q95" s="13"/>
      <c r="R95" s="13"/>
      <c r="S95" s="13"/>
      <c r="T95" s="13"/>
      <c r="U95" s="88"/>
      <c r="V95" s="88"/>
      <c r="W95" s="13"/>
      <c r="AG95" s="13"/>
      <c r="AH95" s="13"/>
      <c r="AI95" s="13"/>
      <c r="AJ95" s="13"/>
      <c r="AK95" s="13"/>
      <c r="AL95" s="13"/>
      <c r="AM95" s="13"/>
      <c r="AN95" s="13"/>
      <c r="AO95" s="13"/>
      <c r="AP95" s="13"/>
      <c r="AQ95" s="13"/>
      <c r="AR95" s="13"/>
      <c r="AS95" s="13"/>
      <c r="AT95" s="13"/>
      <c r="AU95" s="13"/>
      <c r="AV95" s="88"/>
      <c r="AW95" s="88"/>
      <c r="AX95" s="13"/>
    </row>
    <row r="96" spans="6:50" x14ac:dyDescent="0.3">
      <c r="F96" s="13"/>
      <c r="G96" s="13"/>
      <c r="H96" s="13"/>
      <c r="I96" s="13"/>
      <c r="J96" s="13"/>
      <c r="K96" s="13"/>
      <c r="L96" s="13"/>
      <c r="M96" s="13"/>
      <c r="N96" s="13"/>
      <c r="O96" s="13"/>
      <c r="P96" s="13"/>
      <c r="Q96" s="13"/>
      <c r="R96" s="13"/>
      <c r="S96" s="13"/>
      <c r="T96" s="13"/>
      <c r="U96" s="88"/>
      <c r="V96" s="88"/>
      <c r="W96" s="13"/>
      <c r="AG96" s="13"/>
      <c r="AH96" s="13"/>
      <c r="AI96" s="13"/>
      <c r="AJ96" s="13"/>
      <c r="AK96" s="13"/>
      <c r="AL96" s="13"/>
      <c r="AM96" s="13"/>
      <c r="AN96" s="13"/>
      <c r="AO96" s="13"/>
      <c r="AP96" s="13"/>
      <c r="AQ96" s="13"/>
      <c r="AR96" s="13"/>
      <c r="AS96" s="13"/>
      <c r="AT96" s="13"/>
      <c r="AU96" s="13"/>
      <c r="AV96" s="88"/>
      <c r="AW96" s="88"/>
      <c r="AX96" s="13"/>
    </row>
    <row r="97" spans="6:50" x14ac:dyDescent="0.3">
      <c r="F97" s="13"/>
      <c r="G97" s="13"/>
      <c r="H97" s="13"/>
      <c r="I97" s="13"/>
      <c r="J97" s="13"/>
      <c r="K97" s="13"/>
      <c r="L97" s="13"/>
      <c r="M97" s="13"/>
      <c r="N97" s="13"/>
      <c r="O97" s="13"/>
      <c r="P97" s="13"/>
      <c r="Q97" s="13"/>
      <c r="R97" s="13"/>
      <c r="S97" s="13"/>
      <c r="T97" s="13"/>
      <c r="U97" s="88"/>
      <c r="V97" s="88"/>
      <c r="W97" s="13"/>
      <c r="AG97" s="13"/>
      <c r="AH97" s="13"/>
      <c r="AI97" s="13"/>
      <c r="AJ97" s="13"/>
      <c r="AK97" s="13"/>
      <c r="AL97" s="13"/>
      <c r="AM97" s="13"/>
      <c r="AN97" s="13"/>
      <c r="AO97" s="13"/>
      <c r="AP97" s="13"/>
      <c r="AQ97" s="13"/>
      <c r="AR97" s="13"/>
      <c r="AS97" s="13"/>
      <c r="AT97" s="13"/>
      <c r="AU97" s="13"/>
      <c r="AV97" s="88"/>
      <c r="AW97" s="88"/>
      <c r="AX97" s="13"/>
    </row>
    <row r="98" spans="6:50" x14ac:dyDescent="0.3">
      <c r="F98" s="13"/>
      <c r="G98" s="13"/>
      <c r="H98" s="13"/>
      <c r="I98" s="13"/>
      <c r="J98" s="13"/>
      <c r="K98" s="13"/>
      <c r="L98" s="13"/>
      <c r="M98" s="13"/>
      <c r="N98" s="13"/>
      <c r="O98" s="13"/>
      <c r="P98" s="13"/>
      <c r="Q98" s="13"/>
      <c r="R98" s="13"/>
      <c r="S98" s="13"/>
      <c r="T98" s="13"/>
      <c r="U98" s="88"/>
      <c r="V98" s="88"/>
      <c r="W98" s="13"/>
      <c r="AG98" s="13"/>
      <c r="AH98" s="13"/>
      <c r="AI98" s="13"/>
      <c r="AJ98" s="13"/>
      <c r="AK98" s="13"/>
      <c r="AL98" s="13"/>
      <c r="AM98" s="13"/>
      <c r="AN98" s="13"/>
      <c r="AO98" s="13"/>
      <c r="AP98" s="13"/>
      <c r="AQ98" s="13"/>
      <c r="AR98" s="13"/>
      <c r="AS98" s="13"/>
      <c r="AT98" s="13"/>
      <c r="AU98" s="13"/>
      <c r="AV98" s="88"/>
      <c r="AW98" s="88"/>
      <c r="AX98" s="13"/>
    </row>
    <row r="99" spans="6:50" x14ac:dyDescent="0.3">
      <c r="F99" s="13"/>
      <c r="G99" s="13"/>
      <c r="H99" s="13"/>
      <c r="I99" s="13"/>
      <c r="J99" s="13"/>
      <c r="K99" s="13"/>
      <c r="L99" s="13"/>
      <c r="M99" s="13"/>
      <c r="N99" s="13"/>
      <c r="O99" s="13"/>
      <c r="P99" s="13"/>
      <c r="Q99" s="13"/>
      <c r="R99" s="13"/>
      <c r="S99" s="13"/>
      <c r="T99" s="13"/>
      <c r="U99" s="13"/>
      <c r="V99" s="13"/>
      <c r="W99" s="13"/>
      <c r="AG99" s="13"/>
      <c r="AH99" s="13"/>
      <c r="AI99" s="13"/>
      <c r="AJ99" s="13"/>
      <c r="AK99" s="13"/>
      <c r="AL99" s="13"/>
      <c r="AM99" s="13"/>
      <c r="AN99" s="13"/>
      <c r="AO99" s="13"/>
      <c r="AP99" s="13"/>
      <c r="AQ99" s="13"/>
      <c r="AR99" s="13"/>
      <c r="AS99" s="13"/>
      <c r="AT99" s="13"/>
      <c r="AU99" s="13"/>
      <c r="AV99" s="13"/>
      <c r="AW99" s="13"/>
      <c r="AX99" s="13"/>
    </row>
    <row r="100" spans="6:50" x14ac:dyDescent="0.3">
      <c r="F100" s="13"/>
      <c r="G100" s="13"/>
      <c r="H100" s="13"/>
      <c r="I100" s="13"/>
      <c r="J100" s="13"/>
      <c r="K100" s="13"/>
      <c r="L100" s="13"/>
      <c r="M100" s="13"/>
      <c r="N100" s="13"/>
      <c r="O100" s="13"/>
      <c r="P100" s="13"/>
      <c r="Q100" s="13"/>
      <c r="R100" s="13"/>
      <c r="S100" s="13"/>
      <c r="T100" s="14"/>
      <c r="U100" s="88"/>
      <c r="V100" s="88"/>
      <c r="W100" s="13"/>
      <c r="AG100" s="13"/>
      <c r="AH100" s="13"/>
      <c r="AI100" s="13"/>
      <c r="AJ100" s="13"/>
      <c r="AK100" s="13"/>
      <c r="AL100" s="13"/>
      <c r="AM100" s="13"/>
      <c r="AN100" s="13"/>
      <c r="AO100" s="13"/>
      <c r="AP100" s="13"/>
      <c r="AQ100" s="13"/>
      <c r="AR100" s="13"/>
      <c r="AS100" s="13"/>
      <c r="AT100" s="13"/>
      <c r="AU100" s="14"/>
      <c r="AV100" s="88"/>
      <c r="AW100" s="88"/>
      <c r="AX100" s="13"/>
    </row>
    <row r="101" spans="6:50" x14ac:dyDescent="0.3">
      <c r="F101" s="13"/>
      <c r="G101" s="13"/>
      <c r="H101" s="13"/>
      <c r="I101" s="13"/>
      <c r="J101" s="13"/>
      <c r="K101" s="13"/>
      <c r="L101" s="13"/>
      <c r="M101" s="13"/>
      <c r="N101" s="13"/>
      <c r="O101" s="13"/>
      <c r="P101" s="13"/>
      <c r="Q101" s="13"/>
      <c r="R101" s="13"/>
      <c r="S101" s="13"/>
      <c r="T101" s="13"/>
      <c r="U101" s="13"/>
      <c r="V101" s="13"/>
      <c r="W101" s="13"/>
      <c r="AG101" s="13"/>
      <c r="AH101" s="13"/>
      <c r="AI101" s="13"/>
      <c r="AJ101" s="13"/>
      <c r="AK101" s="13"/>
      <c r="AL101" s="13"/>
      <c r="AM101" s="13"/>
      <c r="AN101" s="13"/>
      <c r="AO101" s="13"/>
      <c r="AP101" s="13"/>
      <c r="AQ101" s="13"/>
      <c r="AR101" s="13"/>
      <c r="AS101" s="13"/>
      <c r="AT101" s="13"/>
      <c r="AU101" s="13"/>
      <c r="AV101" s="13"/>
      <c r="AW101" s="13"/>
      <c r="AX101" s="13"/>
    </row>
    <row r="102" spans="6:50" x14ac:dyDescent="0.3">
      <c r="F102" s="13"/>
      <c r="G102" s="13"/>
      <c r="H102" s="13"/>
      <c r="I102" s="13"/>
      <c r="J102" s="13"/>
      <c r="K102" s="13"/>
      <c r="L102" s="13"/>
      <c r="M102" s="13"/>
      <c r="N102" s="13"/>
      <c r="O102" s="13"/>
      <c r="P102" s="13"/>
      <c r="Q102" s="13"/>
      <c r="R102" s="13"/>
      <c r="S102" s="13"/>
      <c r="T102" s="13"/>
      <c r="U102" s="13"/>
      <c r="V102" s="13"/>
      <c r="W102" s="13"/>
      <c r="AG102" s="13"/>
      <c r="AH102" s="13"/>
      <c r="AI102" s="13"/>
      <c r="AJ102" s="13"/>
      <c r="AK102" s="13"/>
      <c r="AL102" s="13"/>
      <c r="AM102" s="13"/>
      <c r="AN102" s="13"/>
      <c r="AO102" s="13"/>
      <c r="AP102" s="13"/>
      <c r="AQ102" s="13"/>
      <c r="AR102" s="13"/>
      <c r="AS102" s="13"/>
      <c r="AT102" s="13"/>
      <c r="AU102" s="13"/>
      <c r="AV102" s="13"/>
      <c r="AW102" s="13"/>
      <c r="AX102" s="13"/>
    </row>
    <row r="103" spans="6:50" x14ac:dyDescent="0.3">
      <c r="F103" s="13"/>
      <c r="G103" s="13"/>
      <c r="H103" s="13"/>
      <c r="I103" s="13"/>
      <c r="J103" s="13"/>
      <c r="K103" s="13"/>
      <c r="L103" s="13"/>
      <c r="M103" s="13"/>
      <c r="N103" s="13"/>
      <c r="O103" s="13"/>
      <c r="P103" s="13"/>
      <c r="Q103" s="13"/>
      <c r="R103" s="13"/>
      <c r="S103" s="13"/>
      <c r="T103" s="13"/>
      <c r="U103" s="13"/>
      <c r="V103" s="13"/>
      <c r="W103" s="13"/>
      <c r="AG103" s="13"/>
      <c r="AH103" s="13"/>
      <c r="AI103" s="13"/>
      <c r="AJ103" s="13"/>
      <c r="AK103" s="13"/>
      <c r="AL103" s="13"/>
      <c r="AM103" s="13"/>
      <c r="AN103" s="13"/>
      <c r="AO103" s="13"/>
      <c r="AP103" s="13"/>
      <c r="AQ103" s="13"/>
      <c r="AR103" s="13"/>
      <c r="AS103" s="13"/>
      <c r="AT103" s="13"/>
      <c r="AU103" s="13"/>
      <c r="AV103" s="13"/>
      <c r="AW103" s="13"/>
      <c r="AX103" s="13"/>
    </row>
    <row r="104" spans="6:50" x14ac:dyDescent="0.3">
      <c r="F104" s="13"/>
      <c r="G104" s="13"/>
      <c r="H104" s="13"/>
      <c r="I104" s="13"/>
      <c r="J104" s="13"/>
      <c r="K104" s="13"/>
      <c r="L104" s="13"/>
      <c r="M104" s="13"/>
      <c r="N104" s="13"/>
      <c r="O104" s="13"/>
      <c r="P104" s="13"/>
      <c r="Q104" s="13"/>
      <c r="R104" s="13"/>
      <c r="S104" s="13"/>
      <c r="T104" s="13"/>
      <c r="U104" s="13"/>
      <c r="V104" s="13"/>
      <c r="W104" s="13"/>
      <c r="AG104" s="13"/>
      <c r="AH104" s="13"/>
      <c r="AI104" s="13"/>
      <c r="AJ104" s="13"/>
      <c r="AK104" s="13"/>
      <c r="AL104" s="13"/>
      <c r="AM104" s="13"/>
      <c r="AN104" s="13"/>
      <c r="AO104" s="13"/>
      <c r="AP104" s="13"/>
      <c r="AQ104" s="13"/>
      <c r="AR104" s="13"/>
      <c r="AS104" s="13"/>
      <c r="AT104" s="13"/>
      <c r="AU104" s="13"/>
      <c r="AV104" s="13"/>
      <c r="AW104" s="13"/>
      <c r="AX104" s="13"/>
    </row>
    <row r="105" spans="6:50" x14ac:dyDescent="0.3">
      <c r="F105" s="13"/>
      <c r="G105" s="13"/>
      <c r="H105" s="13"/>
      <c r="I105" s="13"/>
      <c r="J105" s="13"/>
      <c r="K105" s="13"/>
      <c r="L105" s="13"/>
      <c r="M105" s="13"/>
      <c r="N105" s="13"/>
      <c r="O105" s="13"/>
      <c r="P105" s="13"/>
      <c r="Q105" s="13"/>
      <c r="R105" s="13"/>
      <c r="S105" s="13"/>
      <c r="T105" s="13"/>
      <c r="U105" s="13"/>
      <c r="V105" s="13"/>
      <c r="W105" s="13"/>
      <c r="AG105" s="13"/>
      <c r="AH105" s="13"/>
      <c r="AI105" s="13"/>
      <c r="AJ105" s="13"/>
      <c r="AK105" s="13"/>
      <c r="AL105" s="13"/>
      <c r="AM105" s="13"/>
      <c r="AN105" s="13"/>
      <c r="AO105" s="13"/>
      <c r="AP105" s="13"/>
      <c r="AQ105" s="13"/>
      <c r="AR105" s="13"/>
      <c r="AS105" s="13"/>
      <c r="AT105" s="13"/>
      <c r="AU105" s="13"/>
      <c r="AV105" s="13"/>
      <c r="AW105" s="13"/>
      <c r="AX105" s="13"/>
    </row>
    <row r="106" spans="6:50" x14ac:dyDescent="0.3">
      <c r="F106" s="13"/>
      <c r="G106" s="13"/>
      <c r="H106" s="13"/>
      <c r="I106" s="13"/>
      <c r="J106" s="13"/>
      <c r="K106" s="13"/>
      <c r="L106" s="13"/>
      <c r="M106" s="13"/>
      <c r="N106" s="13"/>
      <c r="O106" s="13"/>
      <c r="P106" s="13"/>
      <c r="Q106" s="13"/>
      <c r="R106" s="13"/>
      <c r="S106" s="13"/>
      <c r="T106" s="13"/>
      <c r="U106" s="13"/>
      <c r="V106" s="13"/>
      <c r="W106" s="13"/>
      <c r="AG106" s="13"/>
      <c r="AH106" s="13"/>
      <c r="AI106" s="13"/>
      <c r="AJ106" s="13"/>
      <c r="AK106" s="13"/>
      <c r="AL106" s="13"/>
      <c r="AM106" s="13"/>
      <c r="AN106" s="13"/>
      <c r="AO106" s="13"/>
      <c r="AP106" s="13"/>
      <c r="AQ106" s="13"/>
      <c r="AR106" s="13"/>
      <c r="AS106" s="13"/>
      <c r="AT106" s="13"/>
      <c r="AU106" s="13"/>
      <c r="AV106" s="13"/>
      <c r="AW106" s="13"/>
      <c r="AX106" s="13"/>
    </row>
    <row r="107" spans="6:50" x14ac:dyDescent="0.3">
      <c r="F107" s="13"/>
      <c r="G107" s="13"/>
      <c r="H107" s="13"/>
      <c r="I107" s="13"/>
      <c r="J107" s="13"/>
      <c r="K107" s="13"/>
      <c r="L107" s="13"/>
      <c r="M107" s="13"/>
      <c r="N107" s="13"/>
      <c r="O107" s="13"/>
      <c r="P107" s="13"/>
      <c r="Q107" s="13"/>
      <c r="R107" s="13"/>
      <c r="S107" s="13"/>
      <c r="T107" s="13"/>
      <c r="U107" s="13"/>
      <c r="V107" s="13"/>
      <c r="W107" s="13"/>
      <c r="AG107" s="13"/>
      <c r="AH107" s="13"/>
      <c r="AI107" s="13"/>
      <c r="AJ107" s="13"/>
      <c r="AK107" s="13"/>
      <c r="AL107" s="13"/>
      <c r="AM107" s="13"/>
      <c r="AN107" s="13"/>
      <c r="AO107" s="13"/>
      <c r="AP107" s="13"/>
      <c r="AQ107" s="13"/>
      <c r="AR107" s="13"/>
      <c r="AS107" s="13"/>
      <c r="AT107" s="13"/>
      <c r="AU107" s="13"/>
      <c r="AV107" s="13"/>
      <c r="AW107" s="13"/>
      <c r="AX107" s="13"/>
    </row>
  </sheetData>
  <mergeCells count="12">
    <mergeCell ref="AV90:AW90"/>
    <mergeCell ref="AH70:AI70"/>
    <mergeCell ref="AK70:AL70"/>
    <mergeCell ref="AN70:AO70"/>
    <mergeCell ref="AV70:AW70"/>
    <mergeCell ref="AN80:AO80"/>
    <mergeCell ref="U90:V90"/>
    <mergeCell ref="G70:H70"/>
    <mergeCell ref="J70:K70"/>
    <mergeCell ref="M70:N70"/>
    <mergeCell ref="U70:V70"/>
    <mergeCell ref="M80:N80"/>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BC317"/>
  <sheetViews>
    <sheetView showGridLines="0" topLeftCell="AL1" zoomScaleNormal="100" workbookViewId="0">
      <selection activeCell="BC23" sqref="BC23"/>
    </sheetView>
  </sheetViews>
  <sheetFormatPr defaultRowHeight="14.4" x14ac:dyDescent="0.3"/>
  <cols>
    <col min="1" max="1" width="14.109375" customWidth="1"/>
    <col min="2" max="2" width="14.44140625" bestFit="1" customWidth="1"/>
    <col min="3" max="3" width="11.5546875" customWidth="1"/>
    <col min="4" max="4" width="9.5546875" bestFit="1" customWidth="1"/>
    <col min="5" max="5" width="12.33203125" customWidth="1"/>
    <col min="6" max="6" width="13.33203125" customWidth="1"/>
    <col min="7" max="7" width="13.44140625" customWidth="1"/>
    <col min="8" max="8" width="12.6640625" customWidth="1"/>
    <col min="9" max="9" width="17.109375" customWidth="1"/>
    <col min="10" max="10" width="10.5546875" bestFit="1" customWidth="1"/>
    <col min="11" max="11" width="12.44140625" customWidth="1"/>
    <col min="12" max="12" width="12.33203125" customWidth="1"/>
    <col min="13" max="13" width="10.109375" customWidth="1"/>
    <col min="14" max="14" width="12.5546875" customWidth="1"/>
    <col min="15" max="15" width="13.33203125" bestFit="1" customWidth="1"/>
    <col min="16" max="16" width="11.109375" bestFit="1" customWidth="1"/>
    <col min="17" max="17" width="12" customWidth="1"/>
    <col min="18" max="18" width="13.109375" customWidth="1"/>
    <col min="19" max="20" width="12.44140625" customWidth="1"/>
    <col min="21" max="21" width="10.6640625" customWidth="1"/>
    <col min="22" max="22" width="10.44140625" customWidth="1"/>
    <col min="24" max="24" width="10.5546875" bestFit="1" customWidth="1"/>
    <col min="28" max="28" width="14.109375" customWidth="1"/>
    <col min="29" max="29" width="14.33203125" bestFit="1" customWidth="1"/>
    <col min="30" max="30" width="11.5546875" customWidth="1"/>
    <col min="32" max="32" width="12.33203125" customWidth="1"/>
    <col min="33" max="33" width="13.33203125" customWidth="1"/>
    <col min="34" max="34" width="13.44140625" customWidth="1"/>
    <col min="35" max="35" width="12.6640625" customWidth="1"/>
    <col min="36" max="36" width="17.109375" customWidth="1"/>
    <col min="37" max="37" width="10.5546875" bestFit="1" customWidth="1"/>
    <col min="38" max="38" width="12.44140625" customWidth="1"/>
    <col min="39" max="39" width="12.33203125" customWidth="1"/>
    <col min="40" max="40" width="10.109375" customWidth="1"/>
    <col min="41" max="41" width="12.5546875" customWidth="1"/>
    <col min="42" max="42" width="13.33203125" bestFit="1" customWidth="1"/>
    <col min="43" max="43" width="11.109375" bestFit="1" customWidth="1"/>
    <col min="44" max="44" width="12" customWidth="1"/>
    <col min="45" max="45" width="13.109375" customWidth="1"/>
    <col min="46" max="47" width="12.44140625" customWidth="1"/>
    <col min="48" max="48" width="10.6640625" customWidth="1"/>
    <col min="49" max="49" width="10.44140625" customWidth="1"/>
    <col min="51" max="51" width="10.5546875" bestFit="1" customWidth="1"/>
    <col min="62" max="62" width="11" customWidth="1"/>
    <col min="63" max="63" width="11.33203125" customWidth="1"/>
    <col min="66" max="66" width="8.88671875" customWidth="1"/>
  </cols>
  <sheetData>
    <row r="1" spans="1:50" ht="15" thickBot="1" x14ac:dyDescent="0.35"/>
    <row r="2" spans="1:50" ht="18.600000000000001" thickBot="1" x14ac:dyDescent="0.4">
      <c r="A2" s="621"/>
      <c r="B2" s="622" t="s">
        <v>311</v>
      </c>
      <c r="C2" s="621"/>
      <c r="D2" s="1109"/>
      <c r="E2" s="1109"/>
      <c r="F2" s="1109"/>
      <c r="G2" s="1109"/>
      <c r="H2" s="1109"/>
      <c r="I2" s="1109"/>
      <c r="J2" s="1109"/>
      <c r="K2" s="1109"/>
      <c r="L2" s="1109"/>
      <c r="M2" s="1109"/>
      <c r="N2" s="1109"/>
      <c r="O2" s="1109"/>
      <c r="P2" s="1109"/>
      <c r="Q2" s="1109"/>
      <c r="R2" s="1109"/>
      <c r="S2" s="1109"/>
      <c r="T2" s="1109"/>
      <c r="U2" s="1109"/>
      <c r="V2" s="1109"/>
      <c r="W2" s="1109"/>
      <c r="AB2" s="621"/>
      <c r="AC2" s="622" t="s">
        <v>333</v>
      </c>
      <c r="AD2" s="621"/>
      <c r="AE2" s="1109"/>
      <c r="AF2" s="1109"/>
      <c r="AG2" s="1109"/>
      <c r="AH2" s="1109"/>
      <c r="AI2" s="1109"/>
      <c r="AJ2" s="1109"/>
      <c r="AK2" s="1109"/>
      <c r="AL2" s="1109"/>
      <c r="AM2" s="1109"/>
      <c r="AN2" s="1109"/>
      <c r="AO2" s="1109"/>
      <c r="AP2" s="1109"/>
      <c r="AQ2" s="1109"/>
      <c r="AR2" s="1109"/>
      <c r="AS2" s="1109"/>
      <c r="AT2" s="1109"/>
      <c r="AU2" s="1109"/>
      <c r="AV2" s="1109"/>
      <c r="AW2" s="1109"/>
      <c r="AX2" s="1109"/>
    </row>
    <row r="3" spans="1:50" ht="18.600000000000001" thickBot="1" x14ac:dyDescent="0.4">
      <c r="A3" s="349"/>
      <c r="B3" s="349" t="s">
        <v>157</v>
      </c>
      <c r="C3" s="349"/>
      <c r="D3" s="1106"/>
      <c r="E3" s="1106"/>
      <c r="F3" s="1106"/>
      <c r="G3" s="1106"/>
      <c r="H3" s="1106"/>
      <c r="I3" s="1106"/>
      <c r="J3" s="1106"/>
      <c r="K3" s="1106"/>
      <c r="L3" s="1106"/>
      <c r="M3" s="1106"/>
      <c r="N3" s="1106"/>
      <c r="O3" s="1106"/>
      <c r="P3" s="1106"/>
      <c r="Q3" s="1106"/>
      <c r="R3" s="1106"/>
      <c r="S3" s="1106"/>
      <c r="T3" s="1106"/>
      <c r="U3" s="1106"/>
      <c r="V3" s="1106"/>
      <c r="W3" s="1106"/>
      <c r="AB3" s="588"/>
      <c r="AC3" s="588" t="s">
        <v>157</v>
      </c>
      <c r="AD3" s="588"/>
      <c r="AE3" s="1106"/>
      <c r="AF3" s="1106"/>
      <c r="AG3" s="1106"/>
      <c r="AH3" s="1106"/>
      <c r="AI3" s="1106"/>
      <c r="AJ3" s="1106"/>
      <c r="AK3" s="1106"/>
      <c r="AL3" s="1106"/>
      <c r="AM3" s="1106"/>
      <c r="AN3" s="1106"/>
      <c r="AO3" s="1106"/>
      <c r="AP3" s="1106"/>
      <c r="AQ3" s="1106"/>
      <c r="AR3" s="1106"/>
      <c r="AS3" s="1106"/>
      <c r="AT3" s="1106"/>
      <c r="AU3" s="1106"/>
      <c r="AV3" s="1106"/>
      <c r="AW3" s="1106"/>
      <c r="AX3" s="1106"/>
    </row>
    <row r="5" spans="1:50" x14ac:dyDescent="0.3">
      <c r="AX5" s="28"/>
    </row>
    <row r="6" spans="1:50" ht="15.75" customHeight="1" x14ac:dyDescent="0.3">
      <c r="A6" t="s">
        <v>68</v>
      </c>
      <c r="N6" s="55">
        <f>SUM(Antibody_Candidate!W24,Antibody_Candidate!AX24,Antibody_Candidate!R39,Antibody_Candidate!AS39,Antibody_Candidate!V67,Antibody_Candidate!AW67,Antibody_Candidate!R81)</f>
        <v>80996.836650783967</v>
      </c>
      <c r="O6" s="28">
        <f>O12+O25</f>
        <v>1109646.3407000001</v>
      </c>
      <c r="P6" s="19"/>
      <c r="Q6" s="19"/>
      <c r="R6" s="19"/>
      <c r="T6" s="2" t="s">
        <v>5</v>
      </c>
      <c r="U6" s="21">
        <f>U9+U12+U15</f>
        <v>165600.66624278287</v>
      </c>
      <c r="AB6" t="s">
        <v>68</v>
      </c>
      <c r="AO6" s="2" t="s">
        <v>5</v>
      </c>
      <c r="AP6" s="28">
        <f>AP12+AP25</f>
        <v>1109646.3407000001</v>
      </c>
      <c r="AQ6" s="19"/>
      <c r="AR6" s="19"/>
      <c r="AS6" s="19"/>
      <c r="AU6" s="2" t="s">
        <v>5</v>
      </c>
      <c r="AV6" s="21">
        <f>AV9+AV12+AV15</f>
        <v>83060.542075309306</v>
      </c>
    </row>
    <row r="7" spans="1:50" x14ac:dyDescent="0.3">
      <c r="U7" s="22"/>
      <c r="V7" s="22"/>
      <c r="AV7" s="22"/>
      <c r="AW7" s="22"/>
    </row>
    <row r="8" spans="1:50" x14ac:dyDescent="0.3">
      <c r="U8" s="237" t="s">
        <v>160</v>
      </c>
      <c r="V8" s="237" t="s">
        <v>161</v>
      </c>
      <c r="W8" s="237" t="s">
        <v>162</v>
      </c>
      <c r="AV8" s="589" t="s">
        <v>160</v>
      </c>
      <c r="AW8" s="589" t="s">
        <v>161</v>
      </c>
      <c r="AX8" s="589" t="s">
        <v>162</v>
      </c>
    </row>
    <row r="9" spans="1:50" x14ac:dyDescent="0.3">
      <c r="Q9" s="14" t="s">
        <v>128</v>
      </c>
      <c r="R9" s="71">
        <f>$O$12*R14</f>
        <v>137950.42169043681</v>
      </c>
      <c r="T9" s="2" t="s">
        <v>64</v>
      </c>
      <c r="U9" s="33">
        <f>$O$12*U10</f>
        <v>111353.12738874722</v>
      </c>
      <c r="V9" s="33">
        <f t="shared" ref="V9:W9" si="0">$O$12*V10</f>
        <v>92836.750051042312</v>
      </c>
      <c r="W9" s="33">
        <f t="shared" si="0"/>
        <v>129858.42371069051</v>
      </c>
      <c r="AR9" s="14" t="s">
        <v>128</v>
      </c>
      <c r="AS9" s="71">
        <f>$O$12*AS14</f>
        <v>68970.115632044501</v>
      </c>
      <c r="AU9" s="2" t="s">
        <v>64</v>
      </c>
      <c r="AV9" s="33">
        <f>$AP$12*AV10</f>
        <v>57193.278838848368</v>
      </c>
      <c r="AW9" s="33">
        <f t="shared" ref="AW9:AX9" si="1">$AP$12*AW10</f>
        <v>47689.816675723057</v>
      </c>
      <c r="AX9" s="33">
        <f t="shared" si="1"/>
        <v>67143.961484734333</v>
      </c>
    </row>
    <row r="10" spans="1:50" x14ac:dyDescent="0.3">
      <c r="Q10" s="285" t="s">
        <v>129</v>
      </c>
      <c r="R10" s="71">
        <f>$O$12*R15</f>
        <v>193581.78388211879</v>
      </c>
      <c r="S10" s="16"/>
      <c r="T10" s="15" t="s">
        <v>43</v>
      </c>
      <c r="U10" s="61">
        <f>'WiS percent RSV_base'!BV73</f>
        <v>0.10035010552866974</v>
      </c>
      <c r="V10" s="61">
        <f>'WiS percent RSV_low'!BT70</f>
        <v>8.3663367909164593E-2</v>
      </c>
      <c r="W10" s="61">
        <f>'WiS percent RSV_high'!BT72</f>
        <v>0.11702685706940799</v>
      </c>
      <c r="AR10" s="285" t="s">
        <v>129</v>
      </c>
      <c r="AS10" s="71">
        <f>$O$12*AS15</f>
        <v>97901.294847893718</v>
      </c>
      <c r="AT10" s="16"/>
      <c r="AU10" s="15" t="s">
        <v>43</v>
      </c>
      <c r="AV10" s="61">
        <f>'OoS percent RSV_base'!BF72</f>
        <v>5.1541898297766689E-2</v>
      </c>
      <c r="AW10" s="61">
        <f>'OoS percent RSV_low'!BF72</f>
        <v>4.2977491950848781E-2</v>
      </c>
      <c r="AX10" s="61">
        <f>'OoS percent RSV_high'!BF72</f>
        <v>6.0509334390611152E-2</v>
      </c>
    </row>
    <row r="11" spans="1:50" x14ac:dyDescent="0.3">
      <c r="Q11" s="2" t="s">
        <v>32</v>
      </c>
      <c r="R11" s="13"/>
      <c r="S11" s="11"/>
      <c r="T11" s="2"/>
      <c r="V11" s="22"/>
      <c r="AR11" s="2" t="s">
        <v>32</v>
      </c>
      <c r="AS11" s="13"/>
      <c r="AT11" s="11"/>
      <c r="AU11" s="2"/>
      <c r="AW11" s="22"/>
    </row>
    <row r="12" spans="1:50" x14ac:dyDescent="0.3">
      <c r="N12" s="514" t="s">
        <v>12</v>
      </c>
      <c r="O12" s="33">
        <f>I24*O13</f>
        <v>1109646.3407000001</v>
      </c>
      <c r="Q12" s="2" t="s">
        <v>303</v>
      </c>
      <c r="R12" s="33">
        <f>$O$12*R13</f>
        <v>165600.66624278284</v>
      </c>
      <c r="S12" s="18"/>
      <c r="T12" s="12" t="s">
        <v>65</v>
      </c>
      <c r="U12" s="33">
        <f>$O$12*U13</f>
        <v>41819.753484439461</v>
      </c>
      <c r="V12" s="33">
        <f t="shared" ref="V12" si="2">$O$12*V13</f>
        <v>35802.761925867489</v>
      </c>
      <c r="W12" s="33">
        <f t="shared" ref="W12" si="3">$O$12*W13</f>
        <v>47847.826058773062</v>
      </c>
      <c r="AO12" s="514" t="s">
        <v>12</v>
      </c>
      <c r="AP12" s="33">
        <f>AJ24*AP13</f>
        <v>1109646.3407000001</v>
      </c>
      <c r="AR12" s="2" t="s">
        <v>303</v>
      </c>
      <c r="AS12" s="33">
        <f>$O$12*AS13</f>
        <v>83060.542075309306</v>
      </c>
      <c r="AT12" s="18"/>
      <c r="AU12" s="12" t="s">
        <v>65</v>
      </c>
      <c r="AV12" s="33">
        <f>$AP$12*AV13</f>
        <v>22731.936838044872</v>
      </c>
      <c r="AW12" s="33">
        <f t="shared" ref="AW12:AX12" si="4">$AP$12*AW13</f>
        <v>19465.76099355736</v>
      </c>
      <c r="AX12" s="33">
        <f t="shared" si="4"/>
        <v>26001.75478775024</v>
      </c>
    </row>
    <row r="13" spans="1:50" x14ac:dyDescent="0.3">
      <c r="C13" s="28"/>
      <c r="N13" s="64" t="s">
        <v>75</v>
      </c>
      <c r="O13" s="66">
        <f>'Input 6_Product Efficacy'!$K$12</f>
        <v>0.8</v>
      </c>
      <c r="P13" s="17"/>
      <c r="Q13" s="17" t="s">
        <v>46</v>
      </c>
      <c r="R13" s="68">
        <f>U10+U13+U16</f>
        <v>0.14923733821202592</v>
      </c>
      <c r="S13" s="11"/>
      <c r="T13" s="2" t="s">
        <v>44</v>
      </c>
      <c r="U13" s="61">
        <f>'WiS percent RSV_base'!BV49</f>
        <v>3.7687461266315031E-2</v>
      </c>
      <c r="V13" s="61">
        <f>'WiS percent RSV_low'!BT47</f>
        <v>3.2265020495883374E-2</v>
      </c>
      <c r="W13" s="61">
        <f>'WiS percent RSV_high'!BT48</f>
        <v>4.311988811551358E-2</v>
      </c>
      <c r="AO13" s="64" t="s">
        <v>75</v>
      </c>
      <c r="AP13" s="66">
        <f>'Input 6_Product Efficacy'!$K$12</f>
        <v>0.8</v>
      </c>
      <c r="AQ13" s="17"/>
      <c r="AR13" s="17" t="s">
        <v>46</v>
      </c>
      <c r="AS13" s="68">
        <f>AV10+AV13+AV16</f>
        <v>7.4853166300636001E-2</v>
      </c>
      <c r="AT13" s="11"/>
      <c r="AU13" s="2" t="s">
        <v>44</v>
      </c>
      <c r="AV13" s="61">
        <f>'OoS percent RSV_base'!BF49</f>
        <v>2.0485749381829933E-2</v>
      </c>
      <c r="AW13" s="61">
        <f>'OoS percent RSV_low'!BF49</f>
        <v>1.7542310806231958E-2</v>
      </c>
      <c r="AX13" s="61">
        <f>'OoS percent RSV_high'!BF49</f>
        <v>2.3432470179054986E-2</v>
      </c>
    </row>
    <row r="14" spans="1:50" x14ac:dyDescent="0.3">
      <c r="N14" s="11"/>
      <c r="P14" s="13"/>
      <c r="Q14" s="14" t="s">
        <v>128</v>
      </c>
      <c r="R14" s="68">
        <f>V10+V13+V16</f>
        <v>0.12431926878920117</v>
      </c>
      <c r="S14" s="11"/>
      <c r="T14" s="2"/>
      <c r="AO14" s="11"/>
      <c r="AQ14" s="13"/>
      <c r="AR14" s="14" t="s">
        <v>128</v>
      </c>
      <c r="AS14" s="68">
        <f>AW10+AW13+AW16</f>
        <v>6.2155042649476924E-2</v>
      </c>
      <c r="AT14" s="11"/>
      <c r="AU14" s="2"/>
    </row>
    <row r="15" spans="1:50" x14ac:dyDescent="0.3">
      <c r="K15" s="14" t="s">
        <v>128</v>
      </c>
      <c r="L15" s="28"/>
      <c r="N15" s="11"/>
      <c r="P15" s="13"/>
      <c r="Q15" s="285" t="s">
        <v>129</v>
      </c>
      <c r="R15" s="68">
        <f>W10+W13+W16</f>
        <v>0.17445358650036305</v>
      </c>
      <c r="S15" s="18"/>
      <c r="T15" s="12" t="s">
        <v>66</v>
      </c>
      <c r="U15" s="33">
        <f>$O$12*U16</f>
        <v>12427.785369596169</v>
      </c>
      <c r="V15" s="33">
        <f t="shared" ref="V15" si="5">$O$12*V16</f>
        <v>9310.9097135270204</v>
      </c>
      <c r="W15" s="33">
        <f t="shared" ref="W15" si="6">$O$12*W16</f>
        <v>15875.534112655225</v>
      </c>
      <c r="AL15" s="14" t="s">
        <v>128</v>
      </c>
      <c r="AM15" s="28">
        <f>AJ24*AM20</f>
        <v>0</v>
      </c>
      <c r="AO15" s="11"/>
      <c r="AQ15" s="13"/>
      <c r="AR15" s="285" t="s">
        <v>129</v>
      </c>
      <c r="AS15" s="68">
        <f>AX10+AX13+AX16</f>
        <v>8.8227475058525837E-2</v>
      </c>
      <c r="AT15" s="18"/>
      <c r="AU15" s="12" t="s">
        <v>66</v>
      </c>
      <c r="AV15" s="33">
        <f>$AP$12*AV16</f>
        <v>3135.3263984160549</v>
      </c>
      <c r="AW15" s="33">
        <f t="shared" ref="AW15:AX15" si="7">$O$12*AW16</f>
        <v>1814.537962764088</v>
      </c>
      <c r="AX15" s="33">
        <f t="shared" si="7"/>
        <v>4755.5785754091412</v>
      </c>
    </row>
    <row r="16" spans="1:50" x14ac:dyDescent="0.3">
      <c r="K16" s="285" t="s">
        <v>129</v>
      </c>
      <c r="L16" s="28"/>
      <c r="N16" s="11"/>
      <c r="P16" s="13"/>
      <c r="T16" s="2" t="s">
        <v>45</v>
      </c>
      <c r="U16" s="61">
        <f>'WiS percent RSV_base'!BV24</f>
        <v>1.1199771417041152E-2</v>
      </c>
      <c r="V16" s="61">
        <f>'WiS percent RSV_low'!BT24</f>
        <v>8.3908803841532108E-3</v>
      </c>
      <c r="W16" s="61">
        <f>'WiS percent RSV_high'!BT24</f>
        <v>1.430684131544149E-2</v>
      </c>
      <c r="AL16" s="285" t="s">
        <v>129</v>
      </c>
      <c r="AM16" s="28"/>
      <c r="AO16" s="11"/>
      <c r="AQ16" s="13"/>
      <c r="AU16" s="2" t="s">
        <v>45</v>
      </c>
      <c r="AV16" s="61">
        <f>'OoS percent RSV_base'!BF28</f>
        <v>2.825518621039377E-3</v>
      </c>
      <c r="AW16" s="61">
        <f>'OoS percent RSV_low'!BF28</f>
        <v>1.6352398923961844E-3</v>
      </c>
      <c r="AX16" s="61">
        <f>'OoS percent RSV_high'!BF28</f>
        <v>4.285670488859695E-3</v>
      </c>
    </row>
    <row r="17" spans="4:51" x14ac:dyDescent="0.3">
      <c r="K17" s="2" t="s">
        <v>32</v>
      </c>
      <c r="L17" s="13"/>
      <c r="N17" s="11"/>
      <c r="O17" s="13"/>
      <c r="AL17" s="2" t="s">
        <v>32</v>
      </c>
      <c r="AM17" s="13"/>
      <c r="AO17" s="11"/>
      <c r="AP17" s="13"/>
    </row>
    <row r="18" spans="4:51" x14ac:dyDescent="0.3">
      <c r="K18" s="2" t="s">
        <v>34</v>
      </c>
      <c r="L18" s="33"/>
      <c r="N18" s="11"/>
      <c r="AL18" s="2" t="s">
        <v>34</v>
      </c>
      <c r="AM18" s="33">
        <f>AJ24*AM19</f>
        <v>0</v>
      </c>
      <c r="AO18" s="11"/>
    </row>
    <row r="19" spans="4:51" x14ac:dyDescent="0.3">
      <c r="K19" s="16" t="s">
        <v>46</v>
      </c>
      <c r="L19" s="68"/>
      <c r="M19" s="17"/>
      <c r="N19" s="11"/>
      <c r="R19" s="13"/>
      <c r="U19" s="13"/>
      <c r="AL19" s="16" t="s">
        <v>46</v>
      </c>
      <c r="AM19" s="68"/>
      <c r="AN19" s="17"/>
      <c r="AO19" s="11"/>
      <c r="AS19" s="101"/>
      <c r="AV19" s="13"/>
    </row>
    <row r="20" spans="4:51" x14ac:dyDescent="0.3">
      <c r="K20" s="59" t="s">
        <v>128</v>
      </c>
      <c r="L20" s="68"/>
      <c r="N20" s="11"/>
      <c r="O20" s="13"/>
      <c r="P20" s="13"/>
      <c r="Q20" s="13"/>
      <c r="R20" s="13"/>
      <c r="U20" s="237" t="s">
        <v>160</v>
      </c>
      <c r="V20" s="237" t="s">
        <v>161</v>
      </c>
      <c r="W20" s="237" t="s">
        <v>162</v>
      </c>
      <c r="AL20" s="59" t="s">
        <v>128</v>
      </c>
      <c r="AM20" s="68"/>
      <c r="AO20" s="11"/>
      <c r="AP20" s="13"/>
      <c r="AQ20" s="13"/>
      <c r="AR20" s="13"/>
      <c r="AS20" s="44"/>
      <c r="AT20" s="76"/>
      <c r="AU20" s="76"/>
      <c r="AV20" s="445" t="s">
        <v>160</v>
      </c>
      <c r="AW20" s="445" t="s">
        <v>161</v>
      </c>
      <c r="AX20" s="445" t="s">
        <v>162</v>
      </c>
      <c r="AY20" s="72"/>
    </row>
    <row r="21" spans="4:51" x14ac:dyDescent="0.3">
      <c r="K21" s="238" t="s">
        <v>129</v>
      </c>
      <c r="L21" s="68"/>
      <c r="N21" s="11"/>
      <c r="O21" s="13"/>
      <c r="T21" s="517" t="s">
        <v>6</v>
      </c>
      <c r="U21" s="518">
        <f>($I$24*$O$22*U10)+($I$24*U22)</f>
        <v>67896.153825525078</v>
      </c>
      <c r="V21" s="518">
        <f>($I$24*$O$22*V10)+($I$24*V22)</f>
        <v>56604.598764411174</v>
      </c>
      <c r="W21" s="518">
        <f>($I$24*$O$22*W10)+($I$24*W22)</f>
        <v>79171.087362996492</v>
      </c>
      <c r="AL21" s="238" t="s">
        <v>129</v>
      </c>
      <c r="AM21" s="68"/>
      <c r="AO21" s="11"/>
      <c r="AP21" s="13"/>
      <c r="AS21" s="72"/>
      <c r="AT21" s="76"/>
      <c r="AU21" s="661" t="s">
        <v>6</v>
      </c>
      <c r="AV21" s="662">
        <f>($AJ$24*$AP$22*AV10)+($AJ$24*AV22)</f>
        <v>15700.963926304579</v>
      </c>
      <c r="AW21" s="662">
        <f>($AJ$24*$AP$22*AW10)+($AJ$24*AW22)</f>
        <v>13092.008239708102</v>
      </c>
      <c r="AX21" s="662">
        <f>($AJ$24*$AP$22*AX10)+($AJ$24*AX22)</f>
        <v>18432.609241693946</v>
      </c>
      <c r="AY21" s="72"/>
    </row>
    <row r="22" spans="4:51" x14ac:dyDescent="0.3">
      <c r="K22" s="11"/>
      <c r="N22" s="59" t="s">
        <v>76</v>
      </c>
      <c r="O22" s="516">
        <f>1-O13</f>
        <v>0.19999999999999996</v>
      </c>
      <c r="S22" s="16"/>
      <c r="T22" s="15" t="s">
        <v>43</v>
      </c>
      <c r="U22" s="27">
        <f>'WiS percent RSV_base'!$BV$74</f>
        <v>2.8879739793901179E-2</v>
      </c>
      <c r="V22" s="27">
        <f>'WiS percent RSV_low'!BT71</f>
        <v>2.4076435907017888E-2</v>
      </c>
      <c r="W22" s="27">
        <f>'WiS percent RSV_high'!BT73</f>
        <v>3.367305760201756E-2</v>
      </c>
      <c r="AL22" s="11"/>
      <c r="AO22" s="59" t="s">
        <v>76</v>
      </c>
      <c r="AP22" s="516">
        <f>1-AP13</f>
        <v>0.19999999999999996</v>
      </c>
      <c r="AS22" s="72"/>
      <c r="AT22" s="663"/>
      <c r="AU22" s="664" t="s">
        <v>43</v>
      </c>
      <c r="AV22" s="667">
        <f>'OoS percent RSV_base'!BG72</f>
        <v>1.0112369429039231E-3</v>
      </c>
      <c r="AW22" s="667">
        <f>'OoS percent RSV_low'!BG72</f>
        <v>8.4319050340997664E-4</v>
      </c>
      <c r="AX22" s="667">
        <f>'OoS percent RSV_high'!BG72</f>
        <v>1.1871305731313482E-3</v>
      </c>
      <c r="AY22" s="72"/>
    </row>
    <row r="23" spans="4:51" x14ac:dyDescent="0.3">
      <c r="K23" s="11"/>
      <c r="L23" s="13"/>
      <c r="M23" s="13"/>
      <c r="N23" s="59" t="s">
        <v>299</v>
      </c>
      <c r="O23" s="68">
        <f>SUM(U22,U25,U28)</f>
        <v>3.6737247463648363E-2</v>
      </c>
      <c r="S23" s="11"/>
      <c r="T23" s="2"/>
      <c r="AL23" s="11"/>
      <c r="AM23" s="13"/>
      <c r="AN23" s="13"/>
      <c r="AO23" s="59" t="s">
        <v>299</v>
      </c>
      <c r="AP23" s="68">
        <f>SUM(AV22,AV25,AV28)</f>
        <v>1.4788249962708949E-3</v>
      </c>
      <c r="AS23" s="72"/>
      <c r="AT23" s="665"/>
      <c r="AU23" s="666"/>
      <c r="AY23" s="72"/>
    </row>
    <row r="24" spans="4:51" x14ac:dyDescent="0.3">
      <c r="H24" s="12" t="s">
        <v>257</v>
      </c>
      <c r="I24" s="30">
        <f>F31*I25</f>
        <v>1387057.925875</v>
      </c>
      <c r="J24" s="10"/>
      <c r="K24" s="11"/>
      <c r="L24" s="13"/>
      <c r="N24" s="65" t="s">
        <v>302</v>
      </c>
      <c r="O24" s="431">
        <f>(1-'Input 6_Product Efficacy'!$K$12)+O23</f>
        <v>0.23673724746364833</v>
      </c>
      <c r="P24" s="10"/>
      <c r="Q24" s="500"/>
      <c r="R24" s="10"/>
      <c r="S24" s="18"/>
      <c r="T24" s="359" t="s">
        <v>7</v>
      </c>
      <c r="U24" s="518">
        <f>($I$24*$O$22*U13)+($I$24*U25)</f>
        <v>20330.893668673896</v>
      </c>
      <c r="V24" s="518">
        <f>($I$24*$O$22*V13)+($I$24*V25)</f>
        <v>17413.816269421466</v>
      </c>
      <c r="W24" s="518">
        <f>($I$24*$O$22*W13)+($I$24*W25)</f>
        <v>23264.592591568791</v>
      </c>
      <c r="AI24" s="12" t="s">
        <v>257</v>
      </c>
      <c r="AJ24" s="30">
        <f>AG31*AJ25</f>
        <v>1387057.925875</v>
      </c>
      <c r="AK24" s="500"/>
      <c r="AL24" s="11"/>
      <c r="AM24" s="13"/>
      <c r="AO24" s="65" t="s">
        <v>302</v>
      </c>
      <c r="AP24" s="431">
        <f>(1-'Input 6_Product Efficacy'!$K$12)+AP23</f>
        <v>0.20147882499627084</v>
      </c>
      <c r="AQ24" s="500"/>
      <c r="AR24" s="500"/>
      <c r="AS24" s="660"/>
      <c r="AT24" s="668"/>
      <c r="AU24" s="669" t="s">
        <v>7</v>
      </c>
      <c r="AV24" s="662">
        <f>($AJ$24*$AP$22*AV13)+($AJ$24*AV25)</f>
        <v>6256.6676865421023</v>
      </c>
      <c r="AW24" s="662">
        <f>($AJ$24*$AP$22*AW13)+($AJ$24*AW25)</f>
        <v>5357.636166849592</v>
      </c>
      <c r="AX24" s="662">
        <f>($AJ$24*$AP$22*AX13)+($AJ$24*AX25)</f>
        <v>7156.4105185289973</v>
      </c>
      <c r="AY24" s="72"/>
    </row>
    <row r="25" spans="4:51" x14ac:dyDescent="0.3">
      <c r="H25" s="59" t="s">
        <v>38</v>
      </c>
      <c r="I25" s="60">
        <f>'Input 5_Product Uptake'!M13</f>
        <v>0.71</v>
      </c>
      <c r="K25" s="11"/>
      <c r="L25" s="13"/>
      <c r="N25" s="514" t="s">
        <v>301</v>
      </c>
      <c r="O25" s="71"/>
      <c r="S25" s="11"/>
      <c r="T25" s="2" t="s">
        <v>44</v>
      </c>
      <c r="U25" s="27">
        <f>'WiS percent RSV_base'!$BV$50</f>
        <v>7.1200741608062031E-3</v>
      </c>
      <c r="V25" s="27">
        <f>'WiS percent RSV_low'!BT48</f>
        <v>6.1014941265814752E-3</v>
      </c>
      <c r="W25" s="27">
        <f>'WiS percent RSV_high'!BT49</f>
        <v>8.1486402737978424E-3</v>
      </c>
      <c r="AI25" s="59" t="s">
        <v>38</v>
      </c>
      <c r="AJ25" s="60">
        <f>I25</f>
        <v>0.71</v>
      </c>
      <c r="AL25" s="11"/>
      <c r="AM25" s="13"/>
      <c r="AO25" s="514" t="s">
        <v>301</v>
      </c>
      <c r="AP25" s="71"/>
      <c r="AS25" s="72"/>
      <c r="AT25" s="665"/>
      <c r="AU25" s="666" t="s">
        <v>44</v>
      </c>
      <c r="AV25" s="667">
        <f>'OoS percent RSV_base'!BG49</f>
        <v>4.1359734610145265E-4</v>
      </c>
      <c r="AW25" s="667">
        <f>'OoS percent RSV_low'!BG49</f>
        <v>3.5412790576167961E-4</v>
      </c>
      <c r="AX25" s="667">
        <f>'OoS percent RSV_high'!BG49</f>
        <v>4.7292316301615877E-4</v>
      </c>
      <c r="AY25" s="72"/>
    </row>
    <row r="26" spans="4:51" x14ac:dyDescent="0.3">
      <c r="H26" s="11"/>
      <c r="K26" s="11"/>
      <c r="L26" s="13"/>
      <c r="N26" s="2" t="s">
        <v>298</v>
      </c>
      <c r="O26" s="13"/>
      <c r="S26" s="11"/>
      <c r="T26" s="2"/>
      <c r="AI26" s="11"/>
      <c r="AL26" s="11"/>
      <c r="AM26" s="13"/>
      <c r="AO26" s="2" t="s">
        <v>298</v>
      </c>
      <c r="AP26" s="13"/>
      <c r="AS26" s="72"/>
      <c r="AT26" s="665"/>
      <c r="AU26" s="666"/>
      <c r="AY26" s="72"/>
    </row>
    <row r="27" spans="4:51" x14ac:dyDescent="0.3">
      <c r="H27" s="11"/>
      <c r="K27" s="11"/>
      <c r="S27" s="18"/>
      <c r="T27" s="359" t="s">
        <v>8</v>
      </c>
      <c r="U27" s="518">
        <f>($I$24*$O$22*U16)+($I$24*U28)</f>
        <v>4129.8093357814423</v>
      </c>
      <c r="V27" s="518">
        <f>($I$24*$O$22*V16)+($I$24*V28)</f>
        <v>2923.0016384617447</v>
      </c>
      <c r="W27" s="518">
        <f>($I$24*$O$22*W16)+($I$24*W28)</f>
        <v>5495.377192842192</v>
      </c>
      <c r="AI27" s="11"/>
      <c r="AL27" s="11"/>
      <c r="AS27" s="72"/>
      <c r="AT27" s="668"/>
      <c r="AU27" s="669" t="s">
        <v>8</v>
      </c>
      <c r="AV27" s="662">
        <f>($AJ$24*$AP$22*AV16)+($AJ$24*AV28)</f>
        <v>858.71983804024876</v>
      </c>
      <c r="AW27" s="662">
        <f>($AJ$24*$AP$22*AW16)+($AJ$24*AW28)</f>
        <v>490.26337348274564</v>
      </c>
      <c r="AX27" s="662">
        <f>($AJ$24*$AP$22*AX16)+($AJ$24*AX28)</f>
        <v>1314.7788304314981</v>
      </c>
      <c r="AY27" s="72"/>
    </row>
    <row r="28" spans="4:51" x14ac:dyDescent="0.3">
      <c r="H28" s="11"/>
      <c r="K28" s="11"/>
      <c r="T28" s="2" t="s">
        <v>45</v>
      </c>
      <c r="U28" s="61">
        <f>'WiS percent RSV_base'!$BV$25</f>
        <v>7.3743350894098128E-4</v>
      </c>
      <c r="V28" s="27">
        <f>'WiS percent RSV_low'!BT25</f>
        <v>4.2916319425122246E-4</v>
      </c>
      <c r="W28" s="27">
        <f>'WiS percent RSV_high'!BT25</f>
        <v>1.1005262550339606E-3</v>
      </c>
      <c r="AI28" s="11"/>
      <c r="AL28" s="11"/>
      <c r="AS28" s="72"/>
      <c r="AT28" s="76"/>
      <c r="AU28" s="666" t="s">
        <v>45</v>
      </c>
      <c r="AV28" s="447">
        <f>'OoS percent RSV_base'!BG28</f>
        <v>5.3990707265519015E-5</v>
      </c>
      <c r="AW28" s="667">
        <f>'OoS percent RSV_low'!BG28</f>
        <v>2.6407608585356751E-5</v>
      </c>
      <c r="AX28" s="667">
        <f>'OoS percent RSV_high'!BG28</f>
        <v>9.0756257709858292E-5</v>
      </c>
      <c r="AY28" s="72"/>
    </row>
    <row r="29" spans="4:51" x14ac:dyDescent="0.3">
      <c r="H29" s="11"/>
      <c r="K29" s="18"/>
      <c r="L29" s="10"/>
      <c r="M29" s="10"/>
      <c r="T29" s="2"/>
      <c r="AI29" s="11"/>
      <c r="AL29" s="18"/>
      <c r="AM29" s="500"/>
      <c r="AN29" s="500"/>
      <c r="AS29" s="72"/>
      <c r="AT29" s="76"/>
      <c r="AU29" s="666"/>
      <c r="AY29" s="72"/>
    </row>
    <row r="30" spans="4:51" x14ac:dyDescent="0.3">
      <c r="H30" s="11"/>
      <c r="K30" s="2" t="s">
        <v>9</v>
      </c>
      <c r="L30" s="63" t="s">
        <v>37</v>
      </c>
      <c r="M30" s="13"/>
      <c r="AI30" s="11"/>
      <c r="AL30" s="2" t="s">
        <v>9</v>
      </c>
      <c r="AM30" s="63" t="s">
        <v>37</v>
      </c>
      <c r="AN30" s="13"/>
      <c r="AS30" s="72"/>
      <c r="AT30" s="72"/>
      <c r="AU30" s="72"/>
      <c r="AV30" s="72"/>
      <c r="AW30" s="72"/>
      <c r="AX30" s="72"/>
      <c r="AY30" s="72"/>
    </row>
    <row r="31" spans="4:51" x14ac:dyDescent="0.3">
      <c r="D31" s="10" t="s">
        <v>25</v>
      </c>
      <c r="E31" s="10"/>
      <c r="F31" s="33">
        <f>C48*F33</f>
        <v>1953602.7124999999</v>
      </c>
      <c r="G31" s="10"/>
      <c r="H31" s="11"/>
      <c r="AE31" s="500" t="s">
        <v>25</v>
      </c>
      <c r="AF31" s="500"/>
      <c r="AG31" s="33">
        <f>AD48*AG33</f>
        <v>1953602.7124999999</v>
      </c>
      <c r="AH31" s="500"/>
      <c r="AI31" s="11"/>
      <c r="AS31" s="72"/>
      <c r="AT31" s="72"/>
      <c r="AU31" s="72"/>
      <c r="AV31" s="72"/>
      <c r="AW31" s="72"/>
      <c r="AX31" s="72"/>
      <c r="AY31" s="72"/>
    </row>
    <row r="32" spans="4:51" x14ac:dyDescent="0.3">
      <c r="D32" s="11" t="s">
        <v>15</v>
      </c>
      <c r="G32" s="52"/>
      <c r="H32" s="11"/>
      <c r="AE32" s="11" t="s">
        <v>15</v>
      </c>
      <c r="AH32" s="52"/>
      <c r="AI32" s="11"/>
    </row>
    <row r="33" spans="1:49" x14ac:dyDescent="0.3">
      <c r="D33" s="11"/>
      <c r="E33" s="14" t="s">
        <v>28</v>
      </c>
      <c r="F33" s="27">
        <f>1-'Input 1_Population'!G24</f>
        <v>0.99019999999999997</v>
      </c>
      <c r="H33" s="11"/>
      <c r="K33" s="2" t="s">
        <v>9</v>
      </c>
      <c r="L33" s="62" t="s">
        <v>37</v>
      </c>
      <c r="AE33" s="11"/>
      <c r="AF33" s="14" t="s">
        <v>28</v>
      </c>
      <c r="AG33" s="27">
        <f>F33</f>
        <v>0.99019999999999997</v>
      </c>
      <c r="AI33" s="11"/>
      <c r="AL33" s="2" t="s">
        <v>9</v>
      </c>
      <c r="AM33" s="62" t="s">
        <v>37</v>
      </c>
    </row>
    <row r="34" spans="1:49" x14ac:dyDescent="0.3">
      <c r="D34" s="11"/>
      <c r="H34" s="11"/>
      <c r="K34" s="16"/>
      <c r="M34" s="17"/>
      <c r="V34" s="29"/>
      <c r="AE34" s="11"/>
      <c r="AI34" s="11"/>
      <c r="AL34" s="16"/>
      <c r="AN34" s="17"/>
      <c r="AW34" s="29"/>
    </row>
    <row r="35" spans="1:49" x14ac:dyDescent="0.3">
      <c r="D35" s="11"/>
      <c r="H35" s="11"/>
      <c r="K35" s="11"/>
      <c r="L35" s="13"/>
      <c r="M35" s="13"/>
      <c r="P35" s="237" t="s">
        <v>160</v>
      </c>
      <c r="Q35" s="237" t="s">
        <v>161</v>
      </c>
      <c r="R35" s="237" t="s">
        <v>162</v>
      </c>
      <c r="T35" s="37"/>
      <c r="U35" s="20"/>
      <c r="AE35" s="11"/>
      <c r="AI35" s="11"/>
      <c r="AL35" s="11"/>
      <c r="AM35" s="13"/>
      <c r="AN35" s="13"/>
      <c r="AQ35" s="589" t="s">
        <v>160</v>
      </c>
      <c r="AR35" s="589" t="s">
        <v>161</v>
      </c>
      <c r="AS35" s="589" t="s">
        <v>162</v>
      </c>
      <c r="AU35" s="37"/>
      <c r="AV35" s="20"/>
    </row>
    <row r="36" spans="1:49" x14ac:dyDescent="0.3">
      <c r="D36" s="11"/>
      <c r="H36" s="59" t="s">
        <v>39</v>
      </c>
      <c r="I36" s="67">
        <f>1-'Input 5_Product Uptake'!M13</f>
        <v>0.29000000000000004</v>
      </c>
      <c r="J36" s="10"/>
      <c r="K36" s="11"/>
      <c r="O36" s="12" t="s">
        <v>6</v>
      </c>
      <c r="P36" s="30">
        <f>I37*P37</f>
        <v>73214.495143857712</v>
      </c>
      <c r="Q36" s="30">
        <f>I37*Q37</f>
        <v>61039.424164058473</v>
      </c>
      <c r="R36" s="30">
        <f>I37*R37</f>
        <v>85378.251001928496</v>
      </c>
      <c r="T36" s="69"/>
      <c r="AE36" s="11"/>
      <c r="AI36" s="59" t="s">
        <v>39</v>
      </c>
      <c r="AJ36" s="67">
        <f>1-AJ25</f>
        <v>0.29000000000000004</v>
      </c>
      <c r="AK36" s="500"/>
      <c r="AL36" s="11"/>
      <c r="AP36" s="12" t="s">
        <v>6</v>
      </c>
      <c r="AQ36" s="30">
        <f>AJ37*AQ37</f>
        <v>29773.704791400502</v>
      </c>
      <c r="AR36" s="30">
        <f>AJ37*AR37</f>
        <v>24826.379190809912</v>
      </c>
      <c r="AS36" s="30">
        <f>AJ37*AS37</f>
        <v>34953.810578400291</v>
      </c>
      <c r="AU36" s="69"/>
    </row>
    <row r="37" spans="1:49" x14ac:dyDescent="0.3">
      <c r="D37" s="11"/>
      <c r="H37" s="15" t="s">
        <v>258</v>
      </c>
      <c r="I37" s="28">
        <f>F31*I36</f>
        <v>566544.78662500007</v>
      </c>
      <c r="K37" s="59" t="s">
        <v>128</v>
      </c>
      <c r="L37" s="50">
        <f>SUM(Q37,Q40,Q43)</f>
        <v>0.15492636201705176</v>
      </c>
      <c r="N37" s="16"/>
      <c r="O37" s="2" t="s">
        <v>43</v>
      </c>
      <c r="P37" s="61">
        <f>'WiS percent RSV_base'!CF74</f>
        <v>0.12922984532257092</v>
      </c>
      <c r="Q37" s="61">
        <f>'WiS percent RSV_low'!CD71</f>
        <v>0.10773980381618248</v>
      </c>
      <c r="R37" s="61">
        <f>'WiS percent RSV_high'!CD73</f>
        <v>0.15069991467142554</v>
      </c>
      <c r="AE37" s="11"/>
      <c r="AI37" s="15" t="s">
        <v>258</v>
      </c>
      <c r="AJ37" s="28">
        <f>AG31*AJ36</f>
        <v>566544.78662500007</v>
      </c>
      <c r="AL37" s="59" t="s">
        <v>128</v>
      </c>
      <c r="AM37" s="50">
        <f>SUM(AR37,AR40,AR43)</f>
        <v>6.3378768667233937E-2</v>
      </c>
      <c r="AO37" s="16"/>
      <c r="AP37" s="2" t="s">
        <v>43</v>
      </c>
      <c r="AQ37" s="61">
        <f>'OoS percent RSV_base'!BG73</f>
        <v>5.2553135240670609E-2</v>
      </c>
      <c r="AR37" s="61">
        <f>'OoS percent RSV_low'!BG73</f>
        <v>4.3820682454258755E-2</v>
      </c>
      <c r="AS37" s="61">
        <f>'OoS percent RSV_high'!BG73</f>
        <v>6.1696464963742502E-2</v>
      </c>
    </row>
    <row r="38" spans="1:49" x14ac:dyDescent="0.3">
      <c r="D38" s="11"/>
      <c r="H38" s="14"/>
      <c r="I38" s="58"/>
      <c r="K38" s="238" t="s">
        <v>129</v>
      </c>
      <c r="L38" s="50">
        <f>SUM(R37,R40,R43)</f>
        <v>0.21737581063121242</v>
      </c>
      <c r="N38" s="11"/>
      <c r="O38" s="2"/>
      <c r="AE38" s="11"/>
      <c r="AI38" s="14"/>
      <c r="AJ38" s="58"/>
      <c r="AL38" s="238" t="s">
        <v>129</v>
      </c>
      <c r="AM38" s="50">
        <f>SUM(AS37,AS40,AS43)</f>
        <v>8.9978285052383214E-2</v>
      </c>
      <c r="AO38" s="11"/>
      <c r="AP38" s="2"/>
    </row>
    <row r="39" spans="1:49" x14ac:dyDescent="0.3">
      <c r="D39" s="11"/>
      <c r="K39" s="18" t="s">
        <v>46</v>
      </c>
      <c r="L39" s="50">
        <f>SUM(P37,P40,P43)</f>
        <v>0.18597458567567429</v>
      </c>
      <c r="M39" s="10"/>
      <c r="N39" s="18"/>
      <c r="O39" s="12" t="s">
        <v>7</v>
      </c>
      <c r="P39" s="30">
        <f>I37*P40</f>
        <v>25385.475597750534</v>
      </c>
      <c r="Q39" s="30">
        <f>I37*Q40</f>
        <v>21736.348840329294</v>
      </c>
      <c r="R39" s="30">
        <f>I37*R40</f>
        <v>29045.917476900198</v>
      </c>
      <c r="AE39" s="11"/>
      <c r="AL39" s="18" t="s">
        <v>46</v>
      </c>
      <c r="AM39" s="50">
        <f>SUM(AQ37,AQ40,AQ43)</f>
        <v>7.633199129690689E-2</v>
      </c>
      <c r="AN39" s="500"/>
      <c r="AO39" s="18"/>
      <c r="AP39" s="12" t="s">
        <v>7</v>
      </c>
      <c r="AQ39" s="30">
        <f>AJ37*AQ40</f>
        <v>11840.41593257778</v>
      </c>
      <c r="AR39" s="30">
        <f>AJ37*AR40</f>
        <v>10139.134051433826</v>
      </c>
      <c r="AS39" s="30">
        <f>AJ37*AS40</f>
        <v>13543.475970170395</v>
      </c>
    </row>
    <row r="40" spans="1:49" x14ac:dyDescent="0.3">
      <c r="D40" s="11"/>
      <c r="K40" s="2" t="s">
        <v>10</v>
      </c>
      <c r="L40" s="54">
        <f>I37*L39</f>
        <v>105362.93195929768</v>
      </c>
      <c r="N40" s="11"/>
      <c r="O40" s="2" t="s">
        <v>44</v>
      </c>
      <c r="P40" s="61">
        <f>'WiS percent RSV_base'!CF50</f>
        <v>4.4807535427121237E-2</v>
      </c>
      <c r="Q40" s="61">
        <f>'WiS percent RSV_low'!CD48</f>
        <v>3.8366514622464848E-2</v>
      </c>
      <c r="R40" s="61">
        <f>'WiS percent RSV_high'!CD49</f>
        <v>5.1268528389311424E-2</v>
      </c>
      <c r="AE40" s="11"/>
      <c r="AL40" s="2" t="s">
        <v>10</v>
      </c>
      <c r="AM40" s="54">
        <f>AJ37*AM39</f>
        <v>43245.491721967475</v>
      </c>
      <c r="AO40" s="11"/>
      <c r="AP40" s="2" t="s">
        <v>44</v>
      </c>
      <c r="AQ40" s="61">
        <f>'OoS percent RSV_base'!BG50</f>
        <v>2.0899346727931385E-2</v>
      </c>
      <c r="AR40" s="61">
        <f>'OoS percent RSV_low'!BG50</f>
        <v>1.7896438711993638E-2</v>
      </c>
      <c r="AS40" s="61">
        <f>'OoS percent RSV_high'!BG50</f>
        <v>2.3905393342071146E-2</v>
      </c>
    </row>
    <row r="41" spans="1:49" x14ac:dyDescent="0.3">
      <c r="D41" s="11"/>
      <c r="K41" s="14" t="s">
        <v>128</v>
      </c>
      <c r="L41" s="28">
        <f>I37*L37</f>
        <v>87772.72271153811</v>
      </c>
      <c r="N41" s="11"/>
      <c r="O41" s="2"/>
      <c r="AE41" s="11"/>
      <c r="AL41" s="14" t="s">
        <v>128</v>
      </c>
      <c r="AM41" s="28">
        <f>AJ37*AM37</f>
        <v>35906.910971133293</v>
      </c>
      <c r="AO41" s="11"/>
      <c r="AP41" s="2"/>
    </row>
    <row r="42" spans="1:49" x14ac:dyDescent="0.3">
      <c r="D42" s="11"/>
      <c r="K42" s="285" t="s">
        <v>129</v>
      </c>
      <c r="L42" s="28">
        <f>I37*L38</f>
        <v>123153.13225149666</v>
      </c>
      <c r="N42" s="18"/>
      <c r="O42" s="12" t="s">
        <v>8</v>
      </c>
      <c r="P42" s="30">
        <f>I37*P43</f>
        <v>6762.961217689447</v>
      </c>
      <c r="Q42" s="30">
        <f>I37*Q43</f>
        <v>4996.949707150342</v>
      </c>
      <c r="R42" s="30">
        <f>I37*R43</f>
        <v>8728.9637726679593</v>
      </c>
      <c r="AE42" s="11"/>
      <c r="AL42" s="285" t="s">
        <v>129</v>
      </c>
      <c r="AM42" s="28">
        <f>AJ37*AM38</f>
        <v>50976.728305885881</v>
      </c>
      <c r="AO42" s="18"/>
      <c r="AP42" s="12" t="s">
        <v>8</v>
      </c>
      <c r="AQ42" s="30">
        <f>AJ37*AQ43</f>
        <v>1631.3709979891946</v>
      </c>
      <c r="AR42" s="30">
        <f>AJ37*AR43</f>
        <v>941.3977288895519</v>
      </c>
      <c r="AS42" s="30">
        <f>AJ37*AS43</f>
        <v>2479.4417573151909</v>
      </c>
    </row>
    <row r="43" spans="1:49" x14ac:dyDescent="0.3">
      <c r="A43" t="s">
        <v>335</v>
      </c>
      <c r="B43" s="103">
        <f>IF('Input 1_Population'!F15="not applicable",'Input 1_Population'!F13,'Input 1_Population'!F15)</f>
        <v>3945875</v>
      </c>
      <c r="D43" s="11"/>
      <c r="I43" s="22"/>
      <c r="K43" s="13"/>
      <c r="O43" s="2" t="s">
        <v>45</v>
      </c>
      <c r="P43" s="61">
        <f>'WiS percent RSV_base'!CF25</f>
        <v>1.1937204925982133E-2</v>
      </c>
      <c r="Q43" s="61">
        <f>'WiS percent RSV_low'!CD25</f>
        <v>8.8200435784044334E-3</v>
      </c>
      <c r="R43" s="61">
        <f>'WiS percent RSV_high'!CD25</f>
        <v>1.540736757047545E-2</v>
      </c>
      <c r="AE43" s="11"/>
      <c r="AJ43" s="22"/>
      <c r="AL43" s="13"/>
      <c r="AP43" s="2" t="s">
        <v>45</v>
      </c>
      <c r="AQ43" s="61">
        <f>'OoS percent RSV_base'!BG29</f>
        <v>2.879509328304896E-3</v>
      </c>
      <c r="AR43" s="61">
        <f>'OoS percent RSV_low'!BG29</f>
        <v>1.6616475009815412E-3</v>
      </c>
      <c r="AS43" s="61">
        <f>'OoS percent RSV_high'!BG29</f>
        <v>4.3764267465695537E-3</v>
      </c>
    </row>
    <row r="44" spans="1:49" x14ac:dyDescent="0.3">
      <c r="D44" s="11"/>
      <c r="AE44" s="11"/>
    </row>
    <row r="45" spans="1:49" x14ac:dyDescent="0.3">
      <c r="A45" t="s">
        <v>68</v>
      </c>
      <c r="D45" s="11"/>
      <c r="F45" t="s">
        <v>11</v>
      </c>
      <c r="H45" s="2" t="s">
        <v>5</v>
      </c>
      <c r="I45" s="21">
        <f>I24+I37</f>
        <v>1953602.7124999999</v>
      </c>
      <c r="J45" s="28"/>
      <c r="K45" s="55"/>
      <c r="L45" s="21"/>
      <c r="M45" s="28"/>
      <c r="N45" s="28"/>
      <c r="O45" s="55" t="s">
        <v>5</v>
      </c>
      <c r="P45" s="56">
        <f>P36+P39+P42</f>
        <v>105362.93195929768</v>
      </c>
      <c r="Q45" s="56"/>
      <c r="S45" s="55" t="s">
        <v>5</v>
      </c>
      <c r="T45" s="56">
        <f>U21+U24+U27</f>
        <v>92356.856829980417</v>
      </c>
      <c r="AB45" t="s">
        <v>68</v>
      </c>
      <c r="AE45" s="11"/>
      <c r="AG45" t="s">
        <v>11</v>
      </c>
      <c r="AI45" s="2" t="s">
        <v>5</v>
      </c>
      <c r="AJ45" s="21">
        <f>AJ24+AJ37</f>
        <v>1953602.7124999999</v>
      </c>
      <c r="AK45" s="28"/>
      <c r="AL45" s="55"/>
      <c r="AM45" s="21"/>
      <c r="AN45" s="28"/>
      <c r="AO45" s="28"/>
      <c r="AP45" s="55" t="s">
        <v>5</v>
      </c>
      <c r="AQ45" s="56">
        <f>AQ36+AQ39+AQ42</f>
        <v>43245.491721967475</v>
      </c>
      <c r="AR45" s="56"/>
      <c r="AT45" s="55" t="s">
        <v>5</v>
      </c>
      <c r="AU45" s="56">
        <f>AV21+AV24+AV27</f>
        <v>22816.35145088693</v>
      </c>
    </row>
    <row r="46" spans="1:49" x14ac:dyDescent="0.3">
      <c r="D46" s="11"/>
      <c r="AE46" s="11"/>
    </row>
    <row r="47" spans="1:49" x14ac:dyDescent="0.3">
      <c r="D47" s="11"/>
      <c r="AE47" s="11"/>
    </row>
    <row r="48" spans="1:49" x14ac:dyDescent="0.3">
      <c r="A48" s="10" t="s">
        <v>332</v>
      </c>
      <c r="B48" s="10"/>
      <c r="C48" s="623">
        <f>Palivizumab!D21</f>
        <v>1972937.5</v>
      </c>
      <c r="D48" s="11"/>
      <c r="AB48" s="500" t="s">
        <v>334</v>
      </c>
      <c r="AC48" s="500"/>
      <c r="AD48" s="90">
        <f>B43-C48</f>
        <v>1972937.5</v>
      </c>
      <c r="AE48" s="11"/>
      <c r="AW48" s="28"/>
    </row>
    <row r="49" spans="1:51" x14ac:dyDescent="0.3">
      <c r="B49" s="8"/>
      <c r="D49" s="11"/>
      <c r="AC49" s="8"/>
      <c r="AE49" s="11"/>
    </row>
    <row r="50" spans="1:51" x14ac:dyDescent="0.3">
      <c r="D50" s="11"/>
      <c r="AE50" s="11"/>
    </row>
    <row r="51" spans="1:51" x14ac:dyDescent="0.3">
      <c r="A51" t="s">
        <v>68</v>
      </c>
      <c r="D51" s="11"/>
      <c r="F51" t="s">
        <v>36</v>
      </c>
      <c r="H51" t="s">
        <v>5</v>
      </c>
      <c r="I51" s="8">
        <f>I67+I79</f>
        <v>19334.787499999999</v>
      </c>
      <c r="L51" s="28"/>
      <c r="N51" s="2" t="s">
        <v>5</v>
      </c>
      <c r="O51" s="28">
        <f>O57+O68</f>
        <v>0</v>
      </c>
      <c r="P51" s="19"/>
      <c r="Q51" s="19"/>
      <c r="S51" s="2" t="s">
        <v>5</v>
      </c>
      <c r="T51" s="21">
        <f>T54+T57+T60</f>
        <v>27439.507939613261</v>
      </c>
      <c r="W51" s="6"/>
      <c r="AB51" t="s">
        <v>68</v>
      </c>
      <c r="AE51" s="11"/>
      <c r="AG51" t="s">
        <v>36</v>
      </c>
      <c r="AI51" t="s">
        <v>5</v>
      </c>
      <c r="AJ51" s="8">
        <f>AJ67+AJ79</f>
        <v>19334.787499999999</v>
      </c>
      <c r="AM51" s="28"/>
      <c r="AO51" s="2" t="s">
        <v>5</v>
      </c>
      <c r="AP51" s="28">
        <f>AP57+AP68</f>
        <v>0</v>
      </c>
      <c r="AQ51" s="19"/>
      <c r="AR51" s="19"/>
      <c r="AT51" s="2" t="s">
        <v>5</v>
      </c>
      <c r="AU51" s="21">
        <f>AU54+AU57+AU60</f>
        <v>13762.869772532438</v>
      </c>
      <c r="AX51" s="583"/>
    </row>
    <row r="52" spans="1:51" x14ac:dyDescent="0.3">
      <c r="D52" s="11"/>
      <c r="AE52" s="11"/>
    </row>
    <row r="53" spans="1:51" x14ac:dyDescent="0.3">
      <c r="D53" s="11"/>
      <c r="T53" s="237" t="s">
        <v>160</v>
      </c>
      <c r="U53" s="237" t="s">
        <v>161</v>
      </c>
      <c r="V53" s="237" t="s">
        <v>162</v>
      </c>
      <c r="X53" s="8"/>
      <c r="AE53" s="11"/>
      <c r="AU53" s="589" t="s">
        <v>160</v>
      </c>
      <c r="AV53" s="589" t="s">
        <v>161</v>
      </c>
      <c r="AW53" s="589" t="s">
        <v>162</v>
      </c>
      <c r="AY53" s="8"/>
    </row>
    <row r="54" spans="1:51" x14ac:dyDescent="0.3">
      <c r="D54" s="11"/>
      <c r="S54" s="2" t="s">
        <v>64</v>
      </c>
      <c r="T54" s="33">
        <f>$I$67*$O$58*T55</f>
        <v>18450.861898132363</v>
      </c>
      <c r="U54" s="33">
        <f>$I$67*$O$58*U55</f>
        <v>15382.756590959585</v>
      </c>
      <c r="V54" s="33">
        <f>$I$67*$O$58*V55</f>
        <v>21517.131115953143</v>
      </c>
      <c r="X54" s="8"/>
      <c r="AE54" s="11"/>
      <c r="AT54" s="2" t="s">
        <v>64</v>
      </c>
      <c r="AU54" s="33">
        <f>$AJ$67*$AP$58*AU55</f>
        <v>9476.7458633910519</v>
      </c>
      <c r="AV54" s="33">
        <f t="shared" ref="AV54:AW54" si="8">$AJ$67*$AP$58*AV55</f>
        <v>7902.0521656218298</v>
      </c>
      <c r="AW54" s="33">
        <f t="shared" si="8"/>
        <v>11125.54258420895</v>
      </c>
      <c r="AY54" s="8"/>
    </row>
    <row r="55" spans="1:51" x14ac:dyDescent="0.3">
      <c r="D55" s="11"/>
      <c r="R55" s="16"/>
      <c r="S55" s="15" t="s">
        <v>40</v>
      </c>
      <c r="T55" s="61">
        <f>'WiS percent RSV_base'!$AX$73</f>
        <v>1.4910674201012974</v>
      </c>
      <c r="U55" s="61">
        <f>'WiS percent RSV_low'!$AW$70</f>
        <v>1.2431249721971007</v>
      </c>
      <c r="V55" s="61">
        <f>'WiS percent RSV_high'!$AW$72</f>
        <v>1.7388614883239231</v>
      </c>
      <c r="X55" s="8"/>
      <c r="AE55" s="11"/>
      <c r="AS55" s="16"/>
      <c r="AT55" s="15" t="s">
        <v>40</v>
      </c>
      <c r="AU55" s="61">
        <f>'OoS percent RSV_base'!AK72</f>
        <v>0.76584319385710953</v>
      </c>
      <c r="AV55" s="61">
        <f>'OoS percent RSV_low'!AK72</f>
        <v>0.6385876497884504</v>
      </c>
      <c r="AW55" s="61">
        <f>'OoS percent RSV_high'!AK72</f>
        <v>0.89908721716369955</v>
      </c>
      <c r="AY55" s="8"/>
    </row>
    <row r="56" spans="1:51" x14ac:dyDescent="0.3">
      <c r="D56" s="11"/>
      <c r="R56" s="11"/>
      <c r="S56" s="2"/>
      <c r="X56" s="8"/>
      <c r="AE56" s="11"/>
      <c r="AS56" s="11"/>
      <c r="AT56" s="2"/>
      <c r="AY56" s="8"/>
    </row>
    <row r="57" spans="1:51" x14ac:dyDescent="0.3">
      <c r="D57" s="11"/>
      <c r="N57" s="514" t="s">
        <v>12</v>
      </c>
      <c r="O57" s="33">
        <f>L62*O58</f>
        <v>0</v>
      </c>
      <c r="Q57" s="51"/>
      <c r="R57" s="18"/>
      <c r="S57" s="12" t="s">
        <v>65</v>
      </c>
      <c r="T57" s="33">
        <f>$I$67*$O$58*T58</f>
        <v>6929.4012144045719</v>
      </c>
      <c r="U57" s="33">
        <f>$I$67*$O$58*U58</f>
        <v>5932.4046962748207</v>
      </c>
      <c r="V57" s="33">
        <f>$I$67*$O$58*V58</f>
        <v>7928.2338218863097</v>
      </c>
      <c r="X57" s="8"/>
      <c r="AE57" s="11"/>
      <c r="AO57" s="514" t="s">
        <v>12</v>
      </c>
      <c r="AP57" s="33">
        <f>AM62*AP58</f>
        <v>0</v>
      </c>
      <c r="AR57" s="51"/>
      <c r="AS57" s="18"/>
      <c r="AT57" s="12" t="s">
        <v>65</v>
      </c>
      <c r="AU57" s="33">
        <f>$AJ$67*$AP$58*AU58</f>
        <v>3766.6102166270866</v>
      </c>
      <c r="AV57" s="33">
        <f t="shared" ref="AV57:AW57" si="9">$AJ$67*$AP$58*AV58</f>
        <v>3225.4151837182658</v>
      </c>
      <c r="AW57" s="33">
        <f t="shared" si="9"/>
        <v>4308.4087348799767</v>
      </c>
      <c r="AY57" s="8"/>
    </row>
    <row r="58" spans="1:51" x14ac:dyDescent="0.3">
      <c r="D58" s="11"/>
      <c r="N58" s="64" t="s">
        <v>50</v>
      </c>
      <c r="O58" s="66">
        <f>'Input 6_Product Efficacy'!K12</f>
        <v>0.8</v>
      </c>
      <c r="P58" s="17"/>
      <c r="Q58" s="13"/>
      <c r="R58" s="11"/>
      <c r="S58" s="2" t="s">
        <v>41</v>
      </c>
      <c r="T58" s="61">
        <f>'WiS percent RSV_base'!$AX$49</f>
        <v>0.55998491824682028</v>
      </c>
      <c r="U58" s="61">
        <f>'WiS percent RSV_low'!$AW$47</f>
        <v>0.47941475115407434</v>
      </c>
      <c r="V58" s="61">
        <f>'WiS percent RSV_high'!$AW$48</f>
        <v>0.64070346502113651</v>
      </c>
      <c r="X58" s="8"/>
      <c r="AE58" s="11"/>
      <c r="AO58" s="64" t="s">
        <v>50</v>
      </c>
      <c r="AP58" s="66">
        <f>'Input 6_Product Efficacy'!K12</f>
        <v>0.8</v>
      </c>
      <c r="AQ58" s="17"/>
      <c r="AR58" s="13"/>
      <c r="AS58" s="11"/>
      <c r="AT58" s="2" t="s">
        <v>41</v>
      </c>
      <c r="AU58" s="61">
        <f>'OoS percent RSV_base'!AK49</f>
        <v>0.30439064631456758</v>
      </c>
      <c r="AV58" s="61">
        <f>'OoS percent RSV_low'!AK49</f>
        <v>0.26065511320255214</v>
      </c>
      <c r="AW58" s="61">
        <f>'OoS percent RSV_high'!AK49</f>
        <v>0.34817494881958039</v>
      </c>
      <c r="AY58" s="8"/>
    </row>
    <row r="59" spans="1:51" x14ac:dyDescent="0.3">
      <c r="D59" s="11"/>
      <c r="K59" s="14" t="s">
        <v>128</v>
      </c>
      <c r="L59" s="28"/>
      <c r="N59" s="11"/>
      <c r="R59" s="11"/>
      <c r="S59" s="2"/>
      <c r="X59" s="8"/>
      <c r="AE59" s="11"/>
      <c r="AL59" s="14" t="s">
        <v>128</v>
      </c>
      <c r="AM59" s="28"/>
      <c r="AO59" s="11"/>
      <c r="AS59" s="11"/>
      <c r="AT59" s="2"/>
      <c r="AY59" s="8"/>
    </row>
    <row r="60" spans="1:51" x14ac:dyDescent="0.3">
      <c r="D60" s="11"/>
      <c r="G60" s="13"/>
      <c r="K60" s="285" t="s">
        <v>129</v>
      </c>
      <c r="L60" s="28"/>
      <c r="N60" s="11"/>
      <c r="O60" s="13"/>
      <c r="R60" s="18"/>
      <c r="S60" s="12" t="s">
        <v>66</v>
      </c>
      <c r="T60" s="30">
        <f>$I$67*$O$58*T61</f>
        <v>2059.2448270763248</v>
      </c>
      <c r="U60" s="30">
        <f>$I$67*$O$58*U61</f>
        <v>2217.3111954717565</v>
      </c>
      <c r="V60" s="30">
        <f>$I$67*$O$58*V61</f>
        <v>1942.7717654199373</v>
      </c>
      <c r="X60" s="8"/>
      <c r="AE60" s="11"/>
      <c r="AH60" s="13"/>
      <c r="AL60" s="285" t="s">
        <v>129</v>
      </c>
      <c r="AM60" s="28"/>
      <c r="AO60" s="11"/>
      <c r="AP60" s="13"/>
      <c r="AS60" s="18"/>
      <c r="AT60" s="12" t="s">
        <v>66</v>
      </c>
      <c r="AU60" s="30">
        <f>$AJ$67*$AP$58*AU61</f>
        <v>519.51369251429946</v>
      </c>
      <c r="AV60" s="30">
        <f t="shared" ref="AV60:AW60" si="10">$AJ$67*$AP$58*AV61</f>
        <v>432.11624462431087</v>
      </c>
      <c r="AW60" s="30">
        <f t="shared" si="10"/>
        <v>581.96491021841973</v>
      </c>
      <c r="AY60" s="8"/>
    </row>
    <row r="61" spans="1:51" x14ac:dyDescent="0.3">
      <c r="D61" s="11"/>
      <c r="K61" s="2" t="s">
        <v>32</v>
      </c>
      <c r="L61" s="13"/>
      <c r="N61" s="11"/>
      <c r="S61" s="2" t="s">
        <v>40</v>
      </c>
      <c r="T61" s="61">
        <f>'WiS percent RSV_base'!$AX$24</f>
        <v>0.16641351979207206</v>
      </c>
      <c r="U61" s="61">
        <f>'WiS percent RSV_low'!$AW$24</f>
        <v>0.17918731938091481</v>
      </c>
      <c r="V61" s="61">
        <f>'WiS percent RSV_high'!$AW$24</f>
        <v>0.15700099540626716</v>
      </c>
      <c r="X61" s="8"/>
      <c r="AE61" s="11"/>
      <c r="AL61" s="2" t="s">
        <v>32</v>
      </c>
      <c r="AM61" s="13"/>
      <c r="AO61" s="11"/>
      <c r="AT61" s="2" t="s">
        <v>40</v>
      </c>
      <c r="AU61" s="61">
        <f>'OoS percent RSV_base'!AK28</f>
        <v>4.1983401397796216E-2</v>
      </c>
      <c r="AV61" s="61">
        <f>'OoS percent RSV_low'!AK28</f>
        <v>3.4920561305651056E-2</v>
      </c>
      <c r="AW61" s="61">
        <f>'OoS percent RSV_high'!AK28</f>
        <v>4.7030264605508632E-2</v>
      </c>
      <c r="AY61" s="8"/>
    </row>
    <row r="62" spans="1:51" x14ac:dyDescent="0.3">
      <c r="D62" s="11"/>
      <c r="K62" s="2" t="s">
        <v>34</v>
      </c>
      <c r="L62" s="33"/>
      <c r="N62" s="11"/>
      <c r="T62" s="13"/>
      <c r="X62" s="8"/>
      <c r="AE62" s="11"/>
      <c r="AL62" s="2" t="s">
        <v>34</v>
      </c>
      <c r="AM62" s="33"/>
      <c r="AO62" s="11"/>
      <c r="AU62" s="13"/>
      <c r="AY62" s="8"/>
    </row>
    <row r="63" spans="1:51" x14ac:dyDescent="0.3">
      <c r="D63" s="11"/>
      <c r="K63" s="16" t="s">
        <v>42</v>
      </c>
      <c r="L63" s="68"/>
      <c r="M63" s="17"/>
      <c r="N63" s="11"/>
      <c r="O63" s="13"/>
      <c r="P63" s="13"/>
      <c r="Q63" s="13"/>
      <c r="T63" s="237" t="s">
        <v>160</v>
      </c>
      <c r="U63" s="237" t="s">
        <v>161</v>
      </c>
      <c r="V63" s="237" t="s">
        <v>162</v>
      </c>
      <c r="X63" s="8"/>
      <c r="AE63" s="11"/>
      <c r="AL63" s="16" t="s">
        <v>42</v>
      </c>
      <c r="AM63" s="68"/>
      <c r="AN63" s="17"/>
      <c r="AO63" s="11"/>
      <c r="AP63" s="13"/>
      <c r="AQ63" s="13"/>
      <c r="AR63" s="13"/>
      <c r="AS63" s="76"/>
      <c r="AT63" s="76"/>
      <c r="AU63" s="445" t="s">
        <v>160</v>
      </c>
      <c r="AV63" s="445" t="s">
        <v>161</v>
      </c>
      <c r="AW63" s="445" t="s">
        <v>162</v>
      </c>
      <c r="AY63" s="8"/>
    </row>
    <row r="64" spans="1:51" x14ac:dyDescent="0.3">
      <c r="D64" s="11"/>
      <c r="K64" s="59" t="s">
        <v>128</v>
      </c>
      <c r="L64" s="68"/>
      <c r="N64" s="11"/>
      <c r="O64" s="13"/>
      <c r="S64" s="517" t="s">
        <v>67</v>
      </c>
      <c r="T64" s="518">
        <f>($I$67*$O$65*T55)+($I$67*T65)</f>
        <v>11250.178481971489</v>
      </c>
      <c r="U64" s="518">
        <f>($I$67*$O$65*U55)+($I$67*U65)</f>
        <v>9379.203432295215</v>
      </c>
      <c r="V64" s="518">
        <f>($I$67*$O$65*V55)+($I$67*V65)</f>
        <v>13118.39939761978</v>
      </c>
      <c r="X64" s="8"/>
      <c r="AE64" s="11"/>
      <c r="AL64" s="59" t="s">
        <v>128</v>
      </c>
      <c r="AM64" s="68"/>
      <c r="AO64" s="11"/>
      <c r="AP64" s="13"/>
      <c r="AS64" s="76"/>
      <c r="AT64" s="661" t="s">
        <v>67</v>
      </c>
      <c r="AU64" s="662">
        <f>($AJ$67*$AP$65*AU55)+($AJ$67*AU65)</f>
        <v>2601.6001873071691</v>
      </c>
      <c r="AV64" s="662">
        <f>($AJ$67*$AP$65*AV55)+($AJ$67*AV65)</f>
        <v>2169.3044610840016</v>
      </c>
      <c r="AW64" s="662">
        <f>($AJ$67*$AP$65*AW55)+($AJ$67*AW65)</f>
        <v>3054.2251979453763</v>
      </c>
      <c r="AY64" s="8"/>
    </row>
    <row r="65" spans="3:52" x14ac:dyDescent="0.3">
      <c r="D65" s="11"/>
      <c r="K65" s="238" t="s">
        <v>129</v>
      </c>
      <c r="L65" s="68"/>
      <c r="N65" s="59" t="s">
        <v>49</v>
      </c>
      <c r="O65" s="516">
        <f>1-O58</f>
        <v>0.19999999999999996</v>
      </c>
      <c r="R65" s="16"/>
      <c r="S65" s="15" t="s">
        <v>40</v>
      </c>
      <c r="T65" s="61">
        <f>'WiS percent RSV_base'!$AX$74</f>
        <v>0.42911403910169688</v>
      </c>
      <c r="U65" s="61">
        <f>'WiS percent RSV_low'!$AW$71</f>
        <v>0.35774341226631784</v>
      </c>
      <c r="V65" s="61">
        <f>'WiS percent RSV_high'!$AW$73</f>
        <v>0.50033628625550552</v>
      </c>
      <c r="AE65" s="11"/>
      <c r="AL65" s="238" t="s">
        <v>129</v>
      </c>
      <c r="AM65" s="68"/>
      <c r="AO65" s="59" t="s">
        <v>49</v>
      </c>
      <c r="AP65" s="516">
        <f>1-AP58</f>
        <v>0.19999999999999996</v>
      </c>
      <c r="AS65" s="663"/>
      <c r="AT65" s="664" t="s">
        <v>40</v>
      </c>
      <c r="AU65" s="447">
        <f>'OoS percent RSV_base'!AL72</f>
        <v>1.5025619072578801E-2</v>
      </c>
      <c r="AV65" s="447">
        <f>'OoS percent RSV_low'!AL72</f>
        <v>1.2528675300836938E-2</v>
      </c>
      <c r="AW65" s="447">
        <f>'OoS percent RSV_high'!AL72</f>
        <v>1.7639161530294788E-2</v>
      </c>
    </row>
    <row r="66" spans="3:52" x14ac:dyDescent="0.3">
      <c r="D66" s="11"/>
      <c r="K66" s="11"/>
      <c r="L66" s="13"/>
      <c r="M66" s="13"/>
      <c r="N66" s="59" t="s">
        <v>304</v>
      </c>
      <c r="O66" s="68">
        <f>SUM(T65,T68,T71)</f>
        <v>0.54586602085431035</v>
      </c>
      <c r="R66" s="11"/>
      <c r="S66" s="2"/>
      <c r="AE66" s="11"/>
      <c r="AL66" s="11"/>
      <c r="AM66" s="13"/>
      <c r="AN66" s="13"/>
      <c r="AO66" s="59" t="s">
        <v>304</v>
      </c>
      <c r="AP66" s="68">
        <f>SUM(AU65,AU68,AU71)</f>
        <v>2.1973347814178253E-2</v>
      </c>
      <c r="AS66" s="665"/>
      <c r="AT66" s="666"/>
    </row>
    <row r="67" spans="3:52" x14ac:dyDescent="0.3">
      <c r="D67" s="11"/>
      <c r="H67" s="12" t="s">
        <v>259</v>
      </c>
      <c r="I67" s="30">
        <f>F74*I68</f>
        <v>15467.83</v>
      </c>
      <c r="J67" s="10"/>
      <c r="K67" s="11"/>
      <c r="L67" s="13"/>
      <c r="N67" s="65" t="s">
        <v>305</v>
      </c>
      <c r="O67" s="431">
        <f>(1-'Input 6_Product Efficacy'!$K$12)+O66</f>
        <v>0.74586602085431031</v>
      </c>
      <c r="P67" s="10"/>
      <c r="Q67" s="10"/>
      <c r="R67" s="18"/>
      <c r="S67" s="359" t="s">
        <v>7</v>
      </c>
      <c r="T67" s="518">
        <f>($I$67*$O$65*T58)+($I$67*T68)</f>
        <v>3368.7649385608865</v>
      </c>
      <c r="U67" s="518">
        <f>($I$67*$O$65*U58)+($I$67*U68)</f>
        <v>2885.4144166499163</v>
      </c>
      <c r="V67" s="518">
        <f>($I$67*$O$65*V58)+($I$67*V68)</f>
        <v>3854.869594499839</v>
      </c>
      <c r="AE67" s="11"/>
      <c r="AI67" s="12" t="s">
        <v>259</v>
      </c>
      <c r="AJ67" s="30">
        <f>AG74*AJ68</f>
        <v>15467.83</v>
      </c>
      <c r="AK67" s="500"/>
      <c r="AL67" s="11"/>
      <c r="AM67" s="13"/>
      <c r="AO67" s="65" t="s">
        <v>305</v>
      </c>
      <c r="AP67" s="431">
        <f>(1-'Input 6_Product Efficacy'!$K$12)+AP66</f>
        <v>0.22197334781417821</v>
      </c>
      <c r="AQ67" s="500"/>
      <c r="AR67" s="500"/>
      <c r="AS67" s="668"/>
      <c r="AT67" s="669" t="s">
        <v>7</v>
      </c>
      <c r="AU67" s="662">
        <f>($AJ$67*$AP$65*AU58)+($AJ$67*AU68)</f>
        <v>1036.7100963754456</v>
      </c>
      <c r="AV67" s="662">
        <f>($AJ$67*$AP$65*AV58)+($AJ$67*AV68)</f>
        <v>887.74340993471617</v>
      </c>
      <c r="AW67" s="662">
        <f>($AJ$67*$AP$65*AW58)+($AJ$67*AW68)</f>
        <v>1185.7946450192264</v>
      </c>
    </row>
    <row r="68" spans="3:52" x14ac:dyDescent="0.3">
      <c r="D68" s="11"/>
      <c r="H68" s="59" t="s">
        <v>29</v>
      </c>
      <c r="I68" s="60">
        <f>'Input 5_Product Uptake'!M16</f>
        <v>0.8</v>
      </c>
      <c r="K68" s="11"/>
      <c r="L68" s="13"/>
      <c r="N68" s="514" t="s">
        <v>297</v>
      </c>
      <c r="O68" s="71"/>
      <c r="R68" s="11"/>
      <c r="S68" s="2" t="s">
        <v>41</v>
      </c>
      <c r="T68" s="61">
        <f>'WiS percent RSV_base'!$AX$50</f>
        <v>0.10579471295971989</v>
      </c>
      <c r="U68" s="61">
        <f>'WiS percent RSV_low'!$AW$48</f>
        <v>9.0659985439535573E-2</v>
      </c>
      <c r="V68" s="61">
        <f>'WiS percent RSV_high'!$AW$49</f>
        <v>0.12107782016147464</v>
      </c>
      <c r="AE68" s="11"/>
      <c r="AI68" s="59" t="s">
        <v>29</v>
      </c>
      <c r="AJ68" s="60">
        <f>I68</f>
        <v>0.8</v>
      </c>
      <c r="AL68" s="11"/>
      <c r="AM68" s="13"/>
      <c r="AO68" s="514" t="s">
        <v>297</v>
      </c>
      <c r="AP68" s="71"/>
      <c r="AS68" s="665"/>
      <c r="AT68" s="666" t="s">
        <v>41</v>
      </c>
      <c r="AU68" s="447">
        <f>'OoS percent RSV_base'!AL49</f>
        <v>6.1454995444528478E-3</v>
      </c>
      <c r="AV68" s="447">
        <f>'OoS percent RSV_low'!AL49</f>
        <v>5.2618637523912512E-3</v>
      </c>
      <c r="AW68" s="447">
        <f>'OoS percent RSV_high'!AL49</f>
        <v>7.0270012858450514E-3</v>
      </c>
    </row>
    <row r="69" spans="3:52" x14ac:dyDescent="0.3">
      <c r="D69" s="11"/>
      <c r="H69" s="11"/>
      <c r="K69" s="11"/>
      <c r="L69" s="13"/>
      <c r="N69" s="514" t="s">
        <v>298</v>
      </c>
      <c r="O69" s="13"/>
      <c r="R69" s="11"/>
      <c r="S69" s="2"/>
      <c r="AE69" s="11"/>
      <c r="AI69" s="11"/>
      <c r="AL69" s="11"/>
      <c r="AM69" s="13"/>
      <c r="AO69" s="514" t="s">
        <v>298</v>
      </c>
      <c r="AP69" s="13"/>
      <c r="AS69" s="665"/>
      <c r="AT69" s="666"/>
    </row>
    <row r="70" spans="3:52" x14ac:dyDescent="0.3">
      <c r="C70" s="28"/>
      <c r="D70" s="11"/>
      <c r="H70" s="11"/>
      <c r="K70" s="11"/>
      <c r="R70" s="18"/>
      <c r="S70" s="359" t="s">
        <v>8</v>
      </c>
      <c r="T70" s="518">
        <f>($I$67*$O$65*T61)+($I$67*T71)</f>
        <v>684.29637772186493</v>
      </c>
      <c r="U70" s="518">
        <f>($I$67*$O$65*U61)+($I$67*U71)</f>
        <v>696.08711251141551</v>
      </c>
      <c r="V70" s="518">
        <f>($I$67*$O$65*V61)+($I$67*V71)</f>
        <v>672.49791879920895</v>
      </c>
      <c r="Y70" s="23"/>
      <c r="AD70" s="28"/>
      <c r="AE70" s="11"/>
      <c r="AI70" s="11"/>
      <c r="AL70" s="11"/>
      <c r="AS70" s="668"/>
      <c r="AT70" s="669" t="s">
        <v>8</v>
      </c>
      <c r="AU70" s="662">
        <f>($AJ$67*$AP$65*AU61)+($AJ$67*AU71)</f>
        <v>142.28716797107495</v>
      </c>
      <c r="AV70" s="662">
        <f>($AJ$67*$AP$65*AV61)+($AJ$67*AV71)</f>
        <v>116.75190719267039</v>
      </c>
      <c r="AW70" s="662">
        <f>($AJ$67*$AP$65*AW61)+($AJ$67*AW71)</f>
        <v>160.89633088300224</v>
      </c>
      <c r="AZ70" s="23"/>
    </row>
    <row r="71" spans="3:52" x14ac:dyDescent="0.3">
      <c r="C71" s="28"/>
      <c r="D71" s="11"/>
      <c r="H71" s="11"/>
      <c r="K71" s="18"/>
      <c r="L71" s="10"/>
      <c r="M71" s="10"/>
      <c r="S71" s="2" t="s">
        <v>40</v>
      </c>
      <c r="T71" s="61">
        <f>'WiS percent RSV_base'!$AX$25</f>
        <v>1.095726879289363E-2</v>
      </c>
      <c r="U71" s="61">
        <f>'WiS percent RSV_low'!$AW$25</f>
        <v>9.1647835309462584E-3</v>
      </c>
      <c r="V71" s="61">
        <f>'WiS percent RSV_high'!$AW$25</f>
        <v>1.2076999646635939E-2</v>
      </c>
      <c r="AD71" s="28"/>
      <c r="AE71" s="11"/>
      <c r="AI71" s="11"/>
      <c r="AL71" s="18"/>
      <c r="AM71" s="500"/>
      <c r="AN71" s="500"/>
      <c r="AS71" s="76"/>
      <c r="AT71" s="666" t="s">
        <v>40</v>
      </c>
      <c r="AU71" s="447">
        <f>'OoS percent RSV_base'!AL28</f>
        <v>8.0222919714660352E-4</v>
      </c>
      <c r="AV71" s="447">
        <f>'OoS percent RSV_low'!AL28</f>
        <v>5.6393469779488815E-4</v>
      </c>
      <c r="AW71" s="447">
        <f>'OoS percent RSV_high'!AL28</f>
        <v>9.9594470125398036E-4</v>
      </c>
    </row>
    <row r="72" spans="3:52" x14ac:dyDescent="0.3">
      <c r="C72" s="22"/>
      <c r="D72" s="11"/>
      <c r="E72" s="2" t="s">
        <v>27</v>
      </c>
      <c r="F72" s="27">
        <f>'Input 1_Population'!G24</f>
        <v>9.7999999999999997E-3</v>
      </c>
      <c r="H72" s="11"/>
      <c r="K72" s="2" t="s">
        <v>9</v>
      </c>
      <c r="L72" s="63" t="s">
        <v>37</v>
      </c>
      <c r="M72" s="13"/>
      <c r="AD72" s="22"/>
      <c r="AE72" s="11"/>
      <c r="AF72" s="2" t="s">
        <v>27</v>
      </c>
      <c r="AG72" s="27">
        <f>F72</f>
        <v>9.7999999999999997E-3</v>
      </c>
      <c r="AI72" s="11"/>
      <c r="AL72" s="2" t="s">
        <v>9</v>
      </c>
      <c r="AM72" s="63" t="s">
        <v>37</v>
      </c>
      <c r="AN72" s="13"/>
      <c r="AS72" s="76"/>
      <c r="AT72" s="76"/>
    </row>
    <row r="73" spans="3:52" x14ac:dyDescent="0.3">
      <c r="D73" s="18" t="s">
        <v>26</v>
      </c>
      <c r="E73" s="10"/>
      <c r="F73" s="10"/>
      <c r="G73" s="51"/>
      <c r="H73" s="11"/>
      <c r="AE73" s="18" t="s">
        <v>26</v>
      </c>
      <c r="AF73" s="500"/>
      <c r="AG73" s="500"/>
      <c r="AH73" s="51"/>
      <c r="AI73" s="11"/>
      <c r="AS73" s="72"/>
      <c r="AT73" s="72"/>
      <c r="AU73" s="72"/>
      <c r="AV73" s="72"/>
      <c r="AW73" s="72"/>
    </row>
    <row r="74" spans="3:52" x14ac:dyDescent="0.3">
      <c r="D74" t="s">
        <v>15</v>
      </c>
      <c r="F74" s="52">
        <f>C48*F72</f>
        <v>19334.787499999999</v>
      </c>
      <c r="H74" s="11"/>
      <c r="AE74" t="s">
        <v>15</v>
      </c>
      <c r="AG74" s="52">
        <f>AD48*AG72</f>
        <v>19334.787499999999</v>
      </c>
      <c r="AI74" s="11"/>
    </row>
    <row r="75" spans="3:52" x14ac:dyDescent="0.3">
      <c r="H75" s="11"/>
      <c r="K75" s="2" t="s">
        <v>9</v>
      </c>
      <c r="L75" s="62" t="s">
        <v>37</v>
      </c>
      <c r="AI75" s="11"/>
      <c r="AL75" s="2" t="s">
        <v>9</v>
      </c>
      <c r="AM75" s="62" t="s">
        <v>37</v>
      </c>
    </row>
    <row r="76" spans="3:52" x14ac:dyDescent="0.3">
      <c r="H76" s="11"/>
      <c r="K76" s="16"/>
      <c r="M76" s="17"/>
      <c r="U76" s="29"/>
      <c r="AI76" s="11"/>
      <c r="AL76" s="16"/>
      <c r="AN76" s="17"/>
      <c r="AV76" s="29"/>
    </row>
    <row r="77" spans="3:52" x14ac:dyDescent="0.3">
      <c r="C77" s="53"/>
      <c r="H77" s="11"/>
      <c r="K77" s="11"/>
      <c r="L77" s="13"/>
      <c r="M77" s="13"/>
      <c r="P77" s="237" t="s">
        <v>160</v>
      </c>
      <c r="Q77" s="237" t="s">
        <v>161</v>
      </c>
      <c r="R77" s="237" t="s">
        <v>162</v>
      </c>
      <c r="T77" s="37"/>
      <c r="U77" s="20"/>
      <c r="AD77" s="53"/>
      <c r="AI77" s="11"/>
      <c r="AL77" s="11"/>
      <c r="AM77" s="13"/>
      <c r="AN77" s="13"/>
      <c r="AQ77" s="589" t="s">
        <v>160</v>
      </c>
      <c r="AR77" s="589" t="s">
        <v>161</v>
      </c>
      <c r="AS77" s="589" t="s">
        <v>162</v>
      </c>
      <c r="AU77" s="37"/>
      <c r="AV77" s="20"/>
    </row>
    <row r="78" spans="3:52" x14ac:dyDescent="0.3">
      <c r="C78" s="22"/>
      <c r="H78" s="59" t="s">
        <v>30</v>
      </c>
      <c r="I78" s="67">
        <f>1-'Input 5_Product Uptake'!M16</f>
        <v>0.19999999999999996</v>
      </c>
      <c r="J78" s="10"/>
      <c r="K78" s="11"/>
      <c r="O78" s="12" t="s">
        <v>6</v>
      </c>
      <c r="P78" s="30">
        <f>$I$79*P79</f>
        <v>7425.2600950259603</v>
      </c>
      <c r="Q78" s="30">
        <f>$I$79*Q79</f>
        <v>6190.4900058136982</v>
      </c>
      <c r="R78" s="30">
        <f>$I$79*R79</f>
        <v>8658.8826283932285</v>
      </c>
      <c r="T78" s="69"/>
      <c r="AD78" s="22"/>
      <c r="AI78" s="59" t="s">
        <v>30</v>
      </c>
      <c r="AJ78" s="67">
        <f>1-AJ68</f>
        <v>0.19999999999999996</v>
      </c>
      <c r="AK78" s="500"/>
      <c r="AL78" s="11"/>
      <c r="AP78" s="12" t="s">
        <v>6</v>
      </c>
      <c r="AQ78" s="30">
        <f t="shared" ref="AQ78:AS78" si="11">$AJ$79*AQ79</f>
        <v>3019.5865126745548</v>
      </c>
      <c r="AR78" s="30">
        <f t="shared" si="11"/>
        <v>2517.8391566764572</v>
      </c>
      <c r="AS78" s="30">
        <f t="shared" si="11"/>
        <v>3544.9419455385805</v>
      </c>
      <c r="AU78" s="69"/>
    </row>
    <row r="79" spans="3:52" x14ac:dyDescent="0.3">
      <c r="H79" s="15" t="s">
        <v>260</v>
      </c>
      <c r="I79" s="28">
        <f>F74*I78</f>
        <v>3866.9574999999991</v>
      </c>
      <c r="K79" s="59" t="s">
        <v>128</v>
      </c>
      <c r="L79" s="50">
        <f>SUM(Q79,Q82,Q85)</f>
        <v>2.3592952239688896</v>
      </c>
      <c r="N79" s="16"/>
      <c r="O79" s="2" t="s">
        <v>40</v>
      </c>
      <c r="P79" s="61">
        <f>'WiS percent RSV_base'!AT69</f>
        <v>1.9201814592029942</v>
      </c>
      <c r="Q79" s="61">
        <f>'WiS percent RSV_low'!$AT$66</f>
        <v>1.6008683844634186</v>
      </c>
      <c r="R79" s="61">
        <f>'WiS percent RSV_high'!$AT$68</f>
        <v>2.2391977745794285</v>
      </c>
      <c r="AI79" s="15" t="s">
        <v>260</v>
      </c>
      <c r="AJ79" s="28">
        <f>AG74*AJ78</f>
        <v>3866.9574999999991</v>
      </c>
      <c r="AL79" s="59" t="s">
        <v>128</v>
      </c>
      <c r="AM79" s="50">
        <f>SUM(AR79,AR82,AR85)</f>
        <v>0.95251779804767667</v>
      </c>
      <c r="AO79" s="16"/>
      <c r="AP79" s="2" t="s">
        <v>40</v>
      </c>
      <c r="AQ79" s="61">
        <f>'OoS percent RSV_base'!AL73</f>
        <v>0.78086881292968835</v>
      </c>
      <c r="AR79" s="61">
        <f>'OoS percent RSV_low'!AL73</f>
        <v>0.6511163250892873</v>
      </c>
      <c r="AS79" s="61">
        <f>'OoS percent RSV_high'!AL73</f>
        <v>0.91672637869399431</v>
      </c>
    </row>
    <row r="80" spans="3:52" x14ac:dyDescent="0.3">
      <c r="H80" s="14"/>
      <c r="I80" s="58"/>
      <c r="K80" s="238" t="s">
        <v>129</v>
      </c>
      <c r="L80" s="50">
        <f>SUM(R79,R82,R85)</f>
        <v>3.1700570548149427</v>
      </c>
      <c r="N80" s="11"/>
      <c r="O80" s="2"/>
      <c r="AI80" s="14"/>
      <c r="AJ80" s="58"/>
      <c r="AL80" s="238" t="s">
        <v>129</v>
      </c>
      <c r="AM80" s="50">
        <f>SUM(AS79,AS82,AS85)</f>
        <v>1.3199545381061824</v>
      </c>
      <c r="AO80" s="11"/>
      <c r="AP80" s="2"/>
    </row>
    <row r="81" spans="1:53" x14ac:dyDescent="0.3">
      <c r="K81" s="18" t="s">
        <v>42</v>
      </c>
      <c r="L81" s="50">
        <f>SUM(P79,P82,P85)</f>
        <v>2.7633318789944998</v>
      </c>
      <c r="M81" s="10"/>
      <c r="N81" s="18"/>
      <c r="O81" s="12" t="s">
        <v>7</v>
      </c>
      <c r="P81" s="30">
        <f>$I$79*P82</f>
        <v>2574.5415382413639</v>
      </c>
      <c r="Q81" s="30">
        <f>$I$79*Q82</f>
        <v>2204.4547782311834</v>
      </c>
      <c r="R81" s="30">
        <f>$I$79*R82</f>
        <v>2945.775854096536</v>
      </c>
      <c r="AL81" s="18" t="s">
        <v>42</v>
      </c>
      <c r="AM81" s="50">
        <f>SUM(AQ79,AQ82,AQ85)</f>
        <v>1.1341905893836515</v>
      </c>
      <c r="AN81" s="500"/>
      <c r="AO81" s="18"/>
      <c r="AP81" s="12" t="s">
        <v>7</v>
      </c>
      <c r="AQ81" s="30">
        <f t="shared" ref="AQ81:AS81" si="12">$AJ$79*AQ82</f>
        <v>1200.8300782506328</v>
      </c>
      <c r="AR81" s="30">
        <f t="shared" si="12"/>
        <v>1028.2896484132452</v>
      </c>
      <c r="AS81" s="30">
        <f t="shared" si="12"/>
        <v>1373.5508449748004</v>
      </c>
    </row>
    <row r="82" spans="1:53" x14ac:dyDescent="0.3">
      <c r="K82" s="2" t="s">
        <v>10</v>
      </c>
      <c r="L82" s="54">
        <f>$I$79*L81</f>
        <v>10685.68693446687</v>
      </c>
      <c r="N82" s="11"/>
      <c r="O82" s="2" t="s">
        <v>41</v>
      </c>
      <c r="P82" s="61">
        <f>'WiS percent RSV_base'!AT45</f>
        <v>0.66577963120654016</v>
      </c>
      <c r="Q82" s="61">
        <f>'WiS percent RSV_low'!$AT$43</f>
        <v>0.57007473659360985</v>
      </c>
      <c r="R82" s="61">
        <f>'WiS percent RSV_high'!$AT$44</f>
        <v>0.76178128518261112</v>
      </c>
      <c r="AL82" s="2" t="s">
        <v>10</v>
      </c>
      <c r="AM82" s="54">
        <f>$I$79*AM81</f>
        <v>4385.8668060465307</v>
      </c>
      <c r="AO82" s="11"/>
      <c r="AP82" s="2" t="s">
        <v>41</v>
      </c>
      <c r="AQ82" s="61">
        <f>'OoS percent RSV_base'!AL50</f>
        <v>0.31053614585902045</v>
      </c>
      <c r="AR82" s="61">
        <f>'OoS percent RSV_low'!AL50</f>
        <v>0.26591697695494337</v>
      </c>
      <c r="AS82" s="61">
        <f>'OoS percent RSV_high'!AL50</f>
        <v>0.35520195010542543</v>
      </c>
    </row>
    <row r="83" spans="1:53" x14ac:dyDescent="0.3">
      <c r="K83" s="14" t="s">
        <v>128</v>
      </c>
      <c r="L83" s="28">
        <f>$I$79*L79</f>
        <v>9123.2943610406746</v>
      </c>
      <c r="N83" s="11"/>
      <c r="O83" s="2"/>
      <c r="AL83" s="14" t="s">
        <v>128</v>
      </c>
      <c r="AM83" s="28">
        <f>$I$79*AM79</f>
        <v>3683.3458430439478</v>
      </c>
      <c r="AO83" s="11"/>
      <c r="AP83" s="2"/>
    </row>
    <row r="84" spans="1:53" x14ac:dyDescent="0.3">
      <c r="K84" s="285" t="s">
        <v>129</v>
      </c>
      <c r="L84" s="28">
        <f>$I$79*L80</f>
        <v>12258.475903544551</v>
      </c>
      <c r="N84" s="18"/>
      <c r="O84" s="12" t="s">
        <v>8</v>
      </c>
      <c r="P84" s="30">
        <f>$I$79*P85</f>
        <v>685.88530119954726</v>
      </c>
      <c r="Q84" s="30">
        <f>$I$79*Q85</f>
        <v>728.34957699579286</v>
      </c>
      <c r="R84" s="30">
        <f>$I$79*R85</f>
        <v>653.81742105478645</v>
      </c>
      <c r="AL84" s="285" t="s">
        <v>129</v>
      </c>
      <c r="AM84" s="28">
        <f>$I$79*AM80</f>
        <v>5104.2081007887364</v>
      </c>
      <c r="AO84" s="18"/>
      <c r="AP84" s="12" t="s">
        <v>8</v>
      </c>
      <c r="AQ84" s="30">
        <f>$AJ$79*AQ85</f>
        <v>165.45021512134358</v>
      </c>
      <c r="AR84" s="30">
        <f t="shared" ref="AR84:AS84" si="13">$AJ$79*AR85</f>
        <v>137.21703795424528</v>
      </c>
      <c r="AS84" s="30">
        <f t="shared" si="13"/>
        <v>185.71531027535542</v>
      </c>
    </row>
    <row r="85" spans="1:53" x14ac:dyDescent="0.3">
      <c r="I85" s="22"/>
      <c r="O85" s="2" t="s">
        <v>40</v>
      </c>
      <c r="P85" s="61">
        <f>'WiS percent RSV_base'!AT20</f>
        <v>0.17737078858496569</v>
      </c>
      <c r="Q85" s="61">
        <f>'WiS percent RSV_low'!$AT$20</f>
        <v>0.18835210291186108</v>
      </c>
      <c r="R85" s="61">
        <f>'WiS percent RSV_high'!$AT$20</f>
        <v>0.16907799505290311</v>
      </c>
      <c r="AJ85" s="22"/>
      <c r="AP85" s="2" t="s">
        <v>40</v>
      </c>
      <c r="AQ85" s="61">
        <f>'OoS percent RSV_base'!AL29</f>
        <v>4.2785630594942822E-2</v>
      </c>
      <c r="AR85" s="61">
        <f>'OoS percent RSV_low'!AL29</f>
        <v>3.5484496003445942E-2</v>
      </c>
      <c r="AS85" s="61">
        <f>'OoS percent RSV_high'!AL29</f>
        <v>4.8026209306762609E-2</v>
      </c>
    </row>
    <row r="89" spans="1:53" x14ac:dyDescent="0.3">
      <c r="A89" t="s">
        <v>68</v>
      </c>
      <c r="F89" t="s">
        <v>11</v>
      </c>
      <c r="H89" s="2" t="s">
        <v>5</v>
      </c>
      <c r="I89" s="21">
        <f>I67+I79</f>
        <v>19334.787499999999</v>
      </c>
      <c r="J89" s="28"/>
      <c r="K89" s="2"/>
      <c r="L89" s="21"/>
      <c r="M89" s="28"/>
      <c r="N89" s="28"/>
      <c r="O89" s="55" t="s">
        <v>5</v>
      </c>
      <c r="P89" s="56">
        <f>P78+P81+P84</f>
        <v>10685.686934466872</v>
      </c>
      <c r="Q89" s="56"/>
      <c r="S89" s="55" t="s">
        <v>5</v>
      </c>
      <c r="T89" s="56">
        <f>T64+T67+T70</f>
        <v>15303.239798254239</v>
      </c>
      <c r="AB89" t="s">
        <v>68</v>
      </c>
      <c r="AG89" t="s">
        <v>11</v>
      </c>
      <c r="AI89" s="2" t="s">
        <v>5</v>
      </c>
      <c r="AJ89" s="21">
        <f>AJ67+AJ79</f>
        <v>19334.787499999999</v>
      </c>
      <c r="AK89" s="28"/>
      <c r="AL89" s="2"/>
      <c r="AM89" s="21"/>
      <c r="AN89" s="28"/>
      <c r="AO89" s="28"/>
      <c r="AP89" s="55" t="s">
        <v>5</v>
      </c>
      <c r="AQ89" s="56">
        <f>AQ78+AQ81+AQ84</f>
        <v>4385.8668060465316</v>
      </c>
      <c r="AR89" s="56"/>
      <c r="AT89" s="55" t="s">
        <v>5</v>
      </c>
      <c r="AU89" s="56">
        <f>AU64+AU67+AU70</f>
        <v>3780.5974516536899</v>
      </c>
    </row>
    <row r="90" spans="1:53" x14ac:dyDescent="0.3">
      <c r="T90" s="28"/>
      <c r="AU90" s="28"/>
    </row>
    <row r="91" spans="1:53" s="10" customFormat="1" x14ac:dyDescent="0.3">
      <c r="AA91" s="500"/>
      <c r="AB91" s="500"/>
      <c r="AC91" s="500"/>
      <c r="AD91" s="500"/>
      <c r="AE91" s="500"/>
      <c r="AF91" s="500"/>
      <c r="AG91" s="500"/>
      <c r="AH91" s="500"/>
      <c r="AI91" s="500"/>
      <c r="AJ91" s="500"/>
      <c r="AK91" s="500"/>
      <c r="AL91" s="500"/>
      <c r="AM91" s="500"/>
      <c r="AN91" s="500"/>
      <c r="AO91" s="500"/>
      <c r="AP91" s="500"/>
      <c r="AQ91" s="500"/>
      <c r="AR91" s="500"/>
      <c r="AS91" s="500"/>
      <c r="AT91" s="500"/>
      <c r="AU91" s="500"/>
      <c r="AV91" s="500"/>
      <c r="AW91" s="500"/>
      <c r="AX91" s="500"/>
      <c r="AY91" s="500"/>
      <c r="AZ91" s="500"/>
      <c r="BA91" s="500"/>
    </row>
    <row r="92" spans="1:53" s="13" customFormat="1" ht="18.600000000000001" thickBot="1" x14ac:dyDescent="0.4">
      <c r="K92" s="239"/>
      <c r="AL92" s="239"/>
    </row>
    <row r="93" spans="1:53" ht="18.600000000000001" thickBot="1" x14ac:dyDescent="0.4">
      <c r="A93" s="349"/>
      <c r="B93" s="349" t="s">
        <v>177</v>
      </c>
      <c r="C93" s="349"/>
      <c r="D93" s="1106"/>
      <c r="E93" s="1106"/>
      <c r="F93" s="1106"/>
      <c r="G93" s="1106"/>
      <c r="H93" s="1106"/>
      <c r="I93" s="1106"/>
      <c r="J93" s="1106"/>
      <c r="K93" s="1106"/>
      <c r="L93" s="1106"/>
      <c r="M93" s="1106"/>
      <c r="N93" s="1106"/>
      <c r="O93" s="1106"/>
      <c r="P93" s="1106"/>
      <c r="Q93" s="1106"/>
      <c r="R93" s="1106"/>
      <c r="S93" s="1106"/>
      <c r="T93" s="1106"/>
      <c r="U93" s="1106"/>
      <c r="V93" s="1106"/>
      <c r="W93" s="1106"/>
      <c r="AB93" s="588"/>
      <c r="AC93" s="588" t="s">
        <v>177</v>
      </c>
      <c r="AD93" s="588"/>
      <c r="AE93" s="1106"/>
      <c r="AF93" s="1106"/>
      <c r="AG93" s="1106"/>
      <c r="AH93" s="1106"/>
      <c r="AI93" s="1106"/>
      <c r="AJ93" s="1106"/>
      <c r="AK93" s="1106"/>
      <c r="AL93" s="1106"/>
      <c r="AM93" s="1106"/>
      <c r="AN93" s="1106"/>
      <c r="AO93" s="1106"/>
      <c r="AP93" s="1106"/>
      <c r="AQ93" s="1106"/>
      <c r="AR93" s="1106"/>
      <c r="AS93" s="1106"/>
      <c r="AT93" s="1106"/>
      <c r="AU93" s="1106"/>
      <c r="AV93" s="1106"/>
      <c r="AW93" s="1106"/>
      <c r="AX93" s="1106"/>
    </row>
    <row r="94" spans="1:53" s="13" customFormat="1" ht="29.25" customHeight="1" x14ac:dyDescent="0.3">
      <c r="A94">
        <f t="shared" ref="A94:P94" si="14">A4</f>
        <v>0</v>
      </c>
      <c r="B94">
        <f t="shared" si="14"/>
        <v>0</v>
      </c>
      <c r="C94">
        <f t="shared" si="14"/>
        <v>0</v>
      </c>
      <c r="D94">
        <f t="shared" si="14"/>
        <v>0</v>
      </c>
      <c r="E94">
        <f t="shared" si="14"/>
        <v>0</v>
      </c>
      <c r="F94">
        <f t="shared" si="14"/>
        <v>0</v>
      </c>
      <c r="G94">
        <f t="shared" si="14"/>
        <v>0</v>
      </c>
      <c r="H94">
        <f t="shared" si="14"/>
        <v>0</v>
      </c>
      <c r="I94">
        <f t="shared" si="14"/>
        <v>0</v>
      </c>
      <c r="J94">
        <f t="shared" si="14"/>
        <v>0</v>
      </c>
      <c r="K94">
        <f t="shared" si="14"/>
        <v>0</v>
      </c>
      <c r="L94">
        <f t="shared" si="14"/>
        <v>0</v>
      </c>
      <c r="M94">
        <f t="shared" si="14"/>
        <v>0</v>
      </c>
      <c r="N94">
        <f t="shared" si="14"/>
        <v>0</v>
      </c>
      <c r="O94">
        <f t="shared" si="14"/>
        <v>0</v>
      </c>
      <c r="P94">
        <f t="shared" si="14"/>
        <v>0</v>
      </c>
      <c r="Q94">
        <f t="shared" ref="Q94:V96" si="15">R4</f>
        <v>0</v>
      </c>
      <c r="R94">
        <f t="shared" si="15"/>
        <v>0</v>
      </c>
      <c r="S94">
        <f t="shared" si="15"/>
        <v>0</v>
      </c>
      <c r="T94">
        <f t="shared" si="15"/>
        <v>0</v>
      </c>
      <c r="U94">
        <f t="shared" si="15"/>
        <v>0</v>
      </c>
      <c r="V94">
        <f t="shared" si="15"/>
        <v>0</v>
      </c>
      <c r="AB94">
        <f t="shared" ref="AB94:AQ94" si="16">AB4</f>
        <v>0</v>
      </c>
      <c r="AC94">
        <f t="shared" si="16"/>
        <v>0</v>
      </c>
      <c r="AD94">
        <f t="shared" si="16"/>
        <v>0</v>
      </c>
      <c r="AE94">
        <f t="shared" si="16"/>
        <v>0</v>
      </c>
      <c r="AF94">
        <f t="shared" si="16"/>
        <v>0</v>
      </c>
      <c r="AG94">
        <f t="shared" si="16"/>
        <v>0</v>
      </c>
      <c r="AH94">
        <f t="shared" si="16"/>
        <v>0</v>
      </c>
      <c r="AI94">
        <f t="shared" si="16"/>
        <v>0</v>
      </c>
      <c r="AJ94">
        <f t="shared" si="16"/>
        <v>0</v>
      </c>
      <c r="AK94">
        <f t="shared" si="16"/>
        <v>0</v>
      </c>
      <c r="AL94">
        <f t="shared" si="16"/>
        <v>0</v>
      </c>
      <c r="AM94">
        <f t="shared" si="16"/>
        <v>0</v>
      </c>
      <c r="AN94">
        <f t="shared" si="16"/>
        <v>0</v>
      </c>
      <c r="AO94">
        <f t="shared" si="16"/>
        <v>0</v>
      </c>
      <c r="AP94">
        <f t="shared" si="16"/>
        <v>0</v>
      </c>
      <c r="AQ94">
        <f t="shared" si="16"/>
        <v>0</v>
      </c>
      <c r="AR94">
        <f t="shared" ref="AR94:AR98" si="17">AS4</f>
        <v>0</v>
      </c>
      <c r="AS94">
        <f t="shared" ref="AS94:AS98" si="18">AT4</f>
        <v>0</v>
      </c>
      <c r="AT94">
        <f t="shared" ref="AT94:AT98" si="19">AU4</f>
        <v>0</v>
      </c>
      <c r="AU94">
        <f t="shared" ref="AU94:AU98" si="20">AV4</f>
        <v>0</v>
      </c>
      <c r="AV94">
        <f t="shared" ref="AV94:AV96" si="21">AW4</f>
        <v>0</v>
      </c>
      <c r="AW94">
        <f t="shared" ref="AW94:AW96" si="22">AX4</f>
        <v>0</v>
      </c>
    </row>
    <row r="95" spans="1:53" s="13" customFormat="1" x14ac:dyDescent="0.3">
      <c r="A95">
        <f t="shared" ref="A95:P95" si="23">A5</f>
        <v>0</v>
      </c>
      <c r="B95">
        <f t="shared" si="23"/>
        <v>0</v>
      </c>
      <c r="C95">
        <f t="shared" si="23"/>
        <v>0</v>
      </c>
      <c r="D95">
        <f t="shared" si="23"/>
        <v>0</v>
      </c>
      <c r="E95">
        <f t="shared" si="23"/>
        <v>0</v>
      </c>
      <c r="F95">
        <f t="shared" si="23"/>
        <v>0</v>
      </c>
      <c r="G95">
        <f t="shared" si="23"/>
        <v>0</v>
      </c>
      <c r="H95">
        <f t="shared" si="23"/>
        <v>0</v>
      </c>
      <c r="I95">
        <f t="shared" si="23"/>
        <v>0</v>
      </c>
      <c r="J95">
        <f t="shared" si="23"/>
        <v>0</v>
      </c>
      <c r="K95">
        <f t="shared" si="23"/>
        <v>0</v>
      </c>
      <c r="L95">
        <f t="shared" si="23"/>
        <v>0</v>
      </c>
      <c r="M95">
        <f t="shared" si="23"/>
        <v>0</v>
      </c>
      <c r="N95">
        <f t="shared" si="23"/>
        <v>0</v>
      </c>
      <c r="O95">
        <f t="shared" si="23"/>
        <v>0</v>
      </c>
      <c r="P95">
        <f t="shared" si="23"/>
        <v>0</v>
      </c>
      <c r="Q95">
        <f t="shared" si="15"/>
        <v>0</v>
      </c>
      <c r="R95">
        <f t="shared" si="15"/>
        <v>0</v>
      </c>
      <c r="S95">
        <f t="shared" si="15"/>
        <v>0</v>
      </c>
      <c r="T95">
        <f t="shared" si="15"/>
        <v>0</v>
      </c>
      <c r="U95">
        <f t="shared" si="15"/>
        <v>0</v>
      </c>
      <c r="V95">
        <f t="shared" si="15"/>
        <v>0</v>
      </c>
      <c r="AB95">
        <f t="shared" ref="AB95:AQ95" si="24">AB5</f>
        <v>0</v>
      </c>
      <c r="AC95">
        <f t="shared" si="24"/>
        <v>0</v>
      </c>
      <c r="AD95">
        <f t="shared" si="24"/>
        <v>0</v>
      </c>
      <c r="AE95">
        <f t="shared" si="24"/>
        <v>0</v>
      </c>
      <c r="AF95">
        <f t="shared" si="24"/>
        <v>0</v>
      </c>
      <c r="AG95">
        <f t="shared" si="24"/>
        <v>0</v>
      </c>
      <c r="AH95">
        <f t="shared" si="24"/>
        <v>0</v>
      </c>
      <c r="AI95">
        <f t="shared" si="24"/>
        <v>0</v>
      </c>
      <c r="AJ95">
        <f t="shared" si="24"/>
        <v>0</v>
      </c>
      <c r="AK95">
        <f t="shared" si="24"/>
        <v>0</v>
      </c>
      <c r="AL95">
        <f t="shared" si="24"/>
        <v>0</v>
      </c>
      <c r="AM95">
        <f t="shared" si="24"/>
        <v>0</v>
      </c>
      <c r="AN95">
        <f t="shared" si="24"/>
        <v>0</v>
      </c>
      <c r="AO95">
        <f t="shared" si="24"/>
        <v>0</v>
      </c>
      <c r="AP95">
        <f t="shared" si="24"/>
        <v>0</v>
      </c>
      <c r="AQ95">
        <f t="shared" si="24"/>
        <v>0</v>
      </c>
      <c r="AR95">
        <f t="shared" si="17"/>
        <v>0</v>
      </c>
      <c r="AS95">
        <f t="shared" si="18"/>
        <v>0</v>
      </c>
      <c r="AT95">
        <f t="shared" si="19"/>
        <v>0</v>
      </c>
      <c r="AU95">
        <f t="shared" si="20"/>
        <v>0</v>
      </c>
      <c r="AV95">
        <f t="shared" si="21"/>
        <v>0</v>
      </c>
      <c r="AW95">
        <f t="shared" si="22"/>
        <v>0</v>
      </c>
    </row>
    <row r="96" spans="1:53" s="13" customFormat="1" x14ac:dyDescent="0.3">
      <c r="A96" t="str">
        <f t="shared" ref="A96:P96" si="25">A6</f>
        <v>sum check row</v>
      </c>
      <c r="B96">
        <f t="shared" si="25"/>
        <v>0</v>
      </c>
      <c r="C96">
        <f t="shared" si="25"/>
        <v>0</v>
      </c>
      <c r="D96">
        <f t="shared" si="25"/>
        <v>0</v>
      </c>
      <c r="E96">
        <f t="shared" si="25"/>
        <v>0</v>
      </c>
      <c r="F96">
        <f t="shared" si="25"/>
        <v>0</v>
      </c>
      <c r="G96">
        <f t="shared" si="25"/>
        <v>0</v>
      </c>
      <c r="H96">
        <f t="shared" si="25"/>
        <v>0</v>
      </c>
      <c r="I96">
        <f t="shared" si="25"/>
        <v>0</v>
      </c>
      <c r="J96">
        <f t="shared" si="25"/>
        <v>0</v>
      </c>
      <c r="K96">
        <f t="shared" si="25"/>
        <v>0</v>
      </c>
      <c r="L96">
        <f t="shared" si="25"/>
        <v>0</v>
      </c>
      <c r="M96">
        <f t="shared" si="25"/>
        <v>0</v>
      </c>
      <c r="N96" s="2">
        <f t="shared" si="25"/>
        <v>80996.836650783967</v>
      </c>
      <c r="O96" s="28">
        <f t="shared" si="25"/>
        <v>1109646.3407000001</v>
      </c>
      <c r="P96" s="19">
        <f t="shared" si="25"/>
        <v>0</v>
      </c>
      <c r="Q96" s="19">
        <f t="shared" si="15"/>
        <v>0</v>
      </c>
      <c r="R96">
        <f t="shared" si="15"/>
        <v>0</v>
      </c>
      <c r="S96" s="2" t="str">
        <f t="shared" si="15"/>
        <v>sum check</v>
      </c>
      <c r="T96" s="21">
        <f t="shared" si="15"/>
        <v>165600.66624278287</v>
      </c>
      <c r="U96">
        <f t="shared" si="15"/>
        <v>0</v>
      </c>
      <c r="V96">
        <f t="shared" si="15"/>
        <v>0</v>
      </c>
      <c r="AB96" t="str">
        <f t="shared" ref="AB96:AQ96" si="26">AB6</f>
        <v>sum check row</v>
      </c>
      <c r="AC96">
        <f t="shared" si="26"/>
        <v>0</v>
      </c>
      <c r="AD96">
        <f t="shared" si="26"/>
        <v>0</v>
      </c>
      <c r="AE96">
        <f t="shared" si="26"/>
        <v>0</v>
      </c>
      <c r="AF96">
        <f t="shared" si="26"/>
        <v>0</v>
      </c>
      <c r="AG96">
        <f t="shared" si="26"/>
        <v>0</v>
      </c>
      <c r="AH96">
        <f t="shared" si="26"/>
        <v>0</v>
      </c>
      <c r="AI96">
        <f t="shared" si="26"/>
        <v>0</v>
      </c>
      <c r="AJ96">
        <f t="shared" si="26"/>
        <v>0</v>
      </c>
      <c r="AK96">
        <f t="shared" si="26"/>
        <v>0</v>
      </c>
      <c r="AL96">
        <f t="shared" si="26"/>
        <v>0</v>
      </c>
      <c r="AM96">
        <f t="shared" si="26"/>
        <v>0</v>
      </c>
      <c r="AN96">
        <f t="shared" si="26"/>
        <v>0</v>
      </c>
      <c r="AO96" s="2" t="str">
        <f t="shared" si="26"/>
        <v>sum check</v>
      </c>
      <c r="AP96" s="28">
        <f t="shared" si="26"/>
        <v>1109646.3407000001</v>
      </c>
      <c r="AQ96" s="19">
        <f t="shared" si="26"/>
        <v>0</v>
      </c>
      <c r="AR96" s="19">
        <f t="shared" si="17"/>
        <v>0</v>
      </c>
      <c r="AS96">
        <f t="shared" si="18"/>
        <v>0</v>
      </c>
      <c r="AT96" s="2" t="str">
        <f t="shared" si="19"/>
        <v>sum check</v>
      </c>
      <c r="AU96" s="21">
        <f t="shared" si="20"/>
        <v>83060.542075309306</v>
      </c>
      <c r="AV96">
        <f t="shared" si="21"/>
        <v>0</v>
      </c>
      <c r="AW96">
        <f t="shared" si="22"/>
        <v>0</v>
      </c>
    </row>
    <row r="97" spans="1:49" s="13" customFormat="1" x14ac:dyDescent="0.3">
      <c r="A97">
        <f t="shared" ref="A97:P97" si="27">A7</f>
        <v>0</v>
      </c>
      <c r="B97">
        <f t="shared" si="27"/>
        <v>0</v>
      </c>
      <c r="C97">
        <f t="shared" si="27"/>
        <v>0</v>
      </c>
      <c r="D97">
        <f t="shared" si="27"/>
        <v>0</v>
      </c>
      <c r="E97">
        <f t="shared" si="27"/>
        <v>0</v>
      </c>
      <c r="F97">
        <f t="shared" si="27"/>
        <v>0</v>
      </c>
      <c r="G97">
        <f t="shared" si="27"/>
        <v>0</v>
      </c>
      <c r="H97">
        <f t="shared" si="27"/>
        <v>0</v>
      </c>
      <c r="I97">
        <f t="shared" si="27"/>
        <v>0</v>
      </c>
      <c r="J97">
        <f t="shared" si="27"/>
        <v>0</v>
      </c>
      <c r="K97">
        <f t="shared" si="27"/>
        <v>0</v>
      </c>
      <c r="L97">
        <f t="shared" si="27"/>
        <v>0</v>
      </c>
      <c r="M97">
        <f t="shared" si="27"/>
        <v>0</v>
      </c>
      <c r="N97">
        <f t="shared" si="27"/>
        <v>0</v>
      </c>
      <c r="O97">
        <f t="shared" si="27"/>
        <v>0</v>
      </c>
      <c r="P97">
        <f t="shared" si="27"/>
        <v>0</v>
      </c>
      <c r="Q97">
        <f t="shared" ref="Q97:T98" si="28">R7</f>
        <v>0</v>
      </c>
      <c r="R97">
        <f t="shared" si="28"/>
        <v>0</v>
      </c>
      <c r="S97">
        <f t="shared" si="28"/>
        <v>0</v>
      </c>
      <c r="T97">
        <f t="shared" si="28"/>
        <v>0</v>
      </c>
      <c r="U97" s="1096" t="s">
        <v>181</v>
      </c>
      <c r="V97" s="1096"/>
      <c r="AB97">
        <f t="shared" ref="AB97:AQ97" si="29">AB7</f>
        <v>0</v>
      </c>
      <c r="AC97">
        <f t="shared" si="29"/>
        <v>0</v>
      </c>
      <c r="AD97">
        <f t="shared" si="29"/>
        <v>0</v>
      </c>
      <c r="AE97">
        <f t="shared" si="29"/>
        <v>0</v>
      </c>
      <c r="AF97">
        <f t="shared" si="29"/>
        <v>0</v>
      </c>
      <c r="AG97">
        <f t="shared" si="29"/>
        <v>0</v>
      </c>
      <c r="AH97">
        <f t="shared" si="29"/>
        <v>0</v>
      </c>
      <c r="AI97">
        <f t="shared" si="29"/>
        <v>0</v>
      </c>
      <c r="AJ97">
        <f t="shared" si="29"/>
        <v>0</v>
      </c>
      <c r="AK97">
        <f t="shared" si="29"/>
        <v>0</v>
      </c>
      <c r="AL97">
        <f t="shared" si="29"/>
        <v>0</v>
      </c>
      <c r="AM97">
        <f t="shared" si="29"/>
        <v>0</v>
      </c>
      <c r="AN97">
        <f t="shared" si="29"/>
        <v>0</v>
      </c>
      <c r="AO97">
        <f t="shared" si="29"/>
        <v>0</v>
      </c>
      <c r="AP97">
        <f t="shared" si="29"/>
        <v>0</v>
      </c>
      <c r="AQ97">
        <f t="shared" si="29"/>
        <v>0</v>
      </c>
      <c r="AR97">
        <f t="shared" si="17"/>
        <v>0</v>
      </c>
      <c r="AS97">
        <f t="shared" si="18"/>
        <v>0</v>
      </c>
      <c r="AT97">
        <f t="shared" si="19"/>
        <v>0</v>
      </c>
      <c r="AU97">
        <f t="shared" si="20"/>
        <v>0</v>
      </c>
      <c r="AV97" s="1096" t="s">
        <v>181</v>
      </c>
      <c r="AW97" s="1096"/>
    </row>
    <row r="98" spans="1:49" s="13" customFormat="1" x14ac:dyDescent="0.3">
      <c r="A98">
        <f t="shared" ref="A98:O98" si="30">A8</f>
        <v>0</v>
      </c>
      <c r="B98">
        <f t="shared" si="30"/>
        <v>0</v>
      </c>
      <c r="C98">
        <f t="shared" si="30"/>
        <v>0</v>
      </c>
      <c r="D98">
        <f t="shared" si="30"/>
        <v>0</v>
      </c>
      <c r="E98">
        <f t="shared" si="30"/>
        <v>0</v>
      </c>
      <c r="F98">
        <f t="shared" si="30"/>
        <v>0</v>
      </c>
      <c r="G98">
        <f t="shared" si="30"/>
        <v>0</v>
      </c>
      <c r="H98">
        <f t="shared" si="30"/>
        <v>0</v>
      </c>
      <c r="I98">
        <f t="shared" si="30"/>
        <v>0</v>
      </c>
      <c r="J98">
        <f t="shared" si="30"/>
        <v>0</v>
      </c>
      <c r="K98">
        <f t="shared" si="30"/>
        <v>0</v>
      </c>
      <c r="L98">
        <f t="shared" si="30"/>
        <v>0</v>
      </c>
      <c r="M98">
        <f t="shared" si="30"/>
        <v>0</v>
      </c>
      <c r="N98">
        <f t="shared" si="30"/>
        <v>0</v>
      </c>
      <c r="O98">
        <f t="shared" si="30"/>
        <v>0</v>
      </c>
      <c r="P98">
        <f>P8</f>
        <v>0</v>
      </c>
      <c r="Q98">
        <f t="shared" si="28"/>
        <v>0</v>
      </c>
      <c r="R98">
        <f t="shared" si="28"/>
        <v>0</v>
      </c>
      <c r="S98">
        <f t="shared" si="28"/>
        <v>0</v>
      </c>
      <c r="T98" s="237" t="str">
        <f t="shared" si="28"/>
        <v>base</v>
      </c>
      <c r="U98" s="237" t="str">
        <f>V8</f>
        <v>low</v>
      </c>
      <c r="V98" s="237" t="str">
        <f>W8</f>
        <v>high</v>
      </c>
      <c r="AB98">
        <f t="shared" ref="AB98:AP98" si="31">AB8</f>
        <v>0</v>
      </c>
      <c r="AC98">
        <f t="shared" si="31"/>
        <v>0</v>
      </c>
      <c r="AD98">
        <f t="shared" si="31"/>
        <v>0</v>
      </c>
      <c r="AE98">
        <f t="shared" si="31"/>
        <v>0</v>
      </c>
      <c r="AF98">
        <f t="shared" si="31"/>
        <v>0</v>
      </c>
      <c r="AG98">
        <f t="shared" si="31"/>
        <v>0</v>
      </c>
      <c r="AH98">
        <f t="shared" si="31"/>
        <v>0</v>
      </c>
      <c r="AI98">
        <f t="shared" si="31"/>
        <v>0</v>
      </c>
      <c r="AJ98">
        <f t="shared" si="31"/>
        <v>0</v>
      </c>
      <c r="AK98">
        <f t="shared" si="31"/>
        <v>0</v>
      </c>
      <c r="AL98">
        <f t="shared" si="31"/>
        <v>0</v>
      </c>
      <c r="AM98">
        <f t="shared" si="31"/>
        <v>0</v>
      </c>
      <c r="AN98">
        <f t="shared" si="31"/>
        <v>0</v>
      </c>
      <c r="AO98">
        <f t="shared" si="31"/>
        <v>0</v>
      </c>
      <c r="AP98">
        <f t="shared" si="31"/>
        <v>0</v>
      </c>
      <c r="AQ98">
        <f>AQ8</f>
        <v>0</v>
      </c>
      <c r="AR98">
        <f t="shared" si="17"/>
        <v>0</v>
      </c>
      <c r="AS98">
        <f t="shared" si="18"/>
        <v>0</v>
      </c>
      <c r="AT98">
        <f t="shared" si="19"/>
        <v>0</v>
      </c>
      <c r="AU98" s="589" t="str">
        <f t="shared" si="20"/>
        <v>base</v>
      </c>
      <c r="AV98" s="589" t="str">
        <f>AW8</f>
        <v>low</v>
      </c>
      <c r="AW98" s="589" t="str">
        <f>AX8</f>
        <v>high</v>
      </c>
    </row>
    <row r="99" spans="1:49" s="13" customFormat="1" x14ac:dyDescent="0.3">
      <c r="A99">
        <f t="shared" ref="A99:J99" si="32">A9</f>
        <v>0</v>
      </c>
      <c r="B99">
        <f t="shared" si="32"/>
        <v>0</v>
      </c>
      <c r="C99">
        <f t="shared" si="32"/>
        <v>0</v>
      </c>
      <c r="D99">
        <f t="shared" si="32"/>
        <v>0</v>
      </c>
      <c r="E99">
        <f t="shared" si="32"/>
        <v>0</v>
      </c>
      <c r="F99">
        <f t="shared" si="32"/>
        <v>0</v>
      </c>
      <c r="G99">
        <f t="shared" si="32"/>
        <v>0</v>
      </c>
      <c r="H99">
        <f t="shared" si="32"/>
        <v>0</v>
      </c>
      <c r="I99">
        <f t="shared" si="32"/>
        <v>0</v>
      </c>
      <c r="J99">
        <f t="shared" si="32"/>
        <v>0</v>
      </c>
      <c r="K99"/>
      <c r="L99"/>
      <c r="M99"/>
      <c r="N99"/>
      <c r="O99"/>
      <c r="P99"/>
      <c r="Q99"/>
      <c r="R99"/>
      <c r="S99" s="2" t="s">
        <v>64</v>
      </c>
      <c r="T99" s="33">
        <f>I114*O103*T100</f>
        <v>111353.12738874722</v>
      </c>
      <c r="U99" s="33">
        <f>I112*O103*U100</f>
        <v>103511.35785432841</v>
      </c>
      <c r="V99" s="33">
        <f>I113*O103*V100</f>
        <v>119194.89692316603</v>
      </c>
      <c r="AB99">
        <f t="shared" ref="AB99:AK99" si="33">AB9</f>
        <v>0</v>
      </c>
      <c r="AC99">
        <f t="shared" si="33"/>
        <v>0</v>
      </c>
      <c r="AD99">
        <f t="shared" si="33"/>
        <v>0</v>
      </c>
      <c r="AE99">
        <f t="shared" si="33"/>
        <v>0</v>
      </c>
      <c r="AF99">
        <f t="shared" si="33"/>
        <v>0</v>
      </c>
      <c r="AG99">
        <f t="shared" si="33"/>
        <v>0</v>
      </c>
      <c r="AH99">
        <f t="shared" si="33"/>
        <v>0</v>
      </c>
      <c r="AI99">
        <f t="shared" si="33"/>
        <v>0</v>
      </c>
      <c r="AJ99">
        <f t="shared" si="33"/>
        <v>0</v>
      </c>
      <c r="AK99">
        <f t="shared" si="33"/>
        <v>0</v>
      </c>
      <c r="AL99"/>
      <c r="AM99"/>
      <c r="AN99"/>
      <c r="AO99"/>
      <c r="AP99"/>
      <c r="AQ99"/>
      <c r="AR99"/>
      <c r="AS99"/>
      <c r="AT99" s="2" t="s">
        <v>64</v>
      </c>
      <c r="AU99" s="33">
        <f>AJ114*AP103*AU100</f>
        <v>57193.278838848368</v>
      </c>
      <c r="AV99" s="33">
        <f>AJ112*AP103*AV100</f>
        <v>53165.583145971723</v>
      </c>
      <c r="AW99" s="33">
        <f>AJ113*AP103*AW100</f>
        <v>61220.974531725005</v>
      </c>
    </row>
    <row r="100" spans="1:49" s="13" customFormat="1" x14ac:dyDescent="0.3">
      <c r="A100">
        <f t="shared" ref="A100:J100" si="34">A10</f>
        <v>0</v>
      </c>
      <c r="B100">
        <f t="shared" si="34"/>
        <v>0</v>
      </c>
      <c r="C100">
        <f t="shared" si="34"/>
        <v>0</v>
      </c>
      <c r="D100">
        <f t="shared" si="34"/>
        <v>0</v>
      </c>
      <c r="E100">
        <f t="shared" si="34"/>
        <v>0</v>
      </c>
      <c r="F100">
        <f t="shared" si="34"/>
        <v>0</v>
      </c>
      <c r="G100">
        <f t="shared" si="34"/>
        <v>0</v>
      </c>
      <c r="H100">
        <f t="shared" si="34"/>
        <v>0</v>
      </c>
      <c r="I100">
        <f t="shared" si="34"/>
        <v>0</v>
      </c>
      <c r="J100">
        <f t="shared" si="34"/>
        <v>0</v>
      </c>
      <c r="K100"/>
      <c r="L100"/>
      <c r="M100"/>
      <c r="N100"/>
      <c r="O100" s="1105" t="s">
        <v>181</v>
      </c>
      <c r="P100" s="1105"/>
      <c r="Q100"/>
      <c r="R100" s="16"/>
      <c r="S100" s="15" t="s">
        <v>43</v>
      </c>
      <c r="T100" s="61">
        <f>U10</f>
        <v>0.10035010552866974</v>
      </c>
      <c r="U100" s="61">
        <f>T100</f>
        <v>0.10035010552866974</v>
      </c>
      <c r="V100" s="61">
        <f>T100</f>
        <v>0.10035010552866974</v>
      </c>
      <c r="AB100">
        <f t="shared" ref="AB100:AK100" si="35">AB10</f>
        <v>0</v>
      </c>
      <c r="AC100">
        <f t="shared" si="35"/>
        <v>0</v>
      </c>
      <c r="AD100">
        <f t="shared" si="35"/>
        <v>0</v>
      </c>
      <c r="AE100">
        <f t="shared" si="35"/>
        <v>0</v>
      </c>
      <c r="AF100">
        <f t="shared" si="35"/>
        <v>0</v>
      </c>
      <c r="AG100">
        <f t="shared" si="35"/>
        <v>0</v>
      </c>
      <c r="AH100">
        <f t="shared" si="35"/>
        <v>0</v>
      </c>
      <c r="AI100">
        <f t="shared" si="35"/>
        <v>0</v>
      </c>
      <c r="AJ100">
        <f t="shared" si="35"/>
        <v>0</v>
      </c>
      <c r="AK100">
        <f t="shared" si="35"/>
        <v>0</v>
      </c>
      <c r="AL100"/>
      <c r="AM100"/>
      <c r="AN100"/>
      <c r="AO100"/>
      <c r="AP100" s="1105" t="s">
        <v>181</v>
      </c>
      <c r="AQ100" s="1105"/>
      <c r="AR100"/>
      <c r="AS100" s="16"/>
      <c r="AT100" s="15" t="s">
        <v>43</v>
      </c>
      <c r="AU100" s="61">
        <f>AV10</f>
        <v>5.1541898297766689E-2</v>
      </c>
      <c r="AV100" s="61">
        <f>AU100</f>
        <v>5.1541898297766689E-2</v>
      </c>
      <c r="AW100" s="61">
        <f>AU100</f>
        <v>5.1541898297766689E-2</v>
      </c>
    </row>
    <row r="101" spans="1:49" s="13" customFormat="1" x14ac:dyDescent="0.3">
      <c r="A101">
        <f t="shared" ref="A101:J101" si="36">A11</f>
        <v>0</v>
      </c>
      <c r="B101">
        <f t="shared" si="36"/>
        <v>0</v>
      </c>
      <c r="C101">
        <f t="shared" si="36"/>
        <v>0</v>
      </c>
      <c r="D101">
        <f t="shared" si="36"/>
        <v>0</v>
      </c>
      <c r="E101">
        <f t="shared" si="36"/>
        <v>0</v>
      </c>
      <c r="F101">
        <f t="shared" si="36"/>
        <v>0</v>
      </c>
      <c r="G101">
        <f t="shared" si="36"/>
        <v>0</v>
      </c>
      <c r="H101">
        <f t="shared" si="36"/>
        <v>0</v>
      </c>
      <c r="I101">
        <f t="shared" si="36"/>
        <v>0</v>
      </c>
      <c r="J101">
        <f t="shared" si="36"/>
        <v>0</v>
      </c>
      <c r="K101"/>
      <c r="L101"/>
      <c r="M101"/>
      <c r="N101"/>
      <c r="O101" s="306" t="s">
        <v>178</v>
      </c>
      <c r="P101" s="306" t="s">
        <v>179</v>
      </c>
      <c r="Q101"/>
      <c r="R101" s="11"/>
      <c r="S101" s="2"/>
      <c r="T101"/>
      <c r="U101"/>
      <c r="V101"/>
      <c r="AB101">
        <f t="shared" ref="AB101:AK101" si="37">AB11</f>
        <v>0</v>
      </c>
      <c r="AC101">
        <f t="shared" si="37"/>
        <v>0</v>
      </c>
      <c r="AD101">
        <f t="shared" si="37"/>
        <v>0</v>
      </c>
      <c r="AE101">
        <f t="shared" si="37"/>
        <v>0</v>
      </c>
      <c r="AF101">
        <f t="shared" si="37"/>
        <v>0</v>
      </c>
      <c r="AG101">
        <f t="shared" si="37"/>
        <v>0</v>
      </c>
      <c r="AH101">
        <f t="shared" si="37"/>
        <v>0</v>
      </c>
      <c r="AI101">
        <f t="shared" si="37"/>
        <v>0</v>
      </c>
      <c r="AJ101">
        <f t="shared" si="37"/>
        <v>0</v>
      </c>
      <c r="AK101">
        <f t="shared" si="37"/>
        <v>0</v>
      </c>
      <c r="AL101"/>
      <c r="AM101"/>
      <c r="AN101"/>
      <c r="AO101"/>
      <c r="AP101" s="583" t="s">
        <v>178</v>
      </c>
      <c r="AQ101" s="583" t="s">
        <v>179</v>
      </c>
      <c r="AR101"/>
      <c r="AS101" s="11"/>
      <c r="AT101" s="2"/>
      <c r="AU101"/>
      <c r="AV101"/>
      <c r="AW101"/>
    </row>
    <row r="102" spans="1:49" s="13" customFormat="1" x14ac:dyDescent="0.3">
      <c r="A102">
        <f t="shared" ref="A102:J102" si="38">A12</f>
        <v>0</v>
      </c>
      <c r="B102">
        <f t="shared" si="38"/>
        <v>0</v>
      </c>
      <c r="C102">
        <f t="shared" si="38"/>
        <v>0</v>
      </c>
      <c r="D102">
        <f t="shared" si="38"/>
        <v>0</v>
      </c>
      <c r="E102">
        <f t="shared" si="38"/>
        <v>0</v>
      </c>
      <c r="F102">
        <f t="shared" si="38"/>
        <v>0</v>
      </c>
      <c r="G102">
        <f t="shared" si="38"/>
        <v>0</v>
      </c>
      <c r="H102">
        <f t="shared" si="38"/>
        <v>0</v>
      </c>
      <c r="I102">
        <f t="shared" si="38"/>
        <v>0</v>
      </c>
      <c r="J102">
        <f t="shared" si="38"/>
        <v>0</v>
      </c>
      <c r="K102"/>
      <c r="L102"/>
      <c r="M102"/>
      <c r="N102" s="514" t="s">
        <v>12</v>
      </c>
      <c r="O102" s="33">
        <f>L108*O103</f>
        <v>0</v>
      </c>
      <c r="P102" s="33">
        <f>M108*O103</f>
        <v>0</v>
      </c>
      <c r="Q102" s="51"/>
      <c r="R102" s="18"/>
      <c r="S102" s="12" t="s">
        <v>65</v>
      </c>
      <c r="T102" s="33">
        <f>I114*O103*T103</f>
        <v>41819.753484439461</v>
      </c>
      <c r="U102" s="33">
        <f>I112*O103*U103</f>
        <v>38874.700422154994</v>
      </c>
      <c r="V102" s="33">
        <f>I113*O103*V103</f>
        <v>44764.806546723928</v>
      </c>
      <c r="AB102">
        <f t="shared" ref="AB102:AK102" si="39">AB12</f>
        <v>0</v>
      </c>
      <c r="AC102">
        <f t="shared" si="39"/>
        <v>0</v>
      </c>
      <c r="AD102">
        <f t="shared" si="39"/>
        <v>0</v>
      </c>
      <c r="AE102">
        <f t="shared" si="39"/>
        <v>0</v>
      </c>
      <c r="AF102">
        <f t="shared" si="39"/>
        <v>0</v>
      </c>
      <c r="AG102">
        <f t="shared" si="39"/>
        <v>0</v>
      </c>
      <c r="AH102">
        <f t="shared" si="39"/>
        <v>0</v>
      </c>
      <c r="AI102">
        <f t="shared" si="39"/>
        <v>0</v>
      </c>
      <c r="AJ102">
        <f t="shared" si="39"/>
        <v>0</v>
      </c>
      <c r="AK102">
        <f t="shared" si="39"/>
        <v>0</v>
      </c>
      <c r="AL102"/>
      <c r="AM102"/>
      <c r="AN102"/>
      <c r="AO102" s="514" t="s">
        <v>12</v>
      </c>
      <c r="AP102" s="33"/>
      <c r="AQ102" s="33"/>
      <c r="AR102" s="51"/>
      <c r="AS102" s="18"/>
      <c r="AT102" s="12" t="s">
        <v>65</v>
      </c>
      <c r="AU102" s="33">
        <f>AJ114*AP103*AU103</f>
        <v>22731.936838044872</v>
      </c>
      <c r="AV102" s="33">
        <f>AJ112*AP103*AV103</f>
        <v>21131.096215647347</v>
      </c>
      <c r="AW102" s="33">
        <f>AJ113*AP103*AW103</f>
        <v>24332.777460442398</v>
      </c>
    </row>
    <row r="103" spans="1:49" s="13" customFormat="1" x14ac:dyDescent="0.3">
      <c r="A103">
        <f t="shared" ref="A103:J103" si="40">A13</f>
        <v>0</v>
      </c>
      <c r="B103">
        <f t="shared" si="40"/>
        <v>0</v>
      </c>
      <c r="C103">
        <f t="shared" si="40"/>
        <v>0</v>
      </c>
      <c r="D103">
        <f t="shared" si="40"/>
        <v>0</v>
      </c>
      <c r="E103">
        <f t="shared" si="40"/>
        <v>0</v>
      </c>
      <c r="F103">
        <f t="shared" si="40"/>
        <v>0</v>
      </c>
      <c r="G103">
        <f t="shared" si="40"/>
        <v>0</v>
      </c>
      <c r="H103">
        <f t="shared" si="40"/>
        <v>0</v>
      </c>
      <c r="I103">
        <f t="shared" si="40"/>
        <v>0</v>
      </c>
      <c r="J103">
        <f t="shared" si="40"/>
        <v>0</v>
      </c>
      <c r="K103"/>
      <c r="L103" s="1108" t="s">
        <v>181</v>
      </c>
      <c r="M103" s="1107"/>
      <c r="N103" s="64" t="s">
        <v>75</v>
      </c>
      <c r="O103" s="66">
        <f>'Input 6_Product Efficacy'!$K$12</f>
        <v>0.8</v>
      </c>
      <c r="P103" s="17"/>
      <c r="Q103"/>
      <c r="R103" s="11"/>
      <c r="S103" s="2" t="s">
        <v>44</v>
      </c>
      <c r="T103" s="61">
        <f>U13</f>
        <v>3.7687461266315031E-2</v>
      </c>
      <c r="U103" s="61">
        <f>T103</f>
        <v>3.7687461266315031E-2</v>
      </c>
      <c r="V103" s="61">
        <f>T103</f>
        <v>3.7687461266315031E-2</v>
      </c>
      <c r="AB103">
        <f t="shared" ref="AB103:AK103" si="41">AB13</f>
        <v>0</v>
      </c>
      <c r="AC103">
        <f t="shared" si="41"/>
        <v>0</v>
      </c>
      <c r="AD103">
        <f t="shared" si="41"/>
        <v>0</v>
      </c>
      <c r="AE103">
        <f t="shared" si="41"/>
        <v>0</v>
      </c>
      <c r="AF103">
        <f t="shared" si="41"/>
        <v>0</v>
      </c>
      <c r="AG103">
        <f t="shared" si="41"/>
        <v>0</v>
      </c>
      <c r="AH103">
        <f t="shared" si="41"/>
        <v>0</v>
      </c>
      <c r="AI103">
        <f t="shared" si="41"/>
        <v>0</v>
      </c>
      <c r="AJ103">
        <f t="shared" si="41"/>
        <v>0</v>
      </c>
      <c r="AK103">
        <f t="shared" si="41"/>
        <v>0</v>
      </c>
      <c r="AL103"/>
      <c r="AM103" s="1108" t="s">
        <v>181</v>
      </c>
      <c r="AN103" s="1107"/>
      <c r="AO103" s="64" t="s">
        <v>75</v>
      </c>
      <c r="AP103" s="66">
        <f>'Input 6_Product Efficacy'!$K$12</f>
        <v>0.8</v>
      </c>
      <c r="AQ103" s="17"/>
      <c r="AR103"/>
      <c r="AS103" s="11"/>
      <c r="AT103" s="2" t="s">
        <v>44</v>
      </c>
      <c r="AU103" s="61">
        <f>AV13</f>
        <v>2.0485749381829933E-2</v>
      </c>
      <c r="AV103" s="61">
        <f>AU103</f>
        <v>2.0485749381829933E-2</v>
      </c>
      <c r="AW103" s="61">
        <f>AU103</f>
        <v>2.0485749381829933E-2</v>
      </c>
    </row>
    <row r="104" spans="1:49" s="13" customFormat="1" x14ac:dyDescent="0.3">
      <c r="A104">
        <f t="shared" ref="A104:J104" si="42">A14</f>
        <v>0</v>
      </c>
      <c r="B104">
        <f t="shared" si="42"/>
        <v>0</v>
      </c>
      <c r="C104">
        <f t="shared" si="42"/>
        <v>0</v>
      </c>
      <c r="D104">
        <f t="shared" si="42"/>
        <v>0</v>
      </c>
      <c r="E104">
        <f t="shared" si="42"/>
        <v>0</v>
      </c>
      <c r="F104">
        <f t="shared" si="42"/>
        <v>0</v>
      </c>
      <c r="G104">
        <f t="shared" si="42"/>
        <v>0</v>
      </c>
      <c r="H104">
        <f t="shared" si="42"/>
        <v>0</v>
      </c>
      <c r="I104">
        <f t="shared" si="42"/>
        <v>0</v>
      </c>
      <c r="J104">
        <f t="shared" si="42"/>
        <v>0</v>
      </c>
      <c r="K104"/>
      <c r="L104" s="306" t="s">
        <v>178</v>
      </c>
      <c r="M104" s="306" t="s">
        <v>179</v>
      </c>
      <c r="N104" s="11"/>
      <c r="O104"/>
      <c r="P104"/>
      <c r="Q104"/>
      <c r="R104" s="11"/>
      <c r="S104" s="2"/>
      <c r="T104"/>
      <c r="U104"/>
      <c r="V104"/>
      <c r="AB104">
        <f t="shared" ref="AB104:AK104" si="43">AB14</f>
        <v>0</v>
      </c>
      <c r="AC104">
        <f t="shared" si="43"/>
        <v>0</v>
      </c>
      <c r="AD104">
        <f t="shared" si="43"/>
        <v>0</v>
      </c>
      <c r="AE104">
        <f t="shared" si="43"/>
        <v>0</v>
      </c>
      <c r="AF104">
        <f t="shared" si="43"/>
        <v>0</v>
      </c>
      <c r="AG104">
        <f t="shared" si="43"/>
        <v>0</v>
      </c>
      <c r="AH104">
        <f t="shared" si="43"/>
        <v>0</v>
      </c>
      <c r="AI104">
        <f t="shared" si="43"/>
        <v>0</v>
      </c>
      <c r="AJ104">
        <f t="shared" si="43"/>
        <v>0</v>
      </c>
      <c r="AK104">
        <f t="shared" si="43"/>
        <v>0</v>
      </c>
      <c r="AL104"/>
      <c r="AM104" s="583" t="s">
        <v>178</v>
      </c>
      <c r="AN104" s="583" t="s">
        <v>179</v>
      </c>
      <c r="AO104" s="11"/>
      <c r="AP104"/>
      <c r="AQ104"/>
      <c r="AR104"/>
      <c r="AS104" s="11"/>
      <c r="AT104" s="2"/>
      <c r="AU104"/>
      <c r="AV104"/>
      <c r="AW104"/>
    </row>
    <row r="105" spans="1:49" s="13" customFormat="1" ht="16.5" customHeight="1" x14ac:dyDescent="0.3">
      <c r="A105">
        <f t="shared" ref="A105:I105" si="44">A15</f>
        <v>0</v>
      </c>
      <c r="B105">
        <f t="shared" si="44"/>
        <v>0</v>
      </c>
      <c r="C105">
        <f t="shared" si="44"/>
        <v>0</v>
      </c>
      <c r="D105">
        <f t="shared" si="44"/>
        <v>0</v>
      </c>
      <c r="E105">
        <f t="shared" si="44"/>
        <v>0</v>
      </c>
      <c r="F105">
        <f t="shared" si="44"/>
        <v>0</v>
      </c>
      <c r="G105">
        <f t="shared" si="44"/>
        <v>0</v>
      </c>
      <c r="H105">
        <f t="shared" si="44"/>
        <v>0</v>
      </c>
      <c r="I105">
        <f t="shared" si="44"/>
        <v>0</v>
      </c>
      <c r="J105" s="1104" t="s">
        <v>182</v>
      </c>
      <c r="K105" s="14" t="s">
        <v>128</v>
      </c>
      <c r="L105" s="28"/>
      <c r="M105" s="28"/>
      <c r="N105" s="11"/>
      <c r="O105"/>
      <c r="P105"/>
      <c r="Q105"/>
      <c r="R105" s="18"/>
      <c r="S105" s="12" t="s">
        <v>66</v>
      </c>
      <c r="T105" s="30">
        <f>I114*O103*T106</f>
        <v>12427.785369596169</v>
      </c>
      <c r="U105" s="30">
        <f>I112*O103*U106</f>
        <v>11552.589216807706</v>
      </c>
      <c r="V105" s="30">
        <f>I113*O103*V106</f>
        <v>13302.981522384631</v>
      </c>
      <c r="AB105">
        <f t="shared" ref="AB105:AJ105" si="45">AB15</f>
        <v>0</v>
      </c>
      <c r="AC105">
        <f t="shared" si="45"/>
        <v>0</v>
      </c>
      <c r="AD105">
        <f t="shared" si="45"/>
        <v>0</v>
      </c>
      <c r="AE105">
        <f t="shared" si="45"/>
        <v>0</v>
      </c>
      <c r="AF105">
        <f t="shared" si="45"/>
        <v>0</v>
      </c>
      <c r="AG105">
        <f t="shared" si="45"/>
        <v>0</v>
      </c>
      <c r="AH105">
        <f t="shared" si="45"/>
        <v>0</v>
      </c>
      <c r="AI105">
        <f t="shared" si="45"/>
        <v>0</v>
      </c>
      <c r="AJ105">
        <f t="shared" si="45"/>
        <v>0</v>
      </c>
      <c r="AK105" s="1104" t="s">
        <v>182</v>
      </c>
      <c r="AL105" s="14" t="s">
        <v>128</v>
      </c>
      <c r="AM105" s="28"/>
      <c r="AN105" s="28"/>
      <c r="AO105" s="11"/>
      <c r="AP105"/>
      <c r="AQ105"/>
      <c r="AR105"/>
      <c r="AS105" s="18"/>
      <c r="AT105" s="12" t="s">
        <v>66</v>
      </c>
      <c r="AU105" s="30">
        <f>AJ114*AP103*AU106</f>
        <v>3135.3263984160549</v>
      </c>
      <c r="AV105" s="30">
        <f>AJ112*AP103*AV106</f>
        <v>2914.5287647247833</v>
      </c>
      <c r="AW105" s="30">
        <f>AJ113*AP103*AW106</f>
        <v>3356.124032107326</v>
      </c>
    </row>
    <row r="106" spans="1:49" s="13" customFormat="1" x14ac:dyDescent="0.3">
      <c r="A106">
        <f t="shared" ref="A106:I106" si="46">A16</f>
        <v>0</v>
      </c>
      <c r="B106">
        <f t="shared" si="46"/>
        <v>0</v>
      </c>
      <c r="C106">
        <f t="shared" si="46"/>
        <v>0</v>
      </c>
      <c r="D106">
        <f t="shared" si="46"/>
        <v>0</v>
      </c>
      <c r="E106">
        <f t="shared" si="46"/>
        <v>0</v>
      </c>
      <c r="F106">
        <f t="shared" si="46"/>
        <v>0</v>
      </c>
      <c r="G106">
        <f t="shared" si="46"/>
        <v>0</v>
      </c>
      <c r="H106">
        <f t="shared" si="46"/>
        <v>0</v>
      </c>
      <c r="I106">
        <f t="shared" si="46"/>
        <v>0</v>
      </c>
      <c r="J106" s="1104"/>
      <c r="K106" s="285" t="s">
        <v>129</v>
      </c>
      <c r="L106" s="28"/>
      <c r="M106" s="28"/>
      <c r="N106" s="11"/>
      <c r="O106"/>
      <c r="P106"/>
      <c r="Q106"/>
      <c r="R106"/>
      <c r="S106" s="2" t="s">
        <v>45</v>
      </c>
      <c r="T106" s="61">
        <f>U16</f>
        <v>1.1199771417041152E-2</v>
      </c>
      <c r="U106" s="61">
        <f>T106</f>
        <v>1.1199771417041152E-2</v>
      </c>
      <c r="V106" s="61">
        <f>T106</f>
        <v>1.1199771417041152E-2</v>
      </c>
      <c r="AB106">
        <f t="shared" ref="AB106:AJ106" si="47">AB16</f>
        <v>0</v>
      </c>
      <c r="AC106">
        <f t="shared" si="47"/>
        <v>0</v>
      </c>
      <c r="AD106">
        <f t="shared" si="47"/>
        <v>0</v>
      </c>
      <c r="AE106">
        <f t="shared" si="47"/>
        <v>0</v>
      </c>
      <c r="AF106">
        <f t="shared" si="47"/>
        <v>0</v>
      </c>
      <c r="AG106">
        <f t="shared" si="47"/>
        <v>0</v>
      </c>
      <c r="AH106">
        <f t="shared" si="47"/>
        <v>0</v>
      </c>
      <c r="AI106">
        <f t="shared" si="47"/>
        <v>0</v>
      </c>
      <c r="AJ106">
        <f t="shared" si="47"/>
        <v>0</v>
      </c>
      <c r="AK106" s="1104"/>
      <c r="AL106" s="285" t="s">
        <v>129</v>
      </c>
      <c r="AM106" s="28"/>
      <c r="AN106" s="28"/>
      <c r="AO106" s="11"/>
      <c r="AP106"/>
      <c r="AQ106"/>
      <c r="AR106"/>
      <c r="AS106"/>
      <c r="AT106" s="2" t="s">
        <v>45</v>
      </c>
      <c r="AU106" s="61">
        <f>AV16</f>
        <v>2.825518621039377E-3</v>
      </c>
      <c r="AV106" s="61">
        <f>AU106</f>
        <v>2.825518621039377E-3</v>
      </c>
      <c r="AW106" s="61">
        <f>AU106</f>
        <v>2.825518621039377E-3</v>
      </c>
    </row>
    <row r="107" spans="1:49" s="13" customFormat="1" x14ac:dyDescent="0.3">
      <c r="A107">
        <f t="shared" ref="A107:H107" si="48">A17</f>
        <v>0</v>
      </c>
      <c r="B107">
        <f t="shared" si="48"/>
        <v>0</v>
      </c>
      <c r="C107">
        <f t="shared" si="48"/>
        <v>0</v>
      </c>
      <c r="D107">
        <f t="shared" si="48"/>
        <v>0</v>
      </c>
      <c r="E107">
        <f t="shared" si="48"/>
        <v>0</v>
      </c>
      <c r="F107">
        <f t="shared" si="48"/>
        <v>0</v>
      </c>
      <c r="G107">
        <f t="shared" si="48"/>
        <v>0</v>
      </c>
      <c r="H107">
        <f t="shared" si="48"/>
        <v>0</v>
      </c>
      <c r="I107"/>
      <c r="J107"/>
      <c r="K107" s="2" t="s">
        <v>32</v>
      </c>
      <c r="N107" s="11"/>
      <c r="P107"/>
      <c r="Q107"/>
      <c r="R107"/>
      <c r="S107"/>
      <c r="T107"/>
      <c r="U107"/>
      <c r="V107"/>
      <c r="AB107">
        <f t="shared" ref="AB107:AI107" si="49">AB17</f>
        <v>0</v>
      </c>
      <c r="AC107">
        <f t="shared" si="49"/>
        <v>0</v>
      </c>
      <c r="AD107">
        <f t="shared" si="49"/>
        <v>0</v>
      </c>
      <c r="AE107">
        <f t="shared" si="49"/>
        <v>0</v>
      </c>
      <c r="AF107">
        <f t="shared" si="49"/>
        <v>0</v>
      </c>
      <c r="AG107">
        <f t="shared" si="49"/>
        <v>0</v>
      </c>
      <c r="AH107">
        <f t="shared" si="49"/>
        <v>0</v>
      </c>
      <c r="AI107">
        <f t="shared" si="49"/>
        <v>0</v>
      </c>
      <c r="AJ107"/>
      <c r="AK107"/>
      <c r="AL107" s="2" t="s">
        <v>32</v>
      </c>
      <c r="AO107" s="11"/>
      <c r="AQ107"/>
      <c r="AR107"/>
      <c r="AS107"/>
      <c r="AT107"/>
      <c r="AU107"/>
      <c r="AV107"/>
      <c r="AW107"/>
    </row>
    <row r="108" spans="1:49" s="13" customFormat="1" x14ac:dyDescent="0.3">
      <c r="A108">
        <f t="shared" ref="A108:G108" si="50">A18</f>
        <v>0</v>
      </c>
      <c r="B108">
        <f t="shared" si="50"/>
        <v>0</v>
      </c>
      <c r="C108">
        <f t="shared" si="50"/>
        <v>0</v>
      </c>
      <c r="D108">
        <f t="shared" si="50"/>
        <v>0</v>
      </c>
      <c r="E108">
        <f t="shared" si="50"/>
        <v>0</v>
      </c>
      <c r="F108">
        <f t="shared" si="50"/>
        <v>0</v>
      </c>
      <c r="G108">
        <f t="shared" si="50"/>
        <v>0</v>
      </c>
      <c r="H108"/>
      <c r="I108"/>
      <c r="J108"/>
      <c r="K108" s="2" t="s">
        <v>34</v>
      </c>
      <c r="L108" s="33"/>
      <c r="M108" s="33"/>
      <c r="N108" s="11"/>
      <c r="O108"/>
      <c r="P108"/>
      <c r="Q108"/>
      <c r="R108"/>
      <c r="S108"/>
      <c r="T108"/>
      <c r="U108"/>
      <c r="V108"/>
      <c r="AB108">
        <f t="shared" ref="AB108:AH108" si="51">AB18</f>
        <v>0</v>
      </c>
      <c r="AC108">
        <f t="shared" si="51"/>
        <v>0</v>
      </c>
      <c r="AD108">
        <f t="shared" si="51"/>
        <v>0</v>
      </c>
      <c r="AE108">
        <f t="shared" si="51"/>
        <v>0</v>
      </c>
      <c r="AF108">
        <f t="shared" si="51"/>
        <v>0</v>
      </c>
      <c r="AG108">
        <f t="shared" si="51"/>
        <v>0</v>
      </c>
      <c r="AH108">
        <f t="shared" si="51"/>
        <v>0</v>
      </c>
      <c r="AI108"/>
      <c r="AJ108"/>
      <c r="AK108"/>
      <c r="AL108" s="2" t="s">
        <v>34</v>
      </c>
      <c r="AM108" s="33"/>
      <c r="AN108" s="33"/>
      <c r="AO108" s="11"/>
      <c r="AP108"/>
      <c r="AQ108"/>
      <c r="AR108"/>
      <c r="AS108"/>
      <c r="AT108"/>
      <c r="AU108"/>
      <c r="AV108"/>
      <c r="AW108"/>
    </row>
    <row r="109" spans="1:49" s="13" customFormat="1" x14ac:dyDescent="0.3">
      <c r="A109">
        <f t="shared" ref="A109:J109" si="52">A19</f>
        <v>0</v>
      </c>
      <c r="B109">
        <f t="shared" si="52"/>
        <v>0</v>
      </c>
      <c r="C109">
        <f t="shared" si="52"/>
        <v>0</v>
      </c>
      <c r="D109">
        <f t="shared" si="52"/>
        <v>0</v>
      </c>
      <c r="E109">
        <f t="shared" si="52"/>
        <v>0</v>
      </c>
      <c r="F109">
        <f t="shared" si="52"/>
        <v>0</v>
      </c>
      <c r="G109">
        <f t="shared" si="52"/>
        <v>0</v>
      </c>
      <c r="H109">
        <f t="shared" si="52"/>
        <v>0</v>
      </c>
      <c r="I109">
        <f t="shared" si="52"/>
        <v>0</v>
      </c>
      <c r="J109">
        <f t="shared" si="52"/>
        <v>0</v>
      </c>
      <c r="K109" s="16" t="s">
        <v>46</v>
      </c>
      <c r="L109" s="68"/>
      <c r="M109" s="17"/>
      <c r="N109" s="11"/>
      <c r="O109"/>
      <c r="P109"/>
      <c r="R109"/>
      <c r="S109"/>
      <c r="U109" s="1096" t="s">
        <v>181</v>
      </c>
      <c r="V109" s="1096"/>
      <c r="AB109">
        <f t="shared" ref="AB109:AK109" si="53">AB19</f>
        <v>0</v>
      </c>
      <c r="AC109">
        <f t="shared" si="53"/>
        <v>0</v>
      </c>
      <c r="AD109">
        <f t="shared" si="53"/>
        <v>0</v>
      </c>
      <c r="AE109">
        <f t="shared" si="53"/>
        <v>0</v>
      </c>
      <c r="AF109">
        <f t="shared" si="53"/>
        <v>0</v>
      </c>
      <c r="AG109">
        <f t="shared" si="53"/>
        <v>0</v>
      </c>
      <c r="AH109">
        <f t="shared" si="53"/>
        <v>0</v>
      </c>
      <c r="AI109">
        <f t="shared" si="53"/>
        <v>0</v>
      </c>
      <c r="AJ109">
        <f t="shared" si="53"/>
        <v>0</v>
      </c>
      <c r="AK109">
        <f t="shared" si="53"/>
        <v>0</v>
      </c>
      <c r="AL109" s="16" t="s">
        <v>46</v>
      </c>
      <c r="AM109" s="68"/>
      <c r="AN109" s="17"/>
      <c r="AO109" s="11"/>
      <c r="AP109"/>
      <c r="AQ109"/>
      <c r="AS109"/>
      <c r="AT109"/>
      <c r="AV109" s="1096" t="s">
        <v>181</v>
      </c>
      <c r="AW109" s="1096"/>
    </row>
    <row r="110" spans="1:49" s="13" customFormat="1" x14ac:dyDescent="0.3">
      <c r="A110">
        <f t="shared" ref="A110:J110" si="54">A20</f>
        <v>0</v>
      </c>
      <c r="B110">
        <f t="shared" si="54"/>
        <v>0</v>
      </c>
      <c r="C110">
        <f t="shared" si="54"/>
        <v>0</v>
      </c>
      <c r="D110">
        <f t="shared" si="54"/>
        <v>0</v>
      </c>
      <c r="E110">
        <f t="shared" si="54"/>
        <v>0</v>
      </c>
      <c r="F110">
        <f t="shared" si="54"/>
        <v>0</v>
      </c>
      <c r="G110">
        <f t="shared" si="54"/>
        <v>0</v>
      </c>
      <c r="H110">
        <f t="shared" si="54"/>
        <v>0</v>
      </c>
      <c r="I110">
        <f t="shared" si="54"/>
        <v>0</v>
      </c>
      <c r="J110">
        <f t="shared" si="54"/>
        <v>0</v>
      </c>
      <c r="K110" s="59" t="s">
        <v>128</v>
      </c>
      <c r="L110" s="68"/>
      <c r="M110"/>
      <c r="N110" s="11"/>
      <c r="R110"/>
      <c r="S110"/>
      <c r="T110" s="237" t="s">
        <v>160</v>
      </c>
      <c r="U110" s="237" t="s">
        <v>161</v>
      </c>
      <c r="V110" s="237" t="s">
        <v>162</v>
      </c>
      <c r="AB110">
        <f t="shared" ref="AB110:AK110" si="55">AB20</f>
        <v>0</v>
      </c>
      <c r="AC110">
        <f t="shared" si="55"/>
        <v>0</v>
      </c>
      <c r="AD110">
        <f t="shared" si="55"/>
        <v>0</v>
      </c>
      <c r="AE110">
        <f t="shared" si="55"/>
        <v>0</v>
      </c>
      <c r="AF110">
        <f t="shared" si="55"/>
        <v>0</v>
      </c>
      <c r="AG110">
        <f t="shared" si="55"/>
        <v>0</v>
      </c>
      <c r="AH110">
        <f t="shared" si="55"/>
        <v>0</v>
      </c>
      <c r="AI110">
        <f t="shared" si="55"/>
        <v>0</v>
      </c>
      <c r="AJ110">
        <f t="shared" si="55"/>
        <v>0</v>
      </c>
      <c r="AK110">
        <f t="shared" si="55"/>
        <v>0</v>
      </c>
      <c r="AL110" s="59" t="s">
        <v>128</v>
      </c>
      <c r="AM110" s="68"/>
      <c r="AN110"/>
      <c r="AO110" s="11"/>
      <c r="AS110"/>
      <c r="AT110"/>
      <c r="AU110" s="589" t="s">
        <v>160</v>
      </c>
      <c r="AV110" s="589" t="s">
        <v>161</v>
      </c>
      <c r="AW110" s="589" t="s">
        <v>162</v>
      </c>
    </row>
    <row r="111" spans="1:49" s="13" customFormat="1" x14ac:dyDescent="0.3">
      <c r="A111">
        <f t="shared" ref="A111:J111" si="56">A21</f>
        <v>0</v>
      </c>
      <c r="B111">
        <f t="shared" si="56"/>
        <v>0</v>
      </c>
      <c r="C111">
        <f t="shared" si="56"/>
        <v>0</v>
      </c>
      <c r="D111">
        <f t="shared" si="56"/>
        <v>0</v>
      </c>
      <c r="E111">
        <f t="shared" si="56"/>
        <v>0</v>
      </c>
      <c r="F111">
        <f t="shared" si="56"/>
        <v>0</v>
      </c>
      <c r="G111">
        <f t="shared" si="56"/>
        <v>0</v>
      </c>
      <c r="H111">
        <f t="shared" si="56"/>
        <v>0</v>
      </c>
      <c r="I111">
        <f t="shared" si="56"/>
        <v>0</v>
      </c>
      <c r="J111">
        <f t="shared" si="56"/>
        <v>0</v>
      </c>
      <c r="K111" s="238" t="s">
        <v>129</v>
      </c>
      <c r="L111" s="68"/>
      <c r="M111"/>
      <c r="N111" s="11"/>
      <c r="P111"/>
      <c r="Q111"/>
      <c r="R111"/>
      <c r="S111" s="517" t="s">
        <v>6</v>
      </c>
      <c r="T111" s="523">
        <f>($I$114*$O$114*T100)+($I$114*T112)</f>
        <v>67896.153825525078</v>
      </c>
      <c r="U111" s="523">
        <f>($I$112*$O$114*U100)+($I$112*U112)</f>
        <v>63114.734542037389</v>
      </c>
      <c r="V111" s="523">
        <f>($I$113*$O$114*V100)+($I$113*V112)</f>
        <v>72677.573109012737</v>
      </c>
      <c r="AB111">
        <f t="shared" ref="AB111:AK111" si="57">AB21</f>
        <v>0</v>
      </c>
      <c r="AC111">
        <f t="shared" si="57"/>
        <v>0</v>
      </c>
      <c r="AD111">
        <f t="shared" si="57"/>
        <v>0</v>
      </c>
      <c r="AE111">
        <f t="shared" si="57"/>
        <v>0</v>
      </c>
      <c r="AF111">
        <f t="shared" si="57"/>
        <v>0</v>
      </c>
      <c r="AG111">
        <f t="shared" si="57"/>
        <v>0</v>
      </c>
      <c r="AH111">
        <f t="shared" si="57"/>
        <v>0</v>
      </c>
      <c r="AI111">
        <f t="shared" si="57"/>
        <v>0</v>
      </c>
      <c r="AJ111">
        <f t="shared" si="57"/>
        <v>0</v>
      </c>
      <c r="AK111">
        <f t="shared" si="57"/>
        <v>0</v>
      </c>
      <c r="AL111" s="238" t="s">
        <v>129</v>
      </c>
      <c r="AM111" s="68"/>
      <c r="AN111"/>
      <c r="AO111" s="11"/>
      <c r="AQ111"/>
      <c r="AR111"/>
      <c r="AS111"/>
      <c r="AT111" s="517" t="s">
        <v>6</v>
      </c>
      <c r="AU111" s="523">
        <f>($AJ$114*$AP$114*AU100)+($I$114*AU112)</f>
        <v>15700.963926304579</v>
      </c>
      <c r="AV111" s="523">
        <f>($AJ$112*$AP$114*AV100)+($I$114*AV112)</f>
        <v>14694.04000308542</v>
      </c>
      <c r="AW111" s="523">
        <f>($AJ$113*$AP$114*AW100)+($I$114*AW112)</f>
        <v>16707.88784952374</v>
      </c>
    </row>
    <row r="112" spans="1:49" s="13" customFormat="1" x14ac:dyDescent="0.3">
      <c r="A112">
        <f t="shared" ref="A112:J112" si="58">A22</f>
        <v>0</v>
      </c>
      <c r="B112">
        <f t="shared" si="58"/>
        <v>0</v>
      </c>
      <c r="C112">
        <f t="shared" si="58"/>
        <v>0</v>
      </c>
      <c r="D112">
        <f t="shared" si="58"/>
        <v>0</v>
      </c>
      <c r="E112">
        <f t="shared" si="58"/>
        <v>0</v>
      </c>
      <c r="F112">
        <f t="shared" si="58"/>
        <v>0</v>
      </c>
      <c r="G112">
        <f t="shared" si="58"/>
        <v>0</v>
      </c>
      <c r="H112" s="2" t="s">
        <v>178</v>
      </c>
      <c r="I112" s="88">
        <f>$F$121*I116</f>
        <v>1289377.7902500001</v>
      </c>
      <c r="J112">
        <f t="shared" si="58"/>
        <v>0</v>
      </c>
      <c r="K112" s="11"/>
      <c r="L112"/>
      <c r="M112"/>
      <c r="N112" s="11"/>
      <c r="P112"/>
      <c r="Q112"/>
      <c r="R112" s="16"/>
      <c r="S112" s="15" t="s">
        <v>43</v>
      </c>
      <c r="T112" s="27">
        <f>'WiS percent RSV_base'!$BV$74</f>
        <v>2.8879739793901179E-2</v>
      </c>
      <c r="U112" s="27">
        <f>T112</f>
        <v>2.8879739793901179E-2</v>
      </c>
      <c r="V112" s="27">
        <f>T112</f>
        <v>2.8879739793901179E-2</v>
      </c>
      <c r="AB112">
        <f t="shared" ref="AB112:AH112" si="59">AB22</f>
        <v>0</v>
      </c>
      <c r="AC112">
        <f t="shared" si="59"/>
        <v>0</v>
      </c>
      <c r="AD112">
        <f t="shared" si="59"/>
        <v>0</v>
      </c>
      <c r="AE112">
        <f t="shared" si="59"/>
        <v>0</v>
      </c>
      <c r="AF112">
        <f t="shared" si="59"/>
        <v>0</v>
      </c>
      <c r="AG112">
        <f t="shared" si="59"/>
        <v>0</v>
      </c>
      <c r="AH112">
        <f t="shared" si="59"/>
        <v>0</v>
      </c>
      <c r="AI112" s="2" t="s">
        <v>178</v>
      </c>
      <c r="AJ112" s="88">
        <f>$F$121*AJ116</f>
        <v>1289377.7902500001</v>
      </c>
      <c r="AK112">
        <f t="shared" ref="AK112" si="60">AK22</f>
        <v>0</v>
      </c>
      <c r="AL112" s="11"/>
      <c r="AM112"/>
      <c r="AN112"/>
      <c r="AO112" s="11"/>
      <c r="AQ112"/>
      <c r="AR112"/>
      <c r="AS112" s="16"/>
      <c r="AT112" s="15" t="s">
        <v>43</v>
      </c>
      <c r="AU112" s="27">
        <f>AV22</f>
        <v>1.0112369429039231E-3</v>
      </c>
      <c r="AV112" s="27">
        <f>AU112</f>
        <v>1.0112369429039231E-3</v>
      </c>
      <c r="AW112" s="27">
        <f>AU112</f>
        <v>1.0112369429039231E-3</v>
      </c>
    </row>
    <row r="113" spans="1:49" s="13" customFormat="1" x14ac:dyDescent="0.3">
      <c r="A113">
        <f t="shared" ref="A113:J113" si="61">A23</f>
        <v>0</v>
      </c>
      <c r="B113">
        <f t="shared" si="61"/>
        <v>0</v>
      </c>
      <c r="C113">
        <f t="shared" si="61"/>
        <v>0</v>
      </c>
      <c r="D113">
        <f t="shared" si="61"/>
        <v>0</v>
      </c>
      <c r="E113">
        <f t="shared" si="61"/>
        <v>0</v>
      </c>
      <c r="F113">
        <f t="shared" si="61"/>
        <v>0</v>
      </c>
      <c r="G113">
        <f t="shared" si="61"/>
        <v>0</v>
      </c>
      <c r="H113" s="2" t="s">
        <v>179</v>
      </c>
      <c r="I113" s="88">
        <f>$F$121*I117</f>
        <v>1484738.0614999998</v>
      </c>
      <c r="J113">
        <f t="shared" si="61"/>
        <v>0</v>
      </c>
      <c r="K113" s="11"/>
      <c r="N113" s="59"/>
      <c r="P113"/>
      <c r="Q113"/>
      <c r="R113" s="11"/>
      <c r="S113" s="2"/>
      <c r="AB113">
        <f t="shared" ref="AB113:AH113" si="62">AB23</f>
        <v>0</v>
      </c>
      <c r="AC113">
        <f t="shared" si="62"/>
        <v>0</v>
      </c>
      <c r="AD113">
        <f t="shared" si="62"/>
        <v>0</v>
      </c>
      <c r="AE113">
        <f t="shared" si="62"/>
        <v>0</v>
      </c>
      <c r="AF113">
        <f t="shared" si="62"/>
        <v>0</v>
      </c>
      <c r="AG113">
        <f t="shared" si="62"/>
        <v>0</v>
      </c>
      <c r="AH113">
        <f t="shared" si="62"/>
        <v>0</v>
      </c>
      <c r="AI113" s="2" t="s">
        <v>179</v>
      </c>
      <c r="AJ113" s="88">
        <f>$F$121*AJ117</f>
        <v>1484738.0614999998</v>
      </c>
      <c r="AK113">
        <f t="shared" ref="AK113" si="63">AK23</f>
        <v>0</v>
      </c>
      <c r="AL113" s="11"/>
      <c r="AO113" s="59"/>
      <c r="AQ113"/>
      <c r="AR113"/>
      <c r="AS113" s="11"/>
      <c r="AT113" s="2"/>
    </row>
    <row r="114" spans="1:49" s="13" customFormat="1" x14ac:dyDescent="0.3">
      <c r="A114">
        <f t="shared" ref="A114:J114" si="64">A24</f>
        <v>0</v>
      </c>
      <c r="B114">
        <f t="shared" si="64"/>
        <v>0</v>
      </c>
      <c r="C114">
        <f t="shared" si="64"/>
        <v>0</v>
      </c>
      <c r="D114">
        <f t="shared" si="64"/>
        <v>0</v>
      </c>
      <c r="E114">
        <f t="shared" si="64"/>
        <v>0</v>
      </c>
      <c r="F114"/>
      <c r="G114"/>
      <c r="H114" s="12" t="str">
        <f t="shared" si="64"/>
        <v>obtain NEW Antibody Candidate product</v>
      </c>
      <c r="I114" s="30">
        <f>$F$121*I115</f>
        <v>1387057.925875</v>
      </c>
      <c r="J114" s="10">
        <f t="shared" si="64"/>
        <v>0</v>
      </c>
      <c r="K114" s="11"/>
      <c r="M114"/>
      <c r="N114" s="65" t="s">
        <v>76</v>
      </c>
      <c r="O114" s="67">
        <f>1-'Input 6_Product Efficacy'!$K$12</f>
        <v>0.19999999999999996</v>
      </c>
      <c r="P114" s="10"/>
      <c r="Q114" s="10"/>
      <c r="R114" s="18"/>
      <c r="S114" s="359" t="s">
        <v>7</v>
      </c>
      <c r="T114" s="523">
        <f>($I$114*$O$114*T103)+($I$114*T115)</f>
        <v>20330.893668673896</v>
      </c>
      <c r="U114" s="523">
        <f>($I$112*$O$114*U103)+($I$112*U115)</f>
        <v>18899.14059341517</v>
      </c>
      <c r="V114" s="523">
        <f>($I$113*$O$114*V103)+($I$113*V115)</f>
        <v>21762.646743932622</v>
      </c>
      <c r="AB114">
        <f t="shared" ref="AB114:AF114" si="65">AB24</f>
        <v>0</v>
      </c>
      <c r="AC114">
        <f t="shared" si="65"/>
        <v>0</v>
      </c>
      <c r="AD114">
        <f t="shared" si="65"/>
        <v>0</v>
      </c>
      <c r="AE114">
        <f t="shared" si="65"/>
        <v>0</v>
      </c>
      <c r="AF114">
        <f t="shared" si="65"/>
        <v>0</v>
      </c>
      <c r="AG114"/>
      <c r="AH114"/>
      <c r="AI114" s="12" t="str">
        <f t="shared" ref="AI114" si="66">AI24</f>
        <v>obtain NEW Antibody Candidate product</v>
      </c>
      <c r="AJ114" s="30">
        <f>$F$121*AJ115</f>
        <v>1387057.925875</v>
      </c>
      <c r="AK114" s="500">
        <f t="shared" ref="AK114" si="67">AK24</f>
        <v>0</v>
      </c>
      <c r="AL114" s="11"/>
      <c r="AN114"/>
      <c r="AO114" s="65" t="s">
        <v>76</v>
      </c>
      <c r="AP114" s="67">
        <f>1-'Input 6_Product Efficacy'!$K$12</f>
        <v>0.19999999999999996</v>
      </c>
      <c r="AQ114" s="500"/>
      <c r="AR114" s="500"/>
      <c r="AS114" s="18"/>
      <c r="AT114" s="359" t="s">
        <v>7</v>
      </c>
      <c r="AU114" s="523">
        <f>($AJ$114*$AP$114*AU103)+($I$114*AU115)</f>
        <v>6256.6676865421023</v>
      </c>
      <c r="AV114" s="523">
        <f>($AJ$112*$AP$114*AV103)+($I$114*AV115)</f>
        <v>5856.457530942721</v>
      </c>
      <c r="AW114" s="523">
        <f>($AJ$113*$AP$114*AW103)+($I$114*AW115)</f>
        <v>6656.8778421414836</v>
      </c>
    </row>
    <row r="115" spans="1:49" s="13" customFormat="1" x14ac:dyDescent="0.3">
      <c r="A115">
        <f t="shared" ref="A115:J115" si="68">A25</f>
        <v>0</v>
      </c>
      <c r="B115">
        <f t="shared" si="68"/>
        <v>0</v>
      </c>
      <c r="C115">
        <f t="shared" si="68"/>
        <v>0</v>
      </c>
      <c r="D115">
        <f t="shared" si="68"/>
        <v>0</v>
      </c>
      <c r="E115">
        <f t="shared" si="68"/>
        <v>0</v>
      </c>
      <c r="F115">
        <f t="shared" si="68"/>
        <v>0</v>
      </c>
      <c r="G115">
        <f t="shared" si="68"/>
        <v>0</v>
      </c>
      <c r="H115" s="59" t="str">
        <f t="shared" si="68"/>
        <v>p3</v>
      </c>
      <c r="I115" s="60">
        <f t="shared" si="68"/>
        <v>0.71</v>
      </c>
      <c r="J115">
        <f t="shared" si="68"/>
        <v>0</v>
      </c>
      <c r="K115" s="11"/>
      <c r="M115"/>
      <c r="N115" s="514" t="s">
        <v>297</v>
      </c>
      <c r="O115" s="71"/>
      <c r="P115"/>
      <c r="Q115"/>
      <c r="R115" s="11"/>
      <c r="S115" s="2" t="s">
        <v>44</v>
      </c>
      <c r="T115" s="27">
        <f>'WiS percent RSV_base'!$BV$50</f>
        <v>7.1200741608062031E-3</v>
      </c>
      <c r="U115" s="27">
        <f>T115</f>
        <v>7.1200741608062031E-3</v>
      </c>
      <c r="V115" s="27">
        <f>T115</f>
        <v>7.1200741608062031E-3</v>
      </c>
      <c r="AB115">
        <f t="shared" ref="AB115:AK115" si="69">AB25</f>
        <v>0</v>
      </c>
      <c r="AC115">
        <f t="shared" si="69"/>
        <v>0</v>
      </c>
      <c r="AD115">
        <f t="shared" si="69"/>
        <v>0</v>
      </c>
      <c r="AE115">
        <f t="shared" si="69"/>
        <v>0</v>
      </c>
      <c r="AF115">
        <f t="shared" si="69"/>
        <v>0</v>
      </c>
      <c r="AG115">
        <f t="shared" si="69"/>
        <v>0</v>
      </c>
      <c r="AH115">
        <f t="shared" si="69"/>
        <v>0</v>
      </c>
      <c r="AI115" s="59" t="str">
        <f t="shared" si="69"/>
        <v>p3</v>
      </c>
      <c r="AJ115" s="60">
        <f t="shared" si="69"/>
        <v>0.71</v>
      </c>
      <c r="AK115">
        <f t="shared" si="69"/>
        <v>0</v>
      </c>
      <c r="AL115" s="11"/>
      <c r="AN115"/>
      <c r="AO115" s="514" t="s">
        <v>297</v>
      </c>
      <c r="AP115" s="71"/>
      <c r="AQ115"/>
      <c r="AR115"/>
      <c r="AS115" s="11"/>
      <c r="AT115" s="2" t="s">
        <v>44</v>
      </c>
      <c r="AU115" s="27">
        <f>AV25</f>
        <v>4.1359734610145265E-4</v>
      </c>
      <c r="AV115" s="27">
        <f>AU115</f>
        <v>4.1359734610145265E-4</v>
      </c>
      <c r="AW115" s="27">
        <f>AU115</f>
        <v>4.1359734610145265E-4</v>
      </c>
    </row>
    <row r="116" spans="1:49" s="13" customFormat="1" x14ac:dyDescent="0.3">
      <c r="A116">
        <f t="shared" ref="A116:J116" si="70">A26</f>
        <v>0</v>
      </c>
      <c r="B116">
        <f t="shared" si="70"/>
        <v>0</v>
      </c>
      <c r="C116">
        <f t="shared" si="70"/>
        <v>0</v>
      </c>
      <c r="D116">
        <f t="shared" si="70"/>
        <v>0</v>
      </c>
      <c r="E116">
        <f t="shared" si="70"/>
        <v>0</v>
      </c>
      <c r="F116">
        <f t="shared" si="70"/>
        <v>0</v>
      </c>
      <c r="G116">
        <f t="shared" si="70"/>
        <v>0</v>
      </c>
      <c r="H116" s="59" t="s">
        <v>178</v>
      </c>
      <c r="I116" s="60">
        <f>'Input 5_Product Uptake'!O13</f>
        <v>0.66</v>
      </c>
      <c r="J116">
        <f t="shared" si="70"/>
        <v>0</v>
      </c>
      <c r="K116" s="11"/>
      <c r="M116"/>
      <c r="N116" s="2" t="s">
        <v>298</v>
      </c>
      <c r="P116"/>
      <c r="Q116"/>
      <c r="R116" s="11"/>
      <c r="S116" s="2"/>
      <c r="AB116">
        <f t="shared" ref="AB116:AH116" si="71">AB26</f>
        <v>0</v>
      </c>
      <c r="AC116">
        <f t="shared" si="71"/>
        <v>0</v>
      </c>
      <c r="AD116">
        <f t="shared" si="71"/>
        <v>0</v>
      </c>
      <c r="AE116">
        <f t="shared" si="71"/>
        <v>0</v>
      </c>
      <c r="AF116">
        <f t="shared" si="71"/>
        <v>0</v>
      </c>
      <c r="AG116">
        <f t="shared" si="71"/>
        <v>0</v>
      </c>
      <c r="AH116">
        <f t="shared" si="71"/>
        <v>0</v>
      </c>
      <c r="AI116" s="59" t="s">
        <v>178</v>
      </c>
      <c r="AJ116" s="60">
        <f>I116</f>
        <v>0.66</v>
      </c>
      <c r="AK116">
        <f t="shared" ref="AK116" si="72">AK26</f>
        <v>0</v>
      </c>
      <c r="AL116" s="11"/>
      <c r="AN116"/>
      <c r="AO116" s="2" t="s">
        <v>298</v>
      </c>
      <c r="AQ116"/>
      <c r="AR116"/>
      <c r="AS116" s="11"/>
      <c r="AT116" s="2"/>
    </row>
    <row r="117" spans="1:49" s="13" customFormat="1" x14ac:dyDescent="0.3">
      <c r="A117">
        <f t="shared" ref="A117:J117" si="73">A27</f>
        <v>0</v>
      </c>
      <c r="B117">
        <f t="shared" si="73"/>
        <v>0</v>
      </c>
      <c r="C117">
        <f t="shared" si="73"/>
        <v>0</v>
      </c>
      <c r="D117">
        <f t="shared" si="73"/>
        <v>0</v>
      </c>
      <c r="E117">
        <f t="shared" si="73"/>
        <v>0</v>
      </c>
      <c r="F117">
        <f t="shared" si="73"/>
        <v>0</v>
      </c>
      <c r="G117">
        <f t="shared" si="73"/>
        <v>0</v>
      </c>
      <c r="H117" s="59" t="s">
        <v>179</v>
      </c>
      <c r="I117" s="60">
        <f>'Input 5_Product Uptake'!Q13</f>
        <v>0.76</v>
      </c>
      <c r="J117">
        <f t="shared" si="73"/>
        <v>0</v>
      </c>
      <c r="K117" s="11"/>
      <c r="L117"/>
      <c r="M117"/>
      <c r="N117"/>
      <c r="O117"/>
      <c r="P117"/>
      <c r="Q117"/>
      <c r="R117" s="18"/>
      <c r="S117" s="359" t="s">
        <v>8</v>
      </c>
      <c r="T117" s="523">
        <f>($I$114*$O$114*T106)+($I$114*T118)</f>
        <v>4129.8093357814423</v>
      </c>
      <c r="U117" s="523">
        <f>($I$112*$O$114*U106)+($I$112*U118)</f>
        <v>3838.9776924165521</v>
      </c>
      <c r="V117" s="523">
        <f>($I$113*$O$114*V106)+($I$113*V118)</f>
        <v>4420.640979146332</v>
      </c>
      <c r="AB117">
        <f t="shared" ref="AB117:AH117" si="74">AB27</f>
        <v>0</v>
      </c>
      <c r="AC117">
        <f t="shared" si="74"/>
        <v>0</v>
      </c>
      <c r="AD117">
        <f t="shared" si="74"/>
        <v>0</v>
      </c>
      <c r="AE117">
        <f t="shared" si="74"/>
        <v>0</v>
      </c>
      <c r="AF117">
        <f t="shared" si="74"/>
        <v>0</v>
      </c>
      <c r="AG117">
        <f t="shared" si="74"/>
        <v>0</v>
      </c>
      <c r="AH117">
        <f t="shared" si="74"/>
        <v>0</v>
      </c>
      <c r="AI117" s="59" t="s">
        <v>179</v>
      </c>
      <c r="AJ117" s="60">
        <f>I117</f>
        <v>0.76</v>
      </c>
      <c r="AK117">
        <f t="shared" ref="AK117" si="75">AK27</f>
        <v>0</v>
      </c>
      <c r="AL117" s="11"/>
      <c r="AM117"/>
      <c r="AN117"/>
      <c r="AO117"/>
      <c r="AP117"/>
      <c r="AQ117"/>
      <c r="AR117"/>
      <c r="AS117" s="18"/>
      <c r="AT117" s="359" t="s">
        <v>8</v>
      </c>
      <c r="AU117" s="523">
        <f>($AJ$114*$AP$114*AU106)+($I$114*AU118)</f>
        <v>858.71983804024876</v>
      </c>
      <c r="AV117" s="523">
        <f>($AJ$112*$AP$114*AV106)+($I$114*AV118)</f>
        <v>803.52042961743086</v>
      </c>
      <c r="AW117" s="523">
        <f>($AJ$113*$AP$114*AW106)+($I$114*AW118)</f>
        <v>913.91924646306643</v>
      </c>
    </row>
    <row r="118" spans="1:49" s="13" customFormat="1" x14ac:dyDescent="0.3">
      <c r="A118">
        <f t="shared" ref="A118:J118" si="76">A28</f>
        <v>0</v>
      </c>
      <c r="B118">
        <f t="shared" si="76"/>
        <v>0</v>
      </c>
      <c r="C118">
        <f t="shared" si="76"/>
        <v>0</v>
      </c>
      <c r="D118">
        <f t="shared" si="76"/>
        <v>0</v>
      </c>
      <c r="E118">
        <f t="shared" si="76"/>
        <v>0</v>
      </c>
      <c r="F118">
        <f t="shared" si="76"/>
        <v>0</v>
      </c>
      <c r="G118">
        <f t="shared" si="76"/>
        <v>0</v>
      </c>
      <c r="H118" s="11">
        <f t="shared" si="76"/>
        <v>0</v>
      </c>
      <c r="I118">
        <f t="shared" si="76"/>
        <v>0</v>
      </c>
      <c r="J118">
        <f t="shared" si="76"/>
        <v>0</v>
      </c>
      <c r="K118" s="11"/>
      <c r="L118"/>
      <c r="M118"/>
      <c r="N118"/>
      <c r="O118"/>
      <c r="P118"/>
      <c r="Q118"/>
      <c r="R118"/>
      <c r="S118" s="2" t="s">
        <v>45</v>
      </c>
      <c r="T118" s="61">
        <f>'WiS percent RSV_base'!$BV$25</f>
        <v>7.3743350894098128E-4</v>
      </c>
      <c r="U118" s="61">
        <f>'WiS percent RSV_base'!$BV$25</f>
        <v>7.3743350894098128E-4</v>
      </c>
      <c r="V118" s="61">
        <f>'WiS percent RSV_base'!$BV$25</f>
        <v>7.3743350894098128E-4</v>
      </c>
      <c r="AB118">
        <f t="shared" ref="AB118:AK118" si="77">AB28</f>
        <v>0</v>
      </c>
      <c r="AC118">
        <f t="shared" si="77"/>
        <v>0</v>
      </c>
      <c r="AD118">
        <f t="shared" si="77"/>
        <v>0</v>
      </c>
      <c r="AE118">
        <f t="shared" si="77"/>
        <v>0</v>
      </c>
      <c r="AF118">
        <f t="shared" si="77"/>
        <v>0</v>
      </c>
      <c r="AG118">
        <f t="shared" si="77"/>
        <v>0</v>
      </c>
      <c r="AH118">
        <f t="shared" si="77"/>
        <v>0</v>
      </c>
      <c r="AI118" s="11">
        <f t="shared" si="77"/>
        <v>0</v>
      </c>
      <c r="AJ118">
        <f t="shared" si="77"/>
        <v>0</v>
      </c>
      <c r="AK118">
        <f t="shared" si="77"/>
        <v>0</v>
      </c>
      <c r="AL118" s="11"/>
      <c r="AM118"/>
      <c r="AN118"/>
      <c r="AO118"/>
      <c r="AP118"/>
      <c r="AQ118"/>
      <c r="AR118"/>
      <c r="AS118"/>
      <c r="AT118" s="2" t="s">
        <v>45</v>
      </c>
      <c r="AU118" s="20">
        <f>AV28</f>
        <v>5.3990707265519015E-5</v>
      </c>
      <c r="AV118" s="20">
        <f>AU118</f>
        <v>5.3990707265519015E-5</v>
      </c>
      <c r="AW118" s="20">
        <f>AU118</f>
        <v>5.3990707265519015E-5</v>
      </c>
    </row>
    <row r="119" spans="1:49" s="13" customFormat="1" x14ac:dyDescent="0.3">
      <c r="A119">
        <f t="shared" ref="A119:J119" si="78">A29</f>
        <v>0</v>
      </c>
      <c r="B119">
        <f t="shared" si="78"/>
        <v>0</v>
      </c>
      <c r="C119">
        <f t="shared" si="78"/>
        <v>0</v>
      </c>
      <c r="D119">
        <f t="shared" si="78"/>
        <v>0</v>
      </c>
      <c r="E119">
        <f t="shared" si="78"/>
        <v>0</v>
      </c>
      <c r="F119">
        <f t="shared" si="78"/>
        <v>0</v>
      </c>
      <c r="G119">
        <f t="shared" si="78"/>
        <v>0</v>
      </c>
      <c r="H119" s="11">
        <f t="shared" si="78"/>
        <v>0</v>
      </c>
      <c r="I119">
        <f t="shared" si="78"/>
        <v>0</v>
      </c>
      <c r="J119">
        <f t="shared" si="78"/>
        <v>0</v>
      </c>
      <c r="K119" s="18"/>
      <c r="L119" s="10"/>
      <c r="M119" s="10"/>
      <c r="N119"/>
      <c r="O119"/>
      <c r="P119"/>
      <c r="Q119"/>
      <c r="R119"/>
      <c r="S119" s="2"/>
      <c r="AB119">
        <f t="shared" ref="AB119:AK119" si="79">AB29</f>
        <v>0</v>
      </c>
      <c r="AC119">
        <f t="shared" si="79"/>
        <v>0</v>
      </c>
      <c r="AD119">
        <f t="shared" si="79"/>
        <v>0</v>
      </c>
      <c r="AE119">
        <f t="shared" si="79"/>
        <v>0</v>
      </c>
      <c r="AF119">
        <f t="shared" si="79"/>
        <v>0</v>
      </c>
      <c r="AG119">
        <f t="shared" si="79"/>
        <v>0</v>
      </c>
      <c r="AH119">
        <f t="shared" si="79"/>
        <v>0</v>
      </c>
      <c r="AI119" s="11">
        <f t="shared" si="79"/>
        <v>0</v>
      </c>
      <c r="AJ119">
        <f t="shared" si="79"/>
        <v>0</v>
      </c>
      <c r="AK119">
        <f t="shared" si="79"/>
        <v>0</v>
      </c>
      <c r="AL119" s="18"/>
      <c r="AM119" s="500"/>
      <c r="AN119" s="500"/>
      <c r="AO119"/>
      <c r="AP119"/>
      <c r="AQ119"/>
      <c r="AR119"/>
      <c r="AS119"/>
      <c r="AT119" s="2"/>
    </row>
    <row r="120" spans="1:49" s="13" customFormat="1" x14ac:dyDescent="0.3">
      <c r="A120">
        <f t="shared" ref="A120:J120" si="80">A30</f>
        <v>0</v>
      </c>
      <c r="B120">
        <f t="shared" si="80"/>
        <v>0</v>
      </c>
      <c r="C120">
        <f t="shared" si="80"/>
        <v>0</v>
      </c>
      <c r="D120">
        <f t="shared" si="80"/>
        <v>0</v>
      </c>
      <c r="E120">
        <f t="shared" si="80"/>
        <v>0</v>
      </c>
      <c r="F120">
        <f t="shared" si="80"/>
        <v>0</v>
      </c>
      <c r="G120">
        <f t="shared" si="80"/>
        <v>0</v>
      </c>
      <c r="H120" s="11">
        <f t="shared" si="80"/>
        <v>0</v>
      </c>
      <c r="I120">
        <f t="shared" si="80"/>
        <v>0</v>
      </c>
      <c r="J120">
        <f t="shared" si="80"/>
        <v>0</v>
      </c>
      <c r="K120" s="2" t="s">
        <v>9</v>
      </c>
      <c r="L120" s="63" t="s">
        <v>37</v>
      </c>
      <c r="N120"/>
      <c r="O120"/>
      <c r="P120"/>
      <c r="Q120"/>
      <c r="R120"/>
      <c r="S120"/>
      <c r="T120"/>
      <c r="U120"/>
      <c r="V120"/>
      <c r="AB120">
        <f t="shared" ref="AB120:AK120" si="81">AB30</f>
        <v>0</v>
      </c>
      <c r="AC120">
        <f t="shared" si="81"/>
        <v>0</v>
      </c>
      <c r="AD120">
        <f t="shared" si="81"/>
        <v>0</v>
      </c>
      <c r="AE120">
        <f t="shared" si="81"/>
        <v>0</v>
      </c>
      <c r="AF120">
        <f t="shared" si="81"/>
        <v>0</v>
      </c>
      <c r="AG120">
        <f t="shared" si="81"/>
        <v>0</v>
      </c>
      <c r="AH120">
        <f t="shared" si="81"/>
        <v>0</v>
      </c>
      <c r="AI120" s="11">
        <f t="shared" si="81"/>
        <v>0</v>
      </c>
      <c r="AJ120">
        <f t="shared" si="81"/>
        <v>0</v>
      </c>
      <c r="AK120">
        <f t="shared" si="81"/>
        <v>0</v>
      </c>
      <c r="AL120" s="2" t="s">
        <v>9</v>
      </c>
      <c r="AM120" s="63" t="s">
        <v>37</v>
      </c>
      <c r="AO120"/>
      <c r="AP120"/>
      <c r="AQ120"/>
      <c r="AR120"/>
      <c r="AS120"/>
      <c r="AT120"/>
      <c r="AU120"/>
      <c r="AV120"/>
      <c r="AW120"/>
    </row>
    <row r="121" spans="1:49" s="13" customFormat="1" x14ac:dyDescent="0.3">
      <c r="A121">
        <f t="shared" ref="A121:J121" si="82">A31</f>
        <v>0</v>
      </c>
      <c r="B121">
        <f t="shared" si="82"/>
        <v>0</v>
      </c>
      <c r="C121">
        <f t="shared" si="82"/>
        <v>0</v>
      </c>
      <c r="D121" s="10" t="str">
        <f t="shared" si="82"/>
        <v># Low Risk Newborns</v>
      </c>
      <c r="E121" s="10"/>
      <c r="F121" s="33">
        <f t="shared" si="82"/>
        <v>1953602.7124999999</v>
      </c>
      <c r="G121" s="10">
        <f t="shared" si="82"/>
        <v>0</v>
      </c>
      <c r="H121" s="11">
        <f t="shared" si="82"/>
        <v>0</v>
      </c>
      <c r="I121">
        <f t="shared" si="82"/>
        <v>0</v>
      </c>
      <c r="J121">
        <f t="shared" si="82"/>
        <v>0</v>
      </c>
      <c r="K121"/>
      <c r="L121"/>
      <c r="M121"/>
      <c r="N121"/>
      <c r="O121"/>
      <c r="P121"/>
      <c r="Q121"/>
      <c r="R121"/>
      <c r="S121"/>
      <c r="T121"/>
      <c r="U121"/>
      <c r="V121"/>
      <c r="AB121">
        <f t="shared" ref="AB121:AE121" si="83">AB31</f>
        <v>0</v>
      </c>
      <c r="AC121">
        <f t="shared" si="83"/>
        <v>0</v>
      </c>
      <c r="AD121">
        <f t="shared" si="83"/>
        <v>0</v>
      </c>
      <c r="AE121" s="500" t="str">
        <f t="shared" si="83"/>
        <v># Low Risk Newborns</v>
      </c>
      <c r="AF121" s="500"/>
      <c r="AG121" s="33">
        <f t="shared" ref="AG121:AK121" si="84">AG31</f>
        <v>1953602.7124999999</v>
      </c>
      <c r="AH121" s="500">
        <f t="shared" si="84"/>
        <v>0</v>
      </c>
      <c r="AI121" s="11">
        <f t="shared" si="84"/>
        <v>0</v>
      </c>
      <c r="AJ121">
        <f t="shared" si="84"/>
        <v>0</v>
      </c>
      <c r="AK121">
        <f t="shared" si="84"/>
        <v>0</v>
      </c>
      <c r="AL121"/>
      <c r="AM121"/>
      <c r="AN121"/>
      <c r="AO121"/>
      <c r="AP121"/>
      <c r="AQ121"/>
      <c r="AR121"/>
      <c r="AS121"/>
      <c r="AT121"/>
      <c r="AU121"/>
      <c r="AV121"/>
      <c r="AW121"/>
    </row>
    <row r="122" spans="1:49" s="13" customFormat="1" x14ac:dyDescent="0.3">
      <c r="A122">
        <f t="shared" ref="A122:J122" si="85">A32</f>
        <v>0</v>
      </c>
      <c r="B122">
        <f t="shared" si="85"/>
        <v>0</v>
      </c>
      <c r="C122">
        <f t="shared" si="85"/>
        <v>0</v>
      </c>
      <c r="D122" s="11" t="str">
        <f t="shared" si="85"/>
        <v>in 1 season</v>
      </c>
      <c r="E122"/>
      <c r="F122">
        <f t="shared" si="85"/>
        <v>0</v>
      </c>
      <c r="G122" s="52">
        <f t="shared" si="85"/>
        <v>0</v>
      </c>
      <c r="H122" s="11">
        <f t="shared" si="85"/>
        <v>0</v>
      </c>
      <c r="I122">
        <f t="shared" si="85"/>
        <v>0</v>
      </c>
      <c r="J122">
        <f t="shared" si="85"/>
        <v>0</v>
      </c>
      <c r="K122"/>
      <c r="L122"/>
      <c r="M122"/>
      <c r="N122"/>
      <c r="O122"/>
      <c r="P122"/>
      <c r="Q122"/>
      <c r="R122"/>
      <c r="S122"/>
      <c r="T122"/>
      <c r="U122"/>
      <c r="V122"/>
      <c r="AB122">
        <f t="shared" ref="AB122:AE122" si="86">AB32</f>
        <v>0</v>
      </c>
      <c r="AC122">
        <f t="shared" si="86"/>
        <v>0</v>
      </c>
      <c r="AD122">
        <f t="shared" si="86"/>
        <v>0</v>
      </c>
      <c r="AE122" s="11" t="str">
        <f t="shared" si="86"/>
        <v>in 1 season</v>
      </c>
      <c r="AF122"/>
      <c r="AG122">
        <f t="shared" ref="AG122:AK122" si="87">AG32</f>
        <v>0</v>
      </c>
      <c r="AH122" s="52">
        <f t="shared" si="87"/>
        <v>0</v>
      </c>
      <c r="AI122" s="11">
        <f t="shared" si="87"/>
        <v>0</v>
      </c>
      <c r="AJ122">
        <f t="shared" si="87"/>
        <v>0</v>
      </c>
      <c r="AK122">
        <f t="shared" si="87"/>
        <v>0</v>
      </c>
      <c r="AL122"/>
      <c r="AM122"/>
      <c r="AN122"/>
      <c r="AO122"/>
      <c r="AP122"/>
      <c r="AQ122"/>
      <c r="AR122"/>
      <c r="AS122"/>
      <c r="AT122"/>
      <c r="AU122"/>
      <c r="AV122"/>
      <c r="AW122"/>
    </row>
    <row r="123" spans="1:49" s="13" customFormat="1" x14ac:dyDescent="0.3">
      <c r="A123">
        <f t="shared" ref="A123:I123" si="88">A33</f>
        <v>0</v>
      </c>
      <c r="B123">
        <f t="shared" si="88"/>
        <v>0</v>
      </c>
      <c r="C123">
        <f t="shared" si="88"/>
        <v>0</v>
      </c>
      <c r="D123" s="11">
        <f t="shared" si="88"/>
        <v>0</v>
      </c>
      <c r="E123" s="14" t="str">
        <f t="shared" si="88"/>
        <v>1-p1</v>
      </c>
      <c r="F123" s="27">
        <f t="shared" si="88"/>
        <v>0.99019999999999997</v>
      </c>
      <c r="G123">
        <f t="shared" si="88"/>
        <v>0</v>
      </c>
      <c r="H123" s="11">
        <f t="shared" si="88"/>
        <v>0</v>
      </c>
      <c r="I123">
        <f t="shared" si="88"/>
        <v>0</v>
      </c>
      <c r="J123"/>
      <c r="K123" s="2" t="s">
        <v>9</v>
      </c>
      <c r="L123" s="62" t="s">
        <v>37</v>
      </c>
      <c r="M123"/>
      <c r="N123"/>
      <c r="O123"/>
      <c r="P123"/>
      <c r="Q123"/>
      <c r="R123"/>
      <c r="S123"/>
      <c r="T123"/>
      <c r="U123"/>
      <c r="V123"/>
      <c r="AB123">
        <f t="shared" ref="AB123:AJ123" si="89">AB33</f>
        <v>0</v>
      </c>
      <c r="AC123">
        <f t="shared" si="89"/>
        <v>0</v>
      </c>
      <c r="AD123">
        <f t="shared" si="89"/>
        <v>0</v>
      </c>
      <c r="AE123" s="11">
        <f t="shared" si="89"/>
        <v>0</v>
      </c>
      <c r="AF123" s="14" t="str">
        <f t="shared" si="89"/>
        <v>1-p1</v>
      </c>
      <c r="AG123" s="27">
        <f t="shared" si="89"/>
        <v>0.99019999999999997</v>
      </c>
      <c r="AH123">
        <f t="shared" si="89"/>
        <v>0</v>
      </c>
      <c r="AI123" s="11">
        <f t="shared" si="89"/>
        <v>0</v>
      </c>
      <c r="AJ123">
        <f t="shared" si="89"/>
        <v>0</v>
      </c>
      <c r="AK123"/>
      <c r="AL123" s="2" t="s">
        <v>9</v>
      </c>
      <c r="AM123" s="62" t="s">
        <v>37</v>
      </c>
      <c r="AN123"/>
      <c r="AO123"/>
      <c r="AP123"/>
      <c r="AQ123"/>
      <c r="AR123"/>
      <c r="AS123"/>
      <c r="AT123"/>
      <c r="AU123"/>
      <c r="AV123"/>
      <c r="AW123"/>
    </row>
    <row r="124" spans="1:49" s="13" customFormat="1" x14ac:dyDescent="0.3">
      <c r="A124">
        <f t="shared" ref="A124:J124" si="90">A34</f>
        <v>0</v>
      </c>
      <c r="B124">
        <f t="shared" si="90"/>
        <v>0</v>
      </c>
      <c r="C124">
        <f t="shared" si="90"/>
        <v>0</v>
      </c>
      <c r="D124" s="11">
        <f t="shared" si="90"/>
        <v>0</v>
      </c>
      <c r="E124">
        <f t="shared" si="90"/>
        <v>0</v>
      </c>
      <c r="F124">
        <f t="shared" si="90"/>
        <v>0</v>
      </c>
      <c r="G124">
        <f t="shared" si="90"/>
        <v>0</v>
      </c>
      <c r="H124" s="59" t="s">
        <v>178</v>
      </c>
      <c r="I124" s="318">
        <f>1-I116</f>
        <v>0.33999999999999997</v>
      </c>
      <c r="J124">
        <f t="shared" si="90"/>
        <v>0</v>
      </c>
      <c r="K124" s="16"/>
      <c r="L124"/>
      <c r="M124" s="17"/>
      <c r="N124"/>
      <c r="O124"/>
      <c r="P124"/>
      <c r="Q124" s="1096" t="s">
        <v>181</v>
      </c>
      <c r="R124" s="1096"/>
      <c r="S124"/>
      <c r="T124"/>
      <c r="U124" s="29"/>
      <c r="V124"/>
      <c r="AB124">
        <f t="shared" ref="AB124:AH124" si="91">AB34</f>
        <v>0</v>
      </c>
      <c r="AC124">
        <f t="shared" si="91"/>
        <v>0</v>
      </c>
      <c r="AD124">
        <f t="shared" si="91"/>
        <v>0</v>
      </c>
      <c r="AE124" s="11">
        <f t="shared" si="91"/>
        <v>0</v>
      </c>
      <c r="AF124">
        <f t="shared" si="91"/>
        <v>0</v>
      </c>
      <c r="AG124">
        <f t="shared" si="91"/>
        <v>0</v>
      </c>
      <c r="AH124">
        <f t="shared" si="91"/>
        <v>0</v>
      </c>
      <c r="AI124" s="59" t="s">
        <v>178</v>
      </c>
      <c r="AJ124" s="318">
        <f>1-AJ116</f>
        <v>0.33999999999999997</v>
      </c>
      <c r="AK124">
        <f t="shared" ref="AK124" si="92">AK34</f>
        <v>0</v>
      </c>
      <c r="AL124" s="16"/>
      <c r="AM124"/>
      <c r="AN124" s="17"/>
      <c r="AO124"/>
      <c r="AP124"/>
      <c r="AQ124"/>
      <c r="AR124" s="1096" t="s">
        <v>181</v>
      </c>
      <c r="AS124" s="1096"/>
      <c r="AT124"/>
      <c r="AU124"/>
      <c r="AV124" s="29"/>
      <c r="AW124"/>
    </row>
    <row r="125" spans="1:49" x14ac:dyDescent="0.3">
      <c r="A125">
        <f t="shared" ref="A125:J125" si="93">A35</f>
        <v>0</v>
      </c>
      <c r="B125">
        <f t="shared" si="93"/>
        <v>0</v>
      </c>
      <c r="C125">
        <f t="shared" si="93"/>
        <v>0</v>
      </c>
      <c r="D125" s="11">
        <f t="shared" si="93"/>
        <v>0</v>
      </c>
      <c r="E125">
        <f t="shared" si="93"/>
        <v>0</v>
      </c>
      <c r="F125">
        <f t="shared" si="93"/>
        <v>0</v>
      </c>
      <c r="G125">
        <f t="shared" si="93"/>
        <v>0</v>
      </c>
      <c r="H125" s="59" t="s">
        <v>179</v>
      </c>
      <c r="I125" s="318">
        <f>1-I117</f>
        <v>0.24</v>
      </c>
      <c r="J125">
        <f t="shared" si="93"/>
        <v>0</v>
      </c>
      <c r="K125" s="11"/>
      <c r="L125" s="13"/>
      <c r="M125" s="13"/>
      <c r="P125" s="237" t="s">
        <v>160</v>
      </c>
      <c r="Q125" s="237" t="s">
        <v>161</v>
      </c>
      <c r="R125" s="237" t="s">
        <v>162</v>
      </c>
      <c r="T125" s="37"/>
      <c r="U125" s="20"/>
      <c r="AB125">
        <f t="shared" ref="AB125:AH125" si="94">AB35</f>
        <v>0</v>
      </c>
      <c r="AC125">
        <f t="shared" si="94"/>
        <v>0</v>
      </c>
      <c r="AD125">
        <f t="shared" si="94"/>
        <v>0</v>
      </c>
      <c r="AE125" s="11">
        <f t="shared" si="94"/>
        <v>0</v>
      </c>
      <c r="AF125">
        <f t="shared" si="94"/>
        <v>0</v>
      </c>
      <c r="AG125">
        <f t="shared" si="94"/>
        <v>0</v>
      </c>
      <c r="AH125">
        <f t="shared" si="94"/>
        <v>0</v>
      </c>
      <c r="AI125" s="59" t="s">
        <v>179</v>
      </c>
      <c r="AJ125" s="318">
        <f>1-AJ117</f>
        <v>0.24</v>
      </c>
      <c r="AK125">
        <f t="shared" ref="AK125" si="95">AK35</f>
        <v>0</v>
      </c>
      <c r="AL125" s="11"/>
      <c r="AM125" s="13"/>
      <c r="AN125" s="13"/>
      <c r="AQ125" s="589" t="s">
        <v>160</v>
      </c>
      <c r="AR125" s="589" t="s">
        <v>161</v>
      </c>
      <c r="AS125" s="589" t="s">
        <v>162</v>
      </c>
      <c r="AU125" s="37"/>
      <c r="AV125" s="20"/>
    </row>
    <row r="126" spans="1:49" x14ac:dyDescent="0.3">
      <c r="A126">
        <f t="shared" ref="A126:J126" si="96">A36</f>
        <v>0</v>
      </c>
      <c r="B126">
        <f t="shared" si="96"/>
        <v>0</v>
      </c>
      <c r="C126">
        <f t="shared" si="96"/>
        <v>0</v>
      </c>
      <c r="D126" s="11">
        <f t="shared" si="96"/>
        <v>0</v>
      </c>
      <c r="E126">
        <f t="shared" si="96"/>
        <v>0</v>
      </c>
      <c r="F126">
        <f t="shared" si="96"/>
        <v>0</v>
      </c>
      <c r="G126">
        <f t="shared" si="96"/>
        <v>0</v>
      </c>
      <c r="H126" s="59" t="str">
        <f t="shared" si="96"/>
        <v>1-p3</v>
      </c>
      <c r="I126" s="67">
        <f>1-I115</f>
        <v>0.29000000000000004</v>
      </c>
      <c r="J126" s="10">
        <f t="shared" si="96"/>
        <v>0</v>
      </c>
      <c r="K126" s="11"/>
      <c r="O126" s="12" t="s">
        <v>6</v>
      </c>
      <c r="P126" s="30">
        <f>I127*P127</f>
        <v>73214.495143857712</v>
      </c>
      <c r="Q126" s="30">
        <f>I128*Q127</f>
        <v>85837.683961764196</v>
      </c>
      <c r="R126" s="30">
        <f>I129*R127</f>
        <v>60591.306325951191</v>
      </c>
      <c r="T126" s="69"/>
      <c r="AB126">
        <f t="shared" ref="AB126:AI126" si="97">AB36</f>
        <v>0</v>
      </c>
      <c r="AC126">
        <f t="shared" si="97"/>
        <v>0</v>
      </c>
      <c r="AD126">
        <f t="shared" si="97"/>
        <v>0</v>
      </c>
      <c r="AE126" s="11">
        <f t="shared" si="97"/>
        <v>0</v>
      </c>
      <c r="AF126">
        <f t="shared" si="97"/>
        <v>0</v>
      </c>
      <c r="AG126">
        <f t="shared" si="97"/>
        <v>0</v>
      </c>
      <c r="AH126">
        <f t="shared" si="97"/>
        <v>0</v>
      </c>
      <c r="AI126" s="59" t="str">
        <f t="shared" si="97"/>
        <v>1-p3</v>
      </c>
      <c r="AJ126" s="67">
        <f>1-AJ115</f>
        <v>0.29000000000000004</v>
      </c>
      <c r="AK126" s="500">
        <f t="shared" ref="AK126" si="98">AK36</f>
        <v>0</v>
      </c>
      <c r="AL126" s="11"/>
      <c r="AP126" s="12" t="s">
        <v>6</v>
      </c>
      <c r="AQ126" s="30">
        <f>AJ127*AQ127</f>
        <v>29773.704791400502</v>
      </c>
      <c r="AR126" s="30">
        <f>AJ128*AR127</f>
        <v>34907.102169228165</v>
      </c>
      <c r="AS126" s="30">
        <f>AJ129*AS127</f>
        <v>24640.307413572824</v>
      </c>
      <c r="AU126" s="69"/>
    </row>
    <row r="127" spans="1:49" x14ac:dyDescent="0.3">
      <c r="A127">
        <f t="shared" ref="A127:J127" si="99">A37</f>
        <v>0</v>
      </c>
      <c r="B127">
        <f t="shared" si="99"/>
        <v>0</v>
      </c>
      <c r="C127">
        <f t="shared" si="99"/>
        <v>0</v>
      </c>
      <c r="D127" s="11">
        <f t="shared" si="99"/>
        <v>0</v>
      </c>
      <c r="E127">
        <f t="shared" si="99"/>
        <v>0</v>
      </c>
      <c r="F127">
        <f t="shared" si="99"/>
        <v>0</v>
      </c>
      <c r="H127" s="15" t="s">
        <v>180</v>
      </c>
      <c r="I127" s="28">
        <f t="shared" si="99"/>
        <v>566544.78662500007</v>
      </c>
      <c r="J127">
        <f t="shared" si="99"/>
        <v>0</v>
      </c>
      <c r="K127" s="59" t="s">
        <v>128</v>
      </c>
      <c r="L127" s="50">
        <f>SUM(Q127,Q130,Q133)</f>
        <v>0.18597458567567429</v>
      </c>
      <c r="N127" s="16"/>
      <c r="O127" s="2" t="s">
        <v>43</v>
      </c>
      <c r="P127" s="61">
        <f>$P$37</f>
        <v>0.12922984532257092</v>
      </c>
      <c r="Q127" s="61">
        <f>$P$37</f>
        <v>0.12922984532257092</v>
      </c>
      <c r="R127" s="61">
        <f>$P$37</f>
        <v>0.12922984532257092</v>
      </c>
      <c r="AB127">
        <f t="shared" ref="AB127:AG127" si="100">AB37</f>
        <v>0</v>
      </c>
      <c r="AC127">
        <f t="shared" si="100"/>
        <v>0</v>
      </c>
      <c r="AD127">
        <f t="shared" si="100"/>
        <v>0</v>
      </c>
      <c r="AE127" s="11">
        <f t="shared" si="100"/>
        <v>0</v>
      </c>
      <c r="AF127">
        <f t="shared" si="100"/>
        <v>0</v>
      </c>
      <c r="AG127">
        <f t="shared" si="100"/>
        <v>0</v>
      </c>
      <c r="AI127" s="15" t="s">
        <v>180</v>
      </c>
      <c r="AJ127" s="28">
        <f t="shared" ref="AJ127:AK127" si="101">AJ37</f>
        <v>566544.78662500007</v>
      </c>
      <c r="AK127">
        <f t="shared" si="101"/>
        <v>0</v>
      </c>
      <c r="AL127" s="59" t="s">
        <v>128</v>
      </c>
      <c r="AM127" s="50">
        <f>SUM(AR127,AR130,AR133)</f>
        <v>7.633199129690689E-2</v>
      </c>
      <c r="AO127" s="16"/>
      <c r="AP127" s="2" t="s">
        <v>43</v>
      </c>
      <c r="AQ127" s="61">
        <f>AQ37</f>
        <v>5.2553135240670609E-2</v>
      </c>
      <c r="AR127" s="61">
        <f>AQ127</f>
        <v>5.2553135240670609E-2</v>
      </c>
      <c r="AS127" s="61">
        <f>AQ127</f>
        <v>5.2553135240670609E-2</v>
      </c>
    </row>
    <row r="128" spans="1:49" x14ac:dyDescent="0.3">
      <c r="A128">
        <f t="shared" ref="A128:J128" si="102">A38</f>
        <v>0</v>
      </c>
      <c r="B128">
        <f t="shared" si="102"/>
        <v>0</v>
      </c>
      <c r="C128">
        <f t="shared" si="102"/>
        <v>0</v>
      </c>
      <c r="D128" s="11">
        <f t="shared" si="102"/>
        <v>0</v>
      </c>
      <c r="E128">
        <f t="shared" si="102"/>
        <v>0</v>
      </c>
      <c r="F128">
        <f t="shared" si="102"/>
        <v>0</v>
      </c>
      <c r="G128">
        <f t="shared" si="102"/>
        <v>0</v>
      </c>
      <c r="H128" s="2" t="s">
        <v>178</v>
      </c>
      <c r="I128" s="28">
        <f>$F$121*I124</f>
        <v>664224.92224999995</v>
      </c>
      <c r="J128">
        <f t="shared" si="102"/>
        <v>0</v>
      </c>
      <c r="K128" s="238" t="s">
        <v>129</v>
      </c>
      <c r="L128" s="50">
        <f>SUM(R127,R130,R133)</f>
        <v>0.18597458567567429</v>
      </c>
      <c r="N128" s="11"/>
      <c r="O128" s="2"/>
      <c r="AB128">
        <f t="shared" ref="AB128:AH128" si="103">AB38</f>
        <v>0</v>
      </c>
      <c r="AC128">
        <f t="shared" si="103"/>
        <v>0</v>
      </c>
      <c r="AD128">
        <f t="shared" si="103"/>
        <v>0</v>
      </c>
      <c r="AE128" s="11">
        <f t="shared" si="103"/>
        <v>0</v>
      </c>
      <c r="AF128">
        <f t="shared" si="103"/>
        <v>0</v>
      </c>
      <c r="AG128">
        <f t="shared" si="103"/>
        <v>0</v>
      </c>
      <c r="AH128">
        <f t="shared" si="103"/>
        <v>0</v>
      </c>
      <c r="AI128" s="2" t="s">
        <v>178</v>
      </c>
      <c r="AJ128" s="28">
        <f>$F$121*AJ124</f>
        <v>664224.92224999995</v>
      </c>
      <c r="AK128">
        <f t="shared" ref="AK128" si="104">AK38</f>
        <v>0</v>
      </c>
      <c r="AL128" s="238" t="s">
        <v>129</v>
      </c>
      <c r="AM128" s="50">
        <f>SUM(AS127,AS130,AS133)</f>
        <v>7.633199129690689E-2</v>
      </c>
      <c r="AO128" s="11"/>
      <c r="AP128" s="2"/>
    </row>
    <row r="129" spans="1:49" x14ac:dyDescent="0.3">
      <c r="A129">
        <f t="shared" ref="A129:J129" si="105">A39</f>
        <v>0</v>
      </c>
      <c r="B129">
        <f t="shared" si="105"/>
        <v>0</v>
      </c>
      <c r="C129">
        <f t="shared" si="105"/>
        <v>0</v>
      </c>
      <c r="D129" s="11">
        <f t="shared" si="105"/>
        <v>0</v>
      </c>
      <c r="E129">
        <f t="shared" si="105"/>
        <v>0</v>
      </c>
      <c r="F129">
        <f t="shared" si="105"/>
        <v>0</v>
      </c>
      <c r="G129">
        <f t="shared" si="105"/>
        <v>0</v>
      </c>
      <c r="H129" s="2" t="s">
        <v>179</v>
      </c>
      <c r="I129" s="28">
        <f>$F$121*I125</f>
        <v>468864.65099999995</v>
      </c>
      <c r="J129">
        <f t="shared" si="105"/>
        <v>0</v>
      </c>
      <c r="K129" s="18" t="s">
        <v>46</v>
      </c>
      <c r="L129" s="50">
        <f>SUM(P127,P130,P133)</f>
        <v>0.18597458567567429</v>
      </c>
      <c r="M129" s="10"/>
      <c r="N129" s="18"/>
      <c r="O129" s="12" t="s">
        <v>7</v>
      </c>
      <c r="P129" s="30">
        <f>I127*P130</f>
        <v>25385.475597750534</v>
      </c>
      <c r="Q129" s="30">
        <f>I128*Q130</f>
        <v>29762.28173529372</v>
      </c>
      <c r="R129" s="30">
        <f>I129*R130</f>
        <v>21008.669460207333</v>
      </c>
      <c r="AB129">
        <f t="shared" ref="AB129:AH129" si="106">AB39</f>
        <v>0</v>
      </c>
      <c r="AC129">
        <f t="shared" si="106"/>
        <v>0</v>
      </c>
      <c r="AD129">
        <f t="shared" si="106"/>
        <v>0</v>
      </c>
      <c r="AE129" s="11">
        <f t="shared" si="106"/>
        <v>0</v>
      </c>
      <c r="AF129">
        <f t="shared" si="106"/>
        <v>0</v>
      </c>
      <c r="AG129">
        <f t="shared" si="106"/>
        <v>0</v>
      </c>
      <c r="AH129">
        <f t="shared" si="106"/>
        <v>0</v>
      </c>
      <c r="AI129" s="2" t="s">
        <v>179</v>
      </c>
      <c r="AJ129" s="28">
        <f>$F$121*AJ125</f>
        <v>468864.65099999995</v>
      </c>
      <c r="AK129">
        <f t="shared" ref="AK129" si="107">AK39</f>
        <v>0</v>
      </c>
      <c r="AL129" s="18" t="s">
        <v>46</v>
      </c>
      <c r="AM129" s="50">
        <f>SUM(AQ127,AQ130,AQ133)</f>
        <v>7.633199129690689E-2</v>
      </c>
      <c r="AN129" s="500"/>
      <c r="AO129" s="18"/>
      <c r="AP129" s="12" t="s">
        <v>7</v>
      </c>
      <c r="AQ129" s="30">
        <f>AJ127*AQ130</f>
        <v>11840.41593257778</v>
      </c>
      <c r="AR129" s="30">
        <f>AJ128*AR130</f>
        <v>13881.866955436015</v>
      </c>
      <c r="AS129" s="30">
        <f>AJ129*AS130</f>
        <v>9798.9649097195397</v>
      </c>
    </row>
    <row r="130" spans="1:49" x14ac:dyDescent="0.3">
      <c r="A130">
        <f t="shared" ref="A130:H130" si="108">A40</f>
        <v>0</v>
      </c>
      <c r="B130">
        <f t="shared" si="108"/>
        <v>0</v>
      </c>
      <c r="C130">
        <f t="shared" si="108"/>
        <v>0</v>
      </c>
      <c r="D130" s="11">
        <f t="shared" si="108"/>
        <v>0</v>
      </c>
      <c r="E130">
        <f t="shared" si="108"/>
        <v>0</v>
      </c>
      <c r="F130">
        <f t="shared" si="108"/>
        <v>0</v>
      </c>
      <c r="G130">
        <f t="shared" si="108"/>
        <v>0</v>
      </c>
      <c r="H130">
        <f t="shared" si="108"/>
        <v>0</v>
      </c>
      <c r="K130" s="2" t="s">
        <v>10</v>
      </c>
      <c r="L130" s="54">
        <f>I127*L129</f>
        <v>105362.93195929768</v>
      </c>
      <c r="N130" s="11"/>
      <c r="O130" s="2" t="s">
        <v>44</v>
      </c>
      <c r="P130" s="61">
        <f>$P$40</f>
        <v>4.4807535427121237E-2</v>
      </c>
      <c r="Q130" s="61">
        <f t="shared" ref="Q130:R130" si="109">$P$40</f>
        <v>4.4807535427121237E-2</v>
      </c>
      <c r="R130" s="61">
        <f t="shared" si="109"/>
        <v>4.4807535427121237E-2</v>
      </c>
      <c r="AB130">
        <f t="shared" ref="AB130:AI130" si="110">AB40</f>
        <v>0</v>
      </c>
      <c r="AC130">
        <f t="shared" si="110"/>
        <v>0</v>
      </c>
      <c r="AD130">
        <f t="shared" si="110"/>
        <v>0</v>
      </c>
      <c r="AE130" s="11">
        <f t="shared" si="110"/>
        <v>0</v>
      </c>
      <c r="AF130">
        <f t="shared" si="110"/>
        <v>0</v>
      </c>
      <c r="AG130">
        <f t="shared" si="110"/>
        <v>0</v>
      </c>
      <c r="AH130">
        <f t="shared" si="110"/>
        <v>0</v>
      </c>
      <c r="AI130">
        <f t="shared" si="110"/>
        <v>0</v>
      </c>
      <c r="AL130" s="2" t="s">
        <v>10</v>
      </c>
      <c r="AM130" s="54">
        <f>AJ127*AM129</f>
        <v>43245.491721967475</v>
      </c>
      <c r="AO130" s="11"/>
      <c r="AP130" s="2" t="s">
        <v>44</v>
      </c>
      <c r="AQ130" s="61">
        <f>AQ40</f>
        <v>2.0899346727931385E-2</v>
      </c>
      <c r="AR130" s="61">
        <f>AQ130</f>
        <v>2.0899346727931385E-2</v>
      </c>
      <c r="AS130" s="61">
        <f>AQ130</f>
        <v>2.0899346727931385E-2</v>
      </c>
    </row>
    <row r="131" spans="1:49" x14ac:dyDescent="0.3">
      <c r="A131">
        <f t="shared" ref="A131:J131" si="111">A41</f>
        <v>0</v>
      </c>
      <c r="B131">
        <f t="shared" si="111"/>
        <v>0</v>
      </c>
      <c r="C131">
        <f t="shared" si="111"/>
        <v>0</v>
      </c>
      <c r="D131" s="11">
        <f t="shared" si="111"/>
        <v>0</v>
      </c>
      <c r="E131">
        <f t="shared" si="111"/>
        <v>0</v>
      </c>
      <c r="F131">
        <f t="shared" si="111"/>
        <v>0</v>
      </c>
      <c r="G131">
        <f t="shared" si="111"/>
        <v>0</v>
      </c>
      <c r="H131">
        <f t="shared" si="111"/>
        <v>0</v>
      </c>
      <c r="I131">
        <f t="shared" si="111"/>
        <v>0</v>
      </c>
      <c r="J131">
        <f t="shared" si="111"/>
        <v>0</v>
      </c>
      <c r="K131" s="14" t="s">
        <v>128</v>
      </c>
      <c r="L131" s="28">
        <f>I127*L127</f>
        <v>105362.93195929768</v>
      </c>
      <c r="N131" s="11"/>
      <c r="O131" s="2"/>
      <c r="AB131">
        <f t="shared" ref="AB131:AK131" si="112">AB41</f>
        <v>0</v>
      </c>
      <c r="AC131">
        <f t="shared" si="112"/>
        <v>0</v>
      </c>
      <c r="AD131">
        <f t="shared" si="112"/>
        <v>0</v>
      </c>
      <c r="AE131" s="11">
        <f t="shared" si="112"/>
        <v>0</v>
      </c>
      <c r="AF131">
        <f t="shared" si="112"/>
        <v>0</v>
      </c>
      <c r="AG131">
        <f t="shared" si="112"/>
        <v>0</v>
      </c>
      <c r="AH131">
        <f t="shared" si="112"/>
        <v>0</v>
      </c>
      <c r="AI131">
        <f t="shared" si="112"/>
        <v>0</v>
      </c>
      <c r="AJ131">
        <f t="shared" si="112"/>
        <v>0</v>
      </c>
      <c r="AK131">
        <f t="shared" si="112"/>
        <v>0</v>
      </c>
      <c r="AL131" s="14" t="s">
        <v>128</v>
      </c>
      <c r="AM131" s="28">
        <f>AJ127*AM127</f>
        <v>43245.491721967475</v>
      </c>
      <c r="AO131" s="11"/>
      <c r="AP131" s="2"/>
    </row>
    <row r="132" spans="1:49" x14ac:dyDescent="0.3">
      <c r="A132">
        <f t="shared" ref="A132:J132" si="113">A42</f>
        <v>0</v>
      </c>
      <c r="B132">
        <f t="shared" si="113"/>
        <v>0</v>
      </c>
      <c r="C132">
        <f t="shared" si="113"/>
        <v>0</v>
      </c>
      <c r="D132" s="11">
        <f t="shared" si="113"/>
        <v>0</v>
      </c>
      <c r="E132">
        <f t="shared" si="113"/>
        <v>0</v>
      </c>
      <c r="F132">
        <f t="shared" si="113"/>
        <v>0</v>
      </c>
      <c r="G132">
        <f t="shared" si="113"/>
        <v>0</v>
      </c>
      <c r="H132">
        <f t="shared" si="113"/>
        <v>0</v>
      </c>
      <c r="I132">
        <f t="shared" si="113"/>
        <v>0</v>
      </c>
      <c r="J132">
        <f t="shared" si="113"/>
        <v>0</v>
      </c>
      <c r="K132" s="285" t="s">
        <v>129</v>
      </c>
      <c r="L132" s="28">
        <f>I127*L128</f>
        <v>105362.93195929768</v>
      </c>
      <c r="N132" s="18"/>
      <c r="O132" s="12" t="s">
        <v>8</v>
      </c>
      <c r="P132" s="30">
        <f>I127*P133</f>
        <v>6762.961217689447</v>
      </c>
      <c r="Q132" s="30">
        <f>I128*Q133</f>
        <v>7928.9890138427982</v>
      </c>
      <c r="R132" s="30">
        <f>I129*R133</f>
        <v>5596.9334215360932</v>
      </c>
      <c r="AB132">
        <f t="shared" ref="AB132:AK132" si="114">AB42</f>
        <v>0</v>
      </c>
      <c r="AC132">
        <f t="shared" si="114"/>
        <v>0</v>
      </c>
      <c r="AD132">
        <f t="shared" si="114"/>
        <v>0</v>
      </c>
      <c r="AE132" s="11">
        <f t="shared" si="114"/>
        <v>0</v>
      </c>
      <c r="AF132">
        <f t="shared" si="114"/>
        <v>0</v>
      </c>
      <c r="AG132">
        <f t="shared" si="114"/>
        <v>0</v>
      </c>
      <c r="AH132">
        <f t="shared" si="114"/>
        <v>0</v>
      </c>
      <c r="AI132">
        <f t="shared" si="114"/>
        <v>0</v>
      </c>
      <c r="AJ132">
        <f t="shared" si="114"/>
        <v>0</v>
      </c>
      <c r="AK132">
        <f t="shared" si="114"/>
        <v>0</v>
      </c>
      <c r="AL132" s="285" t="s">
        <v>129</v>
      </c>
      <c r="AM132" s="28">
        <f>AJ127*AM128</f>
        <v>43245.491721967475</v>
      </c>
      <c r="AO132" s="18"/>
      <c r="AP132" s="12" t="s">
        <v>8</v>
      </c>
      <c r="AQ132" s="30">
        <f>AJ127*AQ133</f>
        <v>1631.3709979891946</v>
      </c>
      <c r="AR132" s="30">
        <f>AJ128*AR133</f>
        <v>1912.6418597114691</v>
      </c>
      <c r="AS132" s="30">
        <f>AJ129*AS133</f>
        <v>1350.1001362669194</v>
      </c>
    </row>
    <row r="133" spans="1:49" x14ac:dyDescent="0.3">
      <c r="D133" s="11">
        <f t="shared" ref="D133:J133" si="115">D43</f>
        <v>0</v>
      </c>
      <c r="E133">
        <f t="shared" si="115"/>
        <v>0</v>
      </c>
      <c r="F133">
        <f t="shared" si="115"/>
        <v>0</v>
      </c>
      <c r="G133">
        <f t="shared" si="115"/>
        <v>0</v>
      </c>
      <c r="H133">
        <f t="shared" si="115"/>
        <v>0</v>
      </c>
      <c r="I133" s="22">
        <f t="shared" si="115"/>
        <v>0</v>
      </c>
      <c r="J133">
        <f t="shared" si="115"/>
        <v>0</v>
      </c>
      <c r="K133" s="13"/>
      <c r="O133" s="2" t="s">
        <v>45</v>
      </c>
      <c r="P133" s="61">
        <f>$P$43</f>
        <v>1.1937204925982133E-2</v>
      </c>
      <c r="Q133" s="61">
        <f t="shared" ref="Q133:R133" si="116">$P$43</f>
        <v>1.1937204925982133E-2</v>
      </c>
      <c r="R133" s="61">
        <f t="shared" si="116"/>
        <v>1.1937204925982133E-2</v>
      </c>
      <c r="AB133">
        <f t="shared" ref="AB133:AK133" si="117">AB43</f>
        <v>0</v>
      </c>
      <c r="AC133">
        <f t="shared" si="117"/>
        <v>0</v>
      </c>
      <c r="AD133">
        <f t="shared" si="117"/>
        <v>0</v>
      </c>
      <c r="AE133" s="11">
        <f t="shared" si="117"/>
        <v>0</v>
      </c>
      <c r="AF133">
        <f t="shared" si="117"/>
        <v>0</v>
      </c>
      <c r="AG133">
        <f t="shared" si="117"/>
        <v>0</v>
      </c>
      <c r="AH133">
        <f t="shared" si="117"/>
        <v>0</v>
      </c>
      <c r="AI133">
        <f t="shared" si="117"/>
        <v>0</v>
      </c>
      <c r="AJ133" s="22">
        <f t="shared" si="117"/>
        <v>0</v>
      </c>
      <c r="AK133">
        <f t="shared" si="117"/>
        <v>0</v>
      </c>
      <c r="AL133" s="13"/>
      <c r="AP133" s="2" t="s">
        <v>45</v>
      </c>
      <c r="AQ133" s="61">
        <f>AQ43</f>
        <v>2.879509328304896E-3</v>
      </c>
      <c r="AR133" s="61">
        <f>AQ133</f>
        <v>2.879509328304896E-3</v>
      </c>
      <c r="AS133" s="61">
        <f>AQ133</f>
        <v>2.879509328304896E-3</v>
      </c>
    </row>
    <row r="134" spans="1:49" x14ac:dyDescent="0.3">
      <c r="A134">
        <f t="shared" ref="A134:J134" si="118">A44</f>
        <v>0</v>
      </c>
      <c r="B134">
        <f t="shared" si="118"/>
        <v>0</v>
      </c>
      <c r="C134">
        <f t="shared" si="118"/>
        <v>0</v>
      </c>
      <c r="D134" s="11">
        <f t="shared" si="118"/>
        <v>0</v>
      </c>
      <c r="E134">
        <f t="shared" si="118"/>
        <v>0</v>
      </c>
      <c r="F134">
        <f t="shared" si="118"/>
        <v>0</v>
      </c>
      <c r="G134">
        <f t="shared" si="118"/>
        <v>0</v>
      </c>
      <c r="H134">
        <f t="shared" si="118"/>
        <v>0</v>
      </c>
      <c r="I134">
        <f t="shared" si="118"/>
        <v>0</v>
      </c>
      <c r="J134">
        <f t="shared" si="118"/>
        <v>0</v>
      </c>
      <c r="AB134">
        <f t="shared" ref="AB134:AK134" si="119">AB44</f>
        <v>0</v>
      </c>
      <c r="AC134">
        <f t="shared" si="119"/>
        <v>0</v>
      </c>
      <c r="AD134">
        <f t="shared" si="119"/>
        <v>0</v>
      </c>
      <c r="AE134" s="11">
        <f t="shared" si="119"/>
        <v>0</v>
      </c>
      <c r="AF134">
        <f t="shared" si="119"/>
        <v>0</v>
      </c>
      <c r="AG134">
        <f t="shared" si="119"/>
        <v>0</v>
      </c>
      <c r="AH134">
        <f t="shared" si="119"/>
        <v>0</v>
      </c>
      <c r="AI134">
        <f t="shared" si="119"/>
        <v>0</v>
      </c>
      <c r="AJ134">
        <f t="shared" si="119"/>
        <v>0</v>
      </c>
      <c r="AK134">
        <f t="shared" si="119"/>
        <v>0</v>
      </c>
    </row>
    <row r="135" spans="1:49" x14ac:dyDescent="0.3">
      <c r="A135" t="str">
        <f t="shared" ref="A135:J135" si="120">A45</f>
        <v>sum check row</v>
      </c>
      <c r="B135">
        <f t="shared" si="120"/>
        <v>0</v>
      </c>
      <c r="C135">
        <f t="shared" si="120"/>
        <v>0</v>
      </c>
      <c r="D135" s="11">
        <f t="shared" si="120"/>
        <v>0</v>
      </c>
      <c r="E135">
        <f t="shared" si="120"/>
        <v>0</v>
      </c>
      <c r="F135" t="str">
        <f t="shared" si="120"/>
        <v>Bottom Branch:</v>
      </c>
      <c r="G135">
        <f t="shared" si="120"/>
        <v>0</v>
      </c>
      <c r="H135" s="2" t="str">
        <f t="shared" si="120"/>
        <v>sum check</v>
      </c>
      <c r="I135" s="21">
        <f t="shared" si="120"/>
        <v>1953602.7124999999</v>
      </c>
      <c r="J135" s="28">
        <f t="shared" si="120"/>
        <v>0</v>
      </c>
      <c r="K135" s="55"/>
      <c r="L135" s="21"/>
      <c r="M135" s="28"/>
      <c r="N135" s="28"/>
      <c r="O135" s="55" t="s">
        <v>5</v>
      </c>
      <c r="P135" s="56">
        <f>P126+P129+P132</f>
        <v>105362.93195929768</v>
      </c>
      <c r="Q135" s="56"/>
      <c r="S135" s="55" t="s">
        <v>5</v>
      </c>
      <c r="T135" s="56">
        <f>T111+T114+T117</f>
        <v>92356.856829980417</v>
      </c>
      <c r="AB135" t="str">
        <f t="shared" ref="AB135:AK135" si="121">AB45</f>
        <v>sum check row</v>
      </c>
      <c r="AC135">
        <f t="shared" si="121"/>
        <v>0</v>
      </c>
      <c r="AD135">
        <f t="shared" si="121"/>
        <v>0</v>
      </c>
      <c r="AE135" s="11">
        <f t="shared" si="121"/>
        <v>0</v>
      </c>
      <c r="AF135">
        <f t="shared" si="121"/>
        <v>0</v>
      </c>
      <c r="AG135" t="str">
        <f t="shared" si="121"/>
        <v>Bottom Branch:</v>
      </c>
      <c r="AH135">
        <f t="shared" si="121"/>
        <v>0</v>
      </c>
      <c r="AI135" s="2" t="str">
        <f t="shared" si="121"/>
        <v>sum check</v>
      </c>
      <c r="AJ135" s="21">
        <f t="shared" si="121"/>
        <v>1953602.7124999999</v>
      </c>
      <c r="AK135" s="28">
        <f t="shared" si="121"/>
        <v>0</v>
      </c>
      <c r="AL135" s="55"/>
      <c r="AM135" s="21"/>
      <c r="AN135" s="28"/>
      <c r="AO135" s="28"/>
      <c r="AP135" s="55" t="s">
        <v>5</v>
      </c>
      <c r="AQ135" s="56">
        <f>AQ126+AQ129+AQ132</f>
        <v>43245.491721967475</v>
      </c>
      <c r="AR135" s="56"/>
      <c r="AT135" s="55" t="s">
        <v>5</v>
      </c>
      <c r="AU135" s="56">
        <f>AU111+AU114+AU117</f>
        <v>22816.35145088693</v>
      </c>
    </row>
    <row r="136" spans="1:49" x14ac:dyDescent="0.3">
      <c r="A136">
        <f t="shared" ref="A136:V136" si="122">A46</f>
        <v>0</v>
      </c>
      <c r="B136">
        <f t="shared" si="122"/>
        <v>0</v>
      </c>
      <c r="C136">
        <f t="shared" si="122"/>
        <v>0</v>
      </c>
      <c r="D136" s="11">
        <f t="shared" si="122"/>
        <v>0</v>
      </c>
      <c r="E136">
        <f t="shared" si="122"/>
        <v>0</v>
      </c>
      <c r="F136">
        <f t="shared" si="122"/>
        <v>0</v>
      </c>
      <c r="G136">
        <f t="shared" si="122"/>
        <v>0</v>
      </c>
      <c r="H136">
        <f t="shared" si="122"/>
        <v>0</v>
      </c>
      <c r="I136">
        <f t="shared" si="122"/>
        <v>0</v>
      </c>
      <c r="J136">
        <f t="shared" si="122"/>
        <v>0</v>
      </c>
      <c r="K136">
        <f t="shared" si="122"/>
        <v>0</v>
      </c>
      <c r="L136">
        <f t="shared" si="122"/>
        <v>0</v>
      </c>
      <c r="M136">
        <f t="shared" si="122"/>
        <v>0</v>
      </c>
      <c r="N136">
        <f t="shared" si="122"/>
        <v>0</v>
      </c>
      <c r="O136">
        <f t="shared" si="122"/>
        <v>0</v>
      </c>
      <c r="P136">
        <f t="shared" si="122"/>
        <v>0</v>
      </c>
      <c r="Q136">
        <f t="shared" si="122"/>
        <v>0</v>
      </c>
      <c r="R136">
        <f t="shared" si="122"/>
        <v>0</v>
      </c>
      <c r="S136">
        <f t="shared" si="122"/>
        <v>0</v>
      </c>
      <c r="T136">
        <f t="shared" si="122"/>
        <v>0</v>
      </c>
      <c r="U136">
        <f t="shared" si="122"/>
        <v>0</v>
      </c>
      <c r="V136">
        <f t="shared" si="122"/>
        <v>0</v>
      </c>
      <c r="AB136">
        <f t="shared" ref="AB136:AW136" si="123">AB46</f>
        <v>0</v>
      </c>
      <c r="AC136">
        <f t="shared" si="123"/>
        <v>0</v>
      </c>
      <c r="AD136">
        <f t="shared" si="123"/>
        <v>0</v>
      </c>
      <c r="AE136" s="11">
        <f t="shared" si="123"/>
        <v>0</v>
      </c>
      <c r="AF136">
        <f t="shared" si="123"/>
        <v>0</v>
      </c>
      <c r="AG136">
        <f t="shared" si="123"/>
        <v>0</v>
      </c>
      <c r="AH136">
        <f t="shared" si="123"/>
        <v>0</v>
      </c>
      <c r="AI136">
        <f t="shared" si="123"/>
        <v>0</v>
      </c>
      <c r="AJ136">
        <f t="shared" si="123"/>
        <v>0</v>
      </c>
      <c r="AK136">
        <f t="shared" si="123"/>
        <v>0</v>
      </c>
      <c r="AL136">
        <f t="shared" si="123"/>
        <v>0</v>
      </c>
      <c r="AM136">
        <f t="shared" si="123"/>
        <v>0</v>
      </c>
      <c r="AN136">
        <f t="shared" si="123"/>
        <v>0</v>
      </c>
      <c r="AO136">
        <f t="shared" si="123"/>
        <v>0</v>
      </c>
      <c r="AP136">
        <f t="shared" si="123"/>
        <v>0</v>
      </c>
      <c r="AQ136">
        <f t="shared" si="123"/>
        <v>0</v>
      </c>
      <c r="AR136">
        <f t="shared" si="123"/>
        <v>0</v>
      </c>
      <c r="AS136">
        <f t="shared" si="123"/>
        <v>0</v>
      </c>
      <c r="AT136">
        <f t="shared" si="123"/>
        <v>0</v>
      </c>
      <c r="AU136">
        <f t="shared" si="123"/>
        <v>0</v>
      </c>
      <c r="AV136">
        <f t="shared" si="123"/>
        <v>0</v>
      </c>
      <c r="AW136">
        <f t="shared" si="123"/>
        <v>0</v>
      </c>
    </row>
    <row r="137" spans="1:49" x14ac:dyDescent="0.3">
      <c r="A137">
        <f t="shared" ref="A137:V137" si="124">A47</f>
        <v>0</v>
      </c>
      <c r="B137">
        <f t="shared" si="124"/>
        <v>0</v>
      </c>
      <c r="C137">
        <f t="shared" si="124"/>
        <v>0</v>
      </c>
      <c r="D137" s="11">
        <f t="shared" si="124"/>
        <v>0</v>
      </c>
      <c r="E137">
        <f t="shared" si="124"/>
        <v>0</v>
      </c>
      <c r="F137">
        <f t="shared" si="124"/>
        <v>0</v>
      </c>
      <c r="G137">
        <f t="shared" si="124"/>
        <v>0</v>
      </c>
      <c r="H137">
        <f t="shared" si="124"/>
        <v>0</v>
      </c>
      <c r="I137">
        <f t="shared" si="124"/>
        <v>0</v>
      </c>
      <c r="J137">
        <f t="shared" si="124"/>
        <v>0</v>
      </c>
      <c r="K137">
        <f t="shared" si="124"/>
        <v>0</v>
      </c>
      <c r="L137">
        <f t="shared" si="124"/>
        <v>0</v>
      </c>
      <c r="M137">
        <f t="shared" si="124"/>
        <v>0</v>
      </c>
      <c r="N137">
        <f t="shared" si="124"/>
        <v>0</v>
      </c>
      <c r="O137">
        <f t="shared" si="124"/>
        <v>0</v>
      </c>
      <c r="P137">
        <f t="shared" si="124"/>
        <v>0</v>
      </c>
      <c r="Q137">
        <f t="shared" si="124"/>
        <v>0</v>
      </c>
      <c r="R137">
        <f t="shared" si="124"/>
        <v>0</v>
      </c>
      <c r="S137">
        <f t="shared" si="124"/>
        <v>0</v>
      </c>
      <c r="T137">
        <f t="shared" si="124"/>
        <v>0</v>
      </c>
      <c r="U137">
        <f t="shared" si="124"/>
        <v>0</v>
      </c>
      <c r="V137">
        <f t="shared" si="124"/>
        <v>0</v>
      </c>
      <c r="AB137">
        <f t="shared" ref="AB137:AW137" si="125">AB47</f>
        <v>0</v>
      </c>
      <c r="AC137">
        <f t="shared" si="125"/>
        <v>0</v>
      </c>
      <c r="AD137">
        <f t="shared" si="125"/>
        <v>0</v>
      </c>
      <c r="AE137" s="11">
        <f t="shared" si="125"/>
        <v>0</v>
      </c>
      <c r="AF137">
        <f t="shared" si="125"/>
        <v>0</v>
      </c>
      <c r="AG137">
        <f t="shared" si="125"/>
        <v>0</v>
      </c>
      <c r="AH137">
        <f t="shared" si="125"/>
        <v>0</v>
      </c>
      <c r="AI137">
        <f t="shared" si="125"/>
        <v>0</v>
      </c>
      <c r="AJ137">
        <f t="shared" si="125"/>
        <v>0</v>
      </c>
      <c r="AK137">
        <f t="shared" si="125"/>
        <v>0</v>
      </c>
      <c r="AL137">
        <f t="shared" si="125"/>
        <v>0</v>
      </c>
      <c r="AM137">
        <f t="shared" si="125"/>
        <v>0</v>
      </c>
      <c r="AN137">
        <f t="shared" si="125"/>
        <v>0</v>
      </c>
      <c r="AO137">
        <f t="shared" si="125"/>
        <v>0</v>
      </c>
      <c r="AP137">
        <f t="shared" si="125"/>
        <v>0</v>
      </c>
      <c r="AQ137">
        <f t="shared" si="125"/>
        <v>0</v>
      </c>
      <c r="AR137">
        <f t="shared" si="125"/>
        <v>0</v>
      </c>
      <c r="AS137">
        <f t="shared" si="125"/>
        <v>0</v>
      </c>
      <c r="AT137">
        <f t="shared" si="125"/>
        <v>0</v>
      </c>
      <c r="AU137">
        <f t="shared" si="125"/>
        <v>0</v>
      </c>
      <c r="AV137">
        <f t="shared" si="125"/>
        <v>0</v>
      </c>
      <c r="AW137">
        <f t="shared" si="125"/>
        <v>0</v>
      </c>
    </row>
    <row r="138" spans="1:49" ht="28.8" x14ac:dyDescent="0.3">
      <c r="A138" s="325" t="str">
        <f t="shared" ref="A138:V138" si="126">A48</f>
        <v>WiS Birth cohort</v>
      </c>
      <c r="B138" s="10">
        <f t="shared" si="126"/>
        <v>0</v>
      </c>
      <c r="C138" s="90">
        <f>C48</f>
        <v>1972937.5</v>
      </c>
      <c r="D138" s="11">
        <f t="shared" si="126"/>
        <v>0</v>
      </c>
      <c r="E138">
        <f t="shared" si="126"/>
        <v>0</v>
      </c>
      <c r="F138">
        <f t="shared" si="126"/>
        <v>0</v>
      </c>
      <c r="G138">
        <f t="shared" si="126"/>
        <v>0</v>
      </c>
      <c r="H138">
        <f t="shared" si="126"/>
        <v>0</v>
      </c>
      <c r="I138">
        <f t="shared" si="126"/>
        <v>0</v>
      </c>
      <c r="J138">
        <f t="shared" si="126"/>
        <v>0</v>
      </c>
      <c r="K138">
        <f t="shared" si="126"/>
        <v>0</v>
      </c>
      <c r="L138">
        <f t="shared" si="126"/>
        <v>0</v>
      </c>
      <c r="M138">
        <f t="shared" si="126"/>
        <v>0</v>
      </c>
      <c r="N138">
        <f t="shared" si="126"/>
        <v>0</v>
      </c>
      <c r="O138">
        <f t="shared" si="126"/>
        <v>0</v>
      </c>
      <c r="P138">
        <f t="shared" si="126"/>
        <v>0</v>
      </c>
      <c r="Q138">
        <f t="shared" si="126"/>
        <v>0</v>
      </c>
      <c r="R138">
        <f t="shared" si="126"/>
        <v>0</v>
      </c>
      <c r="S138">
        <f t="shared" si="126"/>
        <v>0</v>
      </c>
      <c r="T138">
        <f t="shared" si="126"/>
        <v>0</v>
      </c>
      <c r="U138">
        <f t="shared" si="126"/>
        <v>0</v>
      </c>
      <c r="V138">
        <f t="shared" si="126"/>
        <v>0</v>
      </c>
      <c r="AB138" s="325" t="str">
        <f t="shared" ref="AB138:AW138" si="127">AB48</f>
        <v>OoS Birth cohort</v>
      </c>
      <c r="AC138" s="500">
        <f t="shared" si="127"/>
        <v>0</v>
      </c>
      <c r="AD138" s="90">
        <f t="shared" si="127"/>
        <v>1972937.5</v>
      </c>
      <c r="AE138" s="11">
        <f t="shared" si="127"/>
        <v>0</v>
      </c>
      <c r="AF138">
        <f t="shared" si="127"/>
        <v>0</v>
      </c>
      <c r="AG138">
        <f t="shared" si="127"/>
        <v>0</v>
      </c>
      <c r="AH138">
        <f t="shared" si="127"/>
        <v>0</v>
      </c>
      <c r="AI138">
        <f t="shared" si="127"/>
        <v>0</v>
      </c>
      <c r="AJ138">
        <f t="shared" si="127"/>
        <v>0</v>
      </c>
      <c r="AK138">
        <f t="shared" si="127"/>
        <v>0</v>
      </c>
      <c r="AL138">
        <f t="shared" si="127"/>
        <v>0</v>
      </c>
      <c r="AM138">
        <f t="shared" si="127"/>
        <v>0</v>
      </c>
      <c r="AN138">
        <f t="shared" si="127"/>
        <v>0</v>
      </c>
      <c r="AO138">
        <f t="shared" si="127"/>
        <v>0</v>
      </c>
      <c r="AP138">
        <f t="shared" si="127"/>
        <v>0</v>
      </c>
      <c r="AQ138">
        <f t="shared" si="127"/>
        <v>0</v>
      </c>
      <c r="AR138">
        <f t="shared" si="127"/>
        <v>0</v>
      </c>
      <c r="AS138">
        <f t="shared" si="127"/>
        <v>0</v>
      </c>
      <c r="AT138">
        <f t="shared" si="127"/>
        <v>0</v>
      </c>
      <c r="AU138">
        <f t="shared" si="127"/>
        <v>0</v>
      </c>
      <c r="AV138">
        <f t="shared" si="127"/>
        <v>0</v>
      </c>
      <c r="AW138">
        <f t="shared" si="127"/>
        <v>0</v>
      </c>
    </row>
    <row r="139" spans="1:49" x14ac:dyDescent="0.3">
      <c r="A139">
        <f t="shared" ref="A139:V139" si="128">A49</f>
        <v>0</v>
      </c>
      <c r="B139" s="8">
        <f t="shared" si="128"/>
        <v>0</v>
      </c>
      <c r="C139">
        <f t="shared" si="128"/>
        <v>0</v>
      </c>
      <c r="D139" s="11">
        <f t="shared" si="128"/>
        <v>0</v>
      </c>
      <c r="E139">
        <f t="shared" si="128"/>
        <v>0</v>
      </c>
      <c r="F139">
        <f t="shared" si="128"/>
        <v>0</v>
      </c>
      <c r="G139">
        <f t="shared" si="128"/>
        <v>0</v>
      </c>
      <c r="H139">
        <f t="shared" si="128"/>
        <v>0</v>
      </c>
      <c r="I139">
        <f t="shared" si="128"/>
        <v>0</v>
      </c>
      <c r="J139">
        <f t="shared" si="128"/>
        <v>0</v>
      </c>
      <c r="K139">
        <f t="shared" si="128"/>
        <v>0</v>
      </c>
      <c r="L139">
        <f t="shared" si="128"/>
        <v>0</v>
      </c>
      <c r="M139">
        <f t="shared" si="128"/>
        <v>0</v>
      </c>
      <c r="N139">
        <f t="shared" si="128"/>
        <v>0</v>
      </c>
      <c r="O139">
        <f t="shared" si="128"/>
        <v>0</v>
      </c>
      <c r="P139">
        <f t="shared" si="128"/>
        <v>0</v>
      </c>
      <c r="Q139">
        <f t="shared" si="128"/>
        <v>0</v>
      </c>
      <c r="R139">
        <f t="shared" si="128"/>
        <v>0</v>
      </c>
      <c r="S139">
        <f t="shared" si="128"/>
        <v>0</v>
      </c>
      <c r="T139">
        <f t="shared" si="128"/>
        <v>0</v>
      </c>
      <c r="U139">
        <f t="shared" si="128"/>
        <v>0</v>
      </c>
      <c r="V139">
        <f t="shared" si="128"/>
        <v>0</v>
      </c>
      <c r="AB139">
        <f t="shared" ref="AB139:AW139" si="129">AB49</f>
        <v>0</v>
      </c>
      <c r="AC139" s="8">
        <f t="shared" si="129"/>
        <v>0</v>
      </c>
      <c r="AD139">
        <f t="shared" si="129"/>
        <v>0</v>
      </c>
      <c r="AE139" s="11">
        <f t="shared" si="129"/>
        <v>0</v>
      </c>
      <c r="AF139">
        <f t="shared" si="129"/>
        <v>0</v>
      </c>
      <c r="AG139">
        <f t="shared" si="129"/>
        <v>0</v>
      </c>
      <c r="AH139">
        <f t="shared" si="129"/>
        <v>0</v>
      </c>
      <c r="AI139">
        <f t="shared" si="129"/>
        <v>0</v>
      </c>
      <c r="AJ139">
        <f t="shared" si="129"/>
        <v>0</v>
      </c>
      <c r="AK139">
        <f t="shared" si="129"/>
        <v>0</v>
      </c>
      <c r="AL139">
        <f t="shared" si="129"/>
        <v>0</v>
      </c>
      <c r="AM139">
        <f t="shared" si="129"/>
        <v>0</v>
      </c>
      <c r="AN139">
        <f t="shared" si="129"/>
        <v>0</v>
      </c>
      <c r="AO139">
        <f t="shared" si="129"/>
        <v>0</v>
      </c>
      <c r="AP139">
        <f t="shared" si="129"/>
        <v>0</v>
      </c>
      <c r="AQ139">
        <f t="shared" si="129"/>
        <v>0</v>
      </c>
      <c r="AR139">
        <f t="shared" si="129"/>
        <v>0</v>
      </c>
      <c r="AS139">
        <f t="shared" si="129"/>
        <v>0</v>
      </c>
      <c r="AT139">
        <f t="shared" si="129"/>
        <v>0</v>
      </c>
      <c r="AU139">
        <f t="shared" si="129"/>
        <v>0</v>
      </c>
      <c r="AV139">
        <f t="shared" si="129"/>
        <v>0</v>
      </c>
      <c r="AW139">
        <f t="shared" si="129"/>
        <v>0</v>
      </c>
    </row>
    <row r="140" spans="1:49" x14ac:dyDescent="0.3">
      <c r="A140">
        <f t="shared" ref="A140:V140" si="130">A50</f>
        <v>0</v>
      </c>
      <c r="B140">
        <f t="shared" si="130"/>
        <v>0</v>
      </c>
      <c r="C140">
        <f t="shared" si="130"/>
        <v>0</v>
      </c>
      <c r="D140" s="11">
        <f t="shared" si="130"/>
        <v>0</v>
      </c>
      <c r="E140">
        <f t="shared" si="130"/>
        <v>0</v>
      </c>
      <c r="F140">
        <f t="shared" si="130"/>
        <v>0</v>
      </c>
      <c r="G140">
        <f t="shared" si="130"/>
        <v>0</v>
      </c>
      <c r="H140">
        <f t="shared" si="130"/>
        <v>0</v>
      </c>
      <c r="I140">
        <f t="shared" si="130"/>
        <v>0</v>
      </c>
      <c r="J140">
        <f t="shared" si="130"/>
        <v>0</v>
      </c>
      <c r="K140">
        <f t="shared" si="130"/>
        <v>0</v>
      </c>
      <c r="L140">
        <f t="shared" si="130"/>
        <v>0</v>
      </c>
      <c r="M140">
        <f t="shared" si="130"/>
        <v>0</v>
      </c>
      <c r="N140">
        <f t="shared" si="130"/>
        <v>0</v>
      </c>
      <c r="O140">
        <f t="shared" si="130"/>
        <v>0</v>
      </c>
      <c r="P140">
        <f t="shared" si="130"/>
        <v>0</v>
      </c>
      <c r="Q140">
        <f t="shared" si="130"/>
        <v>0</v>
      </c>
      <c r="R140">
        <f t="shared" si="130"/>
        <v>0</v>
      </c>
      <c r="S140">
        <f t="shared" si="130"/>
        <v>0</v>
      </c>
      <c r="T140">
        <f t="shared" si="130"/>
        <v>0</v>
      </c>
      <c r="U140">
        <f t="shared" si="130"/>
        <v>0</v>
      </c>
      <c r="V140">
        <f t="shared" si="130"/>
        <v>0</v>
      </c>
      <c r="AB140">
        <f t="shared" ref="AB140:AW140" si="131">AB50</f>
        <v>0</v>
      </c>
      <c r="AC140">
        <f t="shared" si="131"/>
        <v>0</v>
      </c>
      <c r="AD140">
        <f t="shared" si="131"/>
        <v>0</v>
      </c>
      <c r="AE140" s="11">
        <f t="shared" si="131"/>
        <v>0</v>
      </c>
      <c r="AF140">
        <f t="shared" si="131"/>
        <v>0</v>
      </c>
      <c r="AG140">
        <f t="shared" si="131"/>
        <v>0</v>
      </c>
      <c r="AH140">
        <f t="shared" si="131"/>
        <v>0</v>
      </c>
      <c r="AI140">
        <f t="shared" si="131"/>
        <v>0</v>
      </c>
      <c r="AJ140">
        <f t="shared" si="131"/>
        <v>0</v>
      </c>
      <c r="AK140">
        <f t="shared" si="131"/>
        <v>0</v>
      </c>
      <c r="AL140">
        <f t="shared" si="131"/>
        <v>0</v>
      </c>
      <c r="AM140">
        <f t="shared" si="131"/>
        <v>0</v>
      </c>
      <c r="AN140">
        <f t="shared" si="131"/>
        <v>0</v>
      </c>
      <c r="AO140">
        <f t="shared" si="131"/>
        <v>0</v>
      </c>
      <c r="AP140">
        <f t="shared" si="131"/>
        <v>0</v>
      </c>
      <c r="AQ140">
        <f t="shared" si="131"/>
        <v>0</v>
      </c>
      <c r="AR140">
        <f t="shared" si="131"/>
        <v>0</v>
      </c>
      <c r="AS140">
        <f t="shared" si="131"/>
        <v>0</v>
      </c>
      <c r="AT140">
        <f t="shared" si="131"/>
        <v>0</v>
      </c>
      <c r="AU140">
        <f t="shared" si="131"/>
        <v>0</v>
      </c>
      <c r="AV140">
        <f t="shared" si="131"/>
        <v>0</v>
      </c>
      <c r="AW140">
        <f t="shared" si="131"/>
        <v>0</v>
      </c>
    </row>
    <row r="141" spans="1:49" x14ac:dyDescent="0.3">
      <c r="A141" t="str">
        <f t="shared" ref="A141:V141" si="132">A51</f>
        <v>sum check row</v>
      </c>
      <c r="B141">
        <f t="shared" si="132"/>
        <v>0</v>
      </c>
      <c r="C141">
        <f t="shared" si="132"/>
        <v>0</v>
      </c>
      <c r="D141" s="11">
        <f t="shared" si="132"/>
        <v>0</v>
      </c>
      <c r="E141">
        <f t="shared" si="132"/>
        <v>0</v>
      </c>
      <c r="F141" t="str">
        <f t="shared" si="132"/>
        <v>Top Branch:</v>
      </c>
      <c r="G141">
        <f t="shared" si="132"/>
        <v>0</v>
      </c>
      <c r="H141" t="str">
        <f t="shared" si="132"/>
        <v>sum check</v>
      </c>
      <c r="I141" s="8">
        <f t="shared" si="132"/>
        <v>19334.787499999999</v>
      </c>
      <c r="J141">
        <f t="shared" si="132"/>
        <v>0</v>
      </c>
      <c r="K141">
        <f t="shared" si="132"/>
        <v>0</v>
      </c>
      <c r="L141" s="28">
        <f t="shared" si="132"/>
        <v>0</v>
      </c>
      <c r="M141">
        <f t="shared" si="132"/>
        <v>0</v>
      </c>
      <c r="N141" s="2" t="str">
        <f t="shared" si="132"/>
        <v>sum check</v>
      </c>
      <c r="O141" s="28">
        <f t="shared" si="132"/>
        <v>0</v>
      </c>
      <c r="P141" s="19">
        <f t="shared" si="132"/>
        <v>0</v>
      </c>
      <c r="Q141" s="19">
        <f t="shared" si="132"/>
        <v>0</v>
      </c>
      <c r="R141">
        <f t="shared" si="132"/>
        <v>0</v>
      </c>
      <c r="S141" s="2" t="str">
        <f t="shared" si="132"/>
        <v>sum check</v>
      </c>
      <c r="T141" s="21">
        <f t="shared" si="132"/>
        <v>27439.507939613261</v>
      </c>
      <c r="U141">
        <f t="shared" si="132"/>
        <v>0</v>
      </c>
      <c r="V141">
        <f t="shared" si="132"/>
        <v>0</v>
      </c>
      <c r="AB141" t="str">
        <f t="shared" ref="AB141:AW141" si="133">AB51</f>
        <v>sum check row</v>
      </c>
      <c r="AC141">
        <f t="shared" si="133"/>
        <v>0</v>
      </c>
      <c r="AD141">
        <f t="shared" si="133"/>
        <v>0</v>
      </c>
      <c r="AE141" s="11">
        <f t="shared" si="133"/>
        <v>0</v>
      </c>
      <c r="AF141">
        <f t="shared" si="133"/>
        <v>0</v>
      </c>
      <c r="AG141" t="str">
        <f t="shared" si="133"/>
        <v>Top Branch:</v>
      </c>
      <c r="AH141">
        <f t="shared" si="133"/>
        <v>0</v>
      </c>
      <c r="AI141" t="str">
        <f t="shared" si="133"/>
        <v>sum check</v>
      </c>
      <c r="AJ141" s="8">
        <f t="shared" si="133"/>
        <v>19334.787499999999</v>
      </c>
      <c r="AK141">
        <f t="shared" si="133"/>
        <v>0</v>
      </c>
      <c r="AL141">
        <f t="shared" si="133"/>
        <v>0</v>
      </c>
      <c r="AM141" s="28">
        <f t="shared" si="133"/>
        <v>0</v>
      </c>
      <c r="AN141">
        <f t="shared" si="133"/>
        <v>0</v>
      </c>
      <c r="AO141" s="2" t="str">
        <f t="shared" si="133"/>
        <v>sum check</v>
      </c>
      <c r="AP141" s="28">
        <f t="shared" si="133"/>
        <v>0</v>
      </c>
      <c r="AQ141" s="19">
        <f t="shared" si="133"/>
        <v>0</v>
      </c>
      <c r="AR141" s="19">
        <f t="shared" si="133"/>
        <v>0</v>
      </c>
      <c r="AS141">
        <f t="shared" si="133"/>
        <v>0</v>
      </c>
      <c r="AT141" s="2" t="str">
        <f t="shared" si="133"/>
        <v>sum check</v>
      </c>
      <c r="AU141" s="21">
        <f t="shared" si="133"/>
        <v>13762.869772532438</v>
      </c>
      <c r="AV141">
        <f t="shared" si="133"/>
        <v>0</v>
      </c>
      <c r="AW141">
        <f t="shared" si="133"/>
        <v>0</v>
      </c>
    </row>
    <row r="142" spans="1:49" x14ac:dyDescent="0.3">
      <c r="A142">
        <f t="shared" ref="A142:V142" si="134">A52</f>
        <v>0</v>
      </c>
      <c r="B142">
        <f t="shared" si="134"/>
        <v>0</v>
      </c>
      <c r="C142">
        <f t="shared" si="134"/>
        <v>0</v>
      </c>
      <c r="D142" s="11">
        <f t="shared" si="134"/>
        <v>0</v>
      </c>
      <c r="E142">
        <f t="shared" si="134"/>
        <v>0</v>
      </c>
      <c r="F142">
        <f t="shared" si="134"/>
        <v>0</v>
      </c>
      <c r="G142">
        <f t="shared" si="134"/>
        <v>0</v>
      </c>
      <c r="H142">
        <f t="shared" si="134"/>
        <v>0</v>
      </c>
      <c r="I142">
        <f t="shared" si="134"/>
        <v>0</v>
      </c>
      <c r="J142">
        <f t="shared" si="134"/>
        <v>0</v>
      </c>
      <c r="K142">
        <f t="shared" si="134"/>
        <v>0</v>
      </c>
      <c r="L142">
        <f t="shared" si="134"/>
        <v>0</v>
      </c>
      <c r="M142">
        <f t="shared" si="134"/>
        <v>0</v>
      </c>
      <c r="N142">
        <f t="shared" si="134"/>
        <v>0</v>
      </c>
      <c r="O142">
        <f t="shared" si="134"/>
        <v>0</v>
      </c>
      <c r="P142">
        <f t="shared" si="134"/>
        <v>0</v>
      </c>
      <c r="Q142">
        <f t="shared" si="134"/>
        <v>0</v>
      </c>
      <c r="R142">
        <f t="shared" si="134"/>
        <v>0</v>
      </c>
      <c r="S142">
        <f t="shared" si="134"/>
        <v>0</v>
      </c>
      <c r="T142">
        <f t="shared" si="134"/>
        <v>0</v>
      </c>
      <c r="U142">
        <f t="shared" si="134"/>
        <v>0</v>
      </c>
      <c r="V142">
        <f t="shared" si="134"/>
        <v>0</v>
      </c>
      <c r="AB142">
        <f t="shared" ref="AB142:AW142" si="135">AB52</f>
        <v>0</v>
      </c>
      <c r="AC142">
        <f t="shared" si="135"/>
        <v>0</v>
      </c>
      <c r="AD142">
        <f t="shared" si="135"/>
        <v>0</v>
      </c>
      <c r="AE142" s="11">
        <f t="shared" si="135"/>
        <v>0</v>
      </c>
      <c r="AF142">
        <f t="shared" si="135"/>
        <v>0</v>
      </c>
      <c r="AG142">
        <f t="shared" si="135"/>
        <v>0</v>
      </c>
      <c r="AH142">
        <f t="shared" si="135"/>
        <v>0</v>
      </c>
      <c r="AI142">
        <f t="shared" si="135"/>
        <v>0</v>
      </c>
      <c r="AJ142">
        <f t="shared" si="135"/>
        <v>0</v>
      </c>
      <c r="AK142">
        <f t="shared" si="135"/>
        <v>0</v>
      </c>
      <c r="AL142">
        <f t="shared" si="135"/>
        <v>0</v>
      </c>
      <c r="AM142">
        <f t="shared" si="135"/>
        <v>0</v>
      </c>
      <c r="AN142">
        <f t="shared" si="135"/>
        <v>0</v>
      </c>
      <c r="AO142">
        <f t="shared" si="135"/>
        <v>0</v>
      </c>
      <c r="AP142">
        <f t="shared" si="135"/>
        <v>0</v>
      </c>
      <c r="AQ142">
        <f t="shared" si="135"/>
        <v>0</v>
      </c>
      <c r="AR142">
        <f t="shared" si="135"/>
        <v>0</v>
      </c>
      <c r="AS142">
        <f t="shared" si="135"/>
        <v>0</v>
      </c>
      <c r="AT142">
        <f t="shared" si="135"/>
        <v>0</v>
      </c>
      <c r="AU142">
        <f t="shared" si="135"/>
        <v>0</v>
      </c>
      <c r="AV142">
        <f t="shared" si="135"/>
        <v>0</v>
      </c>
      <c r="AW142">
        <f t="shared" si="135"/>
        <v>0</v>
      </c>
    </row>
    <row r="143" spans="1:49" x14ac:dyDescent="0.3">
      <c r="A143">
        <f t="shared" ref="A143:V143" si="136">A53</f>
        <v>0</v>
      </c>
      <c r="B143">
        <f t="shared" si="136"/>
        <v>0</v>
      </c>
      <c r="C143">
        <f t="shared" si="136"/>
        <v>0</v>
      </c>
      <c r="D143" s="11">
        <f t="shared" si="136"/>
        <v>0</v>
      </c>
      <c r="E143">
        <f t="shared" si="136"/>
        <v>0</v>
      </c>
      <c r="F143">
        <f t="shared" si="136"/>
        <v>0</v>
      </c>
      <c r="G143">
        <f t="shared" si="136"/>
        <v>0</v>
      </c>
      <c r="H143">
        <f t="shared" si="136"/>
        <v>0</v>
      </c>
      <c r="I143">
        <f t="shared" si="136"/>
        <v>0</v>
      </c>
      <c r="J143">
        <f t="shared" si="136"/>
        <v>0</v>
      </c>
      <c r="K143">
        <f t="shared" si="136"/>
        <v>0</v>
      </c>
      <c r="L143">
        <f t="shared" si="136"/>
        <v>0</v>
      </c>
      <c r="M143">
        <f t="shared" si="136"/>
        <v>0</v>
      </c>
      <c r="N143">
        <f t="shared" si="136"/>
        <v>0</v>
      </c>
      <c r="O143">
        <f t="shared" si="136"/>
        <v>0</v>
      </c>
      <c r="P143">
        <f t="shared" si="136"/>
        <v>0</v>
      </c>
      <c r="Q143">
        <f t="shared" si="136"/>
        <v>0</v>
      </c>
      <c r="R143">
        <f t="shared" si="136"/>
        <v>0</v>
      </c>
      <c r="S143">
        <f t="shared" si="136"/>
        <v>0</v>
      </c>
      <c r="T143" s="237" t="str">
        <f t="shared" si="136"/>
        <v>base</v>
      </c>
      <c r="U143" s="319" t="str">
        <f t="shared" si="136"/>
        <v>low</v>
      </c>
      <c r="V143" s="319" t="str">
        <f t="shared" si="136"/>
        <v>high</v>
      </c>
      <c r="AB143">
        <f t="shared" ref="AB143:AW143" si="137">AB53</f>
        <v>0</v>
      </c>
      <c r="AC143">
        <f t="shared" si="137"/>
        <v>0</v>
      </c>
      <c r="AD143">
        <f t="shared" si="137"/>
        <v>0</v>
      </c>
      <c r="AE143" s="11">
        <f t="shared" si="137"/>
        <v>0</v>
      </c>
      <c r="AF143">
        <f t="shared" si="137"/>
        <v>0</v>
      </c>
      <c r="AG143">
        <f t="shared" si="137"/>
        <v>0</v>
      </c>
      <c r="AH143">
        <f t="shared" si="137"/>
        <v>0</v>
      </c>
      <c r="AI143">
        <f t="shared" si="137"/>
        <v>0</v>
      </c>
      <c r="AJ143">
        <f t="shared" si="137"/>
        <v>0</v>
      </c>
      <c r="AK143">
        <f t="shared" si="137"/>
        <v>0</v>
      </c>
      <c r="AL143">
        <f t="shared" si="137"/>
        <v>0</v>
      </c>
      <c r="AM143">
        <f t="shared" si="137"/>
        <v>0</v>
      </c>
      <c r="AN143">
        <f t="shared" si="137"/>
        <v>0</v>
      </c>
      <c r="AO143">
        <f t="shared" si="137"/>
        <v>0</v>
      </c>
      <c r="AP143">
        <f t="shared" si="137"/>
        <v>0</v>
      </c>
      <c r="AQ143">
        <f t="shared" si="137"/>
        <v>0</v>
      </c>
      <c r="AR143">
        <f t="shared" si="137"/>
        <v>0</v>
      </c>
      <c r="AS143">
        <f t="shared" si="137"/>
        <v>0</v>
      </c>
      <c r="AT143">
        <f t="shared" si="137"/>
        <v>0</v>
      </c>
      <c r="AU143" s="589" t="str">
        <f t="shared" si="137"/>
        <v>base</v>
      </c>
      <c r="AV143" s="319" t="str">
        <f t="shared" si="137"/>
        <v>low</v>
      </c>
      <c r="AW143" s="319" t="str">
        <f t="shared" si="137"/>
        <v>high</v>
      </c>
    </row>
    <row r="144" spans="1:49" x14ac:dyDescent="0.3">
      <c r="A144">
        <f t="shared" ref="A144:V144" si="138">A54</f>
        <v>0</v>
      </c>
      <c r="B144">
        <f t="shared" si="138"/>
        <v>0</v>
      </c>
      <c r="C144">
        <f t="shared" si="138"/>
        <v>0</v>
      </c>
      <c r="D144" s="11">
        <f t="shared" si="138"/>
        <v>0</v>
      </c>
      <c r="E144">
        <f t="shared" si="138"/>
        <v>0</v>
      </c>
      <c r="F144">
        <f t="shared" si="138"/>
        <v>0</v>
      </c>
      <c r="G144">
        <f t="shared" si="138"/>
        <v>0</v>
      </c>
      <c r="H144">
        <f t="shared" si="138"/>
        <v>0</v>
      </c>
      <c r="I144">
        <f t="shared" si="138"/>
        <v>0</v>
      </c>
      <c r="J144">
        <f t="shared" si="138"/>
        <v>0</v>
      </c>
      <c r="K144">
        <f t="shared" si="138"/>
        <v>0</v>
      </c>
      <c r="L144">
        <f t="shared" si="138"/>
        <v>0</v>
      </c>
      <c r="M144">
        <f t="shared" si="138"/>
        <v>0</v>
      </c>
      <c r="N144">
        <f t="shared" si="138"/>
        <v>0</v>
      </c>
      <c r="O144">
        <f t="shared" si="138"/>
        <v>0</v>
      </c>
      <c r="P144">
        <f t="shared" si="138"/>
        <v>0</v>
      </c>
      <c r="Q144">
        <f t="shared" si="138"/>
        <v>0</v>
      </c>
      <c r="S144" s="2" t="str">
        <f t="shared" si="138"/>
        <v>Outpatient visits prevented</v>
      </c>
      <c r="T144" s="33">
        <f t="shared" si="138"/>
        <v>18450.861898132363</v>
      </c>
      <c r="U144" s="323">
        <f t="shared" si="138"/>
        <v>15382.756590959585</v>
      </c>
      <c r="V144" s="323">
        <f t="shared" si="138"/>
        <v>21517.131115953143</v>
      </c>
      <c r="AB144">
        <f t="shared" ref="AB144:AR144" si="139">AB54</f>
        <v>0</v>
      </c>
      <c r="AC144">
        <f t="shared" si="139"/>
        <v>0</v>
      </c>
      <c r="AD144">
        <f t="shared" si="139"/>
        <v>0</v>
      </c>
      <c r="AE144" s="11">
        <f t="shared" si="139"/>
        <v>0</v>
      </c>
      <c r="AF144">
        <f t="shared" si="139"/>
        <v>0</v>
      </c>
      <c r="AG144">
        <f t="shared" si="139"/>
        <v>0</v>
      </c>
      <c r="AH144">
        <f t="shared" si="139"/>
        <v>0</v>
      </c>
      <c r="AI144">
        <f t="shared" si="139"/>
        <v>0</v>
      </c>
      <c r="AJ144">
        <f t="shared" si="139"/>
        <v>0</v>
      </c>
      <c r="AK144">
        <f t="shared" si="139"/>
        <v>0</v>
      </c>
      <c r="AL144">
        <f t="shared" si="139"/>
        <v>0</v>
      </c>
      <c r="AM144">
        <f t="shared" si="139"/>
        <v>0</v>
      </c>
      <c r="AN144">
        <f t="shared" si="139"/>
        <v>0</v>
      </c>
      <c r="AO144">
        <f t="shared" si="139"/>
        <v>0</v>
      </c>
      <c r="AP144">
        <f t="shared" si="139"/>
        <v>0</v>
      </c>
      <c r="AQ144">
        <f t="shared" si="139"/>
        <v>0</v>
      </c>
      <c r="AR144">
        <f t="shared" si="139"/>
        <v>0</v>
      </c>
      <c r="AT144" s="2" t="str">
        <f t="shared" ref="AT144:AW144" si="140">AT54</f>
        <v>Outpatient visits prevented</v>
      </c>
      <c r="AU144" s="33">
        <f t="shared" si="140"/>
        <v>9476.7458633910519</v>
      </c>
      <c r="AV144" s="323">
        <f t="shared" si="140"/>
        <v>7902.0521656218298</v>
      </c>
      <c r="AW144" s="323">
        <f t="shared" si="140"/>
        <v>11125.54258420895</v>
      </c>
    </row>
    <row r="145" spans="1:49" x14ac:dyDescent="0.3">
      <c r="A145">
        <f t="shared" ref="A145:V145" si="141">A55</f>
        <v>0</v>
      </c>
      <c r="B145">
        <f t="shared" si="141"/>
        <v>0</v>
      </c>
      <c r="C145">
        <f t="shared" si="141"/>
        <v>0</v>
      </c>
      <c r="D145" s="11">
        <f t="shared" si="141"/>
        <v>0</v>
      </c>
      <c r="E145">
        <f t="shared" si="141"/>
        <v>0</v>
      </c>
      <c r="F145">
        <f t="shared" si="141"/>
        <v>0</v>
      </c>
      <c r="G145">
        <f t="shared" si="141"/>
        <v>0</v>
      </c>
      <c r="H145">
        <f t="shared" si="141"/>
        <v>0</v>
      </c>
      <c r="I145">
        <f t="shared" si="141"/>
        <v>0</v>
      </c>
      <c r="J145">
        <f t="shared" si="141"/>
        <v>0</v>
      </c>
      <c r="K145">
        <f t="shared" si="141"/>
        <v>0</v>
      </c>
      <c r="L145">
        <f t="shared" si="141"/>
        <v>0</v>
      </c>
      <c r="M145">
        <f t="shared" si="141"/>
        <v>0</v>
      </c>
      <c r="N145">
        <f t="shared" si="141"/>
        <v>0</v>
      </c>
      <c r="O145">
        <f t="shared" si="141"/>
        <v>0</v>
      </c>
      <c r="P145">
        <f t="shared" si="141"/>
        <v>0</v>
      </c>
      <c r="Q145">
        <f t="shared" si="141"/>
        <v>0</v>
      </c>
      <c r="R145" s="16">
        <f t="shared" si="141"/>
        <v>0</v>
      </c>
      <c r="S145" s="15" t="str">
        <f t="shared" si="141"/>
        <v>p4c</v>
      </c>
      <c r="T145" s="61">
        <f t="shared" si="141"/>
        <v>1.4910674201012974</v>
      </c>
      <c r="U145" s="321">
        <f t="shared" si="141"/>
        <v>1.2431249721971007</v>
      </c>
      <c r="V145" s="321">
        <f t="shared" si="141"/>
        <v>1.7388614883239231</v>
      </c>
      <c r="AB145">
        <f t="shared" ref="AB145:AW145" si="142">AB55</f>
        <v>0</v>
      </c>
      <c r="AC145">
        <f t="shared" si="142"/>
        <v>0</v>
      </c>
      <c r="AD145">
        <f t="shared" si="142"/>
        <v>0</v>
      </c>
      <c r="AE145" s="11">
        <f t="shared" si="142"/>
        <v>0</v>
      </c>
      <c r="AF145">
        <f t="shared" si="142"/>
        <v>0</v>
      </c>
      <c r="AG145">
        <f t="shared" si="142"/>
        <v>0</v>
      </c>
      <c r="AH145">
        <f t="shared" si="142"/>
        <v>0</v>
      </c>
      <c r="AI145">
        <f t="shared" si="142"/>
        <v>0</v>
      </c>
      <c r="AJ145">
        <f t="shared" si="142"/>
        <v>0</v>
      </c>
      <c r="AK145">
        <f t="shared" si="142"/>
        <v>0</v>
      </c>
      <c r="AL145">
        <f t="shared" si="142"/>
        <v>0</v>
      </c>
      <c r="AM145">
        <f t="shared" si="142"/>
        <v>0</v>
      </c>
      <c r="AN145">
        <f t="shared" si="142"/>
        <v>0</v>
      </c>
      <c r="AO145">
        <f t="shared" si="142"/>
        <v>0</v>
      </c>
      <c r="AP145">
        <f t="shared" si="142"/>
        <v>0</v>
      </c>
      <c r="AQ145">
        <f t="shared" si="142"/>
        <v>0</v>
      </c>
      <c r="AR145">
        <f t="shared" si="142"/>
        <v>0</v>
      </c>
      <c r="AS145" s="16">
        <f t="shared" si="142"/>
        <v>0</v>
      </c>
      <c r="AT145" s="15" t="str">
        <f t="shared" si="142"/>
        <v>p4c</v>
      </c>
      <c r="AU145" s="61">
        <f t="shared" si="142"/>
        <v>0.76584319385710953</v>
      </c>
      <c r="AV145" s="321">
        <f t="shared" si="142"/>
        <v>0.6385876497884504</v>
      </c>
      <c r="AW145" s="321">
        <f t="shared" si="142"/>
        <v>0.89908721716369955</v>
      </c>
    </row>
    <row r="146" spans="1:49" x14ac:dyDescent="0.3">
      <c r="A146">
        <f t="shared" ref="A146:V146" si="143">A56</f>
        <v>0</v>
      </c>
      <c r="B146">
        <f t="shared" si="143"/>
        <v>0</v>
      </c>
      <c r="C146">
        <f t="shared" si="143"/>
        <v>0</v>
      </c>
      <c r="D146" s="11">
        <f t="shared" si="143"/>
        <v>0</v>
      </c>
      <c r="E146">
        <f t="shared" si="143"/>
        <v>0</v>
      </c>
      <c r="F146">
        <f t="shared" si="143"/>
        <v>0</v>
      </c>
      <c r="G146">
        <f t="shared" si="143"/>
        <v>0</v>
      </c>
      <c r="H146">
        <f t="shared" si="143"/>
        <v>0</v>
      </c>
      <c r="I146">
        <f t="shared" si="143"/>
        <v>0</v>
      </c>
      <c r="J146">
        <f t="shared" si="143"/>
        <v>0</v>
      </c>
      <c r="K146">
        <f t="shared" si="143"/>
        <v>0</v>
      </c>
      <c r="L146">
        <f t="shared" si="143"/>
        <v>0</v>
      </c>
      <c r="M146">
        <f t="shared" si="143"/>
        <v>0</v>
      </c>
      <c r="N146">
        <f t="shared" si="143"/>
        <v>0</v>
      </c>
      <c r="O146">
        <f t="shared" si="143"/>
        <v>0</v>
      </c>
      <c r="P146">
        <f t="shared" si="143"/>
        <v>0</v>
      </c>
      <c r="Q146">
        <f t="shared" si="143"/>
        <v>0</v>
      </c>
      <c r="R146" s="11">
        <f t="shared" si="143"/>
        <v>0</v>
      </c>
      <c r="S146" s="2">
        <f t="shared" si="143"/>
        <v>0</v>
      </c>
      <c r="T146">
        <f t="shared" si="143"/>
        <v>0</v>
      </c>
      <c r="U146" s="322">
        <f t="shared" si="143"/>
        <v>0</v>
      </c>
      <c r="V146" s="322">
        <f t="shared" si="143"/>
        <v>0</v>
      </c>
      <c r="AB146">
        <f t="shared" ref="AB146:AW146" si="144">AB56</f>
        <v>0</v>
      </c>
      <c r="AC146">
        <f t="shared" si="144"/>
        <v>0</v>
      </c>
      <c r="AD146">
        <f t="shared" si="144"/>
        <v>0</v>
      </c>
      <c r="AE146" s="11">
        <f t="shared" si="144"/>
        <v>0</v>
      </c>
      <c r="AF146">
        <f t="shared" si="144"/>
        <v>0</v>
      </c>
      <c r="AG146">
        <f t="shared" si="144"/>
        <v>0</v>
      </c>
      <c r="AH146">
        <f t="shared" si="144"/>
        <v>0</v>
      </c>
      <c r="AI146">
        <f t="shared" si="144"/>
        <v>0</v>
      </c>
      <c r="AJ146">
        <f t="shared" si="144"/>
        <v>0</v>
      </c>
      <c r="AK146">
        <f t="shared" si="144"/>
        <v>0</v>
      </c>
      <c r="AL146">
        <f t="shared" si="144"/>
        <v>0</v>
      </c>
      <c r="AM146">
        <f t="shared" si="144"/>
        <v>0</v>
      </c>
      <c r="AN146">
        <f t="shared" si="144"/>
        <v>0</v>
      </c>
      <c r="AO146">
        <f t="shared" si="144"/>
        <v>0</v>
      </c>
      <c r="AP146">
        <f t="shared" si="144"/>
        <v>0</v>
      </c>
      <c r="AQ146">
        <f t="shared" si="144"/>
        <v>0</v>
      </c>
      <c r="AR146">
        <f t="shared" si="144"/>
        <v>0</v>
      </c>
      <c r="AS146" s="11">
        <f t="shared" si="144"/>
        <v>0</v>
      </c>
      <c r="AT146" s="2">
        <f t="shared" si="144"/>
        <v>0</v>
      </c>
      <c r="AU146">
        <f t="shared" si="144"/>
        <v>0</v>
      </c>
      <c r="AV146" s="322">
        <f t="shared" si="144"/>
        <v>0</v>
      </c>
      <c r="AW146" s="322">
        <f t="shared" si="144"/>
        <v>0</v>
      </c>
    </row>
    <row r="147" spans="1:49" x14ac:dyDescent="0.3">
      <c r="A147">
        <f t="shared" ref="A147:V147" si="145">A57</f>
        <v>0</v>
      </c>
      <c r="B147">
        <f t="shared" si="145"/>
        <v>0</v>
      </c>
      <c r="C147">
        <f t="shared" si="145"/>
        <v>0</v>
      </c>
      <c r="D147" s="11">
        <f t="shared" si="145"/>
        <v>0</v>
      </c>
      <c r="E147">
        <f t="shared" si="145"/>
        <v>0</v>
      </c>
      <c r="F147">
        <f t="shared" si="145"/>
        <v>0</v>
      </c>
      <c r="G147">
        <f t="shared" si="145"/>
        <v>0</v>
      </c>
      <c r="H147">
        <f t="shared" si="145"/>
        <v>0</v>
      </c>
      <c r="I147">
        <f t="shared" si="145"/>
        <v>0</v>
      </c>
      <c r="J147">
        <f t="shared" si="145"/>
        <v>0</v>
      </c>
      <c r="K147">
        <f t="shared" si="145"/>
        <v>0</v>
      </c>
      <c r="L147">
        <f t="shared" si="145"/>
        <v>0</v>
      </c>
      <c r="N147" s="514" t="str">
        <f t="shared" si="145"/>
        <v>Vaccine Effective</v>
      </c>
      <c r="O147" s="33">
        <f t="shared" si="145"/>
        <v>0</v>
      </c>
      <c r="P147">
        <f t="shared" si="145"/>
        <v>0</v>
      </c>
      <c r="Q147" s="51">
        <f t="shared" si="145"/>
        <v>0</v>
      </c>
      <c r="R147" s="18"/>
      <c r="S147" s="12" t="str">
        <f t="shared" si="145"/>
        <v>ED visits prevented</v>
      </c>
      <c r="T147" s="33">
        <f t="shared" si="145"/>
        <v>6929.4012144045719</v>
      </c>
      <c r="U147" s="323">
        <f t="shared" si="145"/>
        <v>5932.4046962748207</v>
      </c>
      <c r="V147" s="323">
        <f t="shared" si="145"/>
        <v>7928.2338218863097</v>
      </c>
      <c r="AB147">
        <f t="shared" ref="AB147:AM147" si="146">AB57</f>
        <v>0</v>
      </c>
      <c r="AC147">
        <f t="shared" si="146"/>
        <v>0</v>
      </c>
      <c r="AD147">
        <f t="shared" si="146"/>
        <v>0</v>
      </c>
      <c r="AE147" s="11">
        <f t="shared" si="146"/>
        <v>0</v>
      </c>
      <c r="AF147">
        <f t="shared" si="146"/>
        <v>0</v>
      </c>
      <c r="AG147">
        <f t="shared" si="146"/>
        <v>0</v>
      </c>
      <c r="AH147">
        <f t="shared" si="146"/>
        <v>0</v>
      </c>
      <c r="AI147">
        <f t="shared" si="146"/>
        <v>0</v>
      </c>
      <c r="AJ147">
        <f t="shared" si="146"/>
        <v>0</v>
      </c>
      <c r="AK147">
        <f t="shared" si="146"/>
        <v>0</v>
      </c>
      <c r="AL147">
        <f t="shared" si="146"/>
        <v>0</v>
      </c>
      <c r="AM147">
        <f t="shared" si="146"/>
        <v>0</v>
      </c>
      <c r="AO147" s="514" t="str">
        <f t="shared" ref="AO147:AR147" si="147">AO57</f>
        <v>Vaccine Effective</v>
      </c>
      <c r="AP147" s="33">
        <f t="shared" si="147"/>
        <v>0</v>
      </c>
      <c r="AQ147">
        <f t="shared" si="147"/>
        <v>0</v>
      </c>
      <c r="AR147" s="51">
        <f t="shared" si="147"/>
        <v>0</v>
      </c>
      <c r="AS147" s="18"/>
      <c r="AT147" s="12" t="str">
        <f t="shared" ref="AT147:AW147" si="148">AT57</f>
        <v>ED visits prevented</v>
      </c>
      <c r="AU147" s="33">
        <f t="shared" si="148"/>
        <v>3766.6102166270866</v>
      </c>
      <c r="AV147" s="323">
        <f t="shared" si="148"/>
        <v>3225.4151837182658</v>
      </c>
      <c r="AW147" s="323">
        <f t="shared" si="148"/>
        <v>4308.4087348799767</v>
      </c>
    </row>
    <row r="148" spans="1:49" x14ac:dyDescent="0.3">
      <c r="A148">
        <f t="shared" ref="A148:V148" si="149">A58</f>
        <v>0</v>
      </c>
      <c r="B148">
        <f t="shared" si="149"/>
        <v>0</v>
      </c>
      <c r="C148">
        <f t="shared" si="149"/>
        <v>0</v>
      </c>
      <c r="D148" s="11">
        <f t="shared" si="149"/>
        <v>0</v>
      </c>
      <c r="E148">
        <f t="shared" si="149"/>
        <v>0</v>
      </c>
      <c r="F148">
        <f t="shared" si="149"/>
        <v>0</v>
      </c>
      <c r="G148">
        <f t="shared" si="149"/>
        <v>0</v>
      </c>
      <c r="H148">
        <f t="shared" si="149"/>
        <v>0</v>
      </c>
      <c r="I148">
        <f t="shared" si="149"/>
        <v>0</v>
      </c>
      <c r="J148">
        <f t="shared" si="149"/>
        <v>0</v>
      </c>
      <c r="K148">
        <f t="shared" si="149"/>
        <v>0</v>
      </c>
      <c r="L148">
        <f t="shared" si="149"/>
        <v>0</v>
      </c>
      <c r="M148">
        <f t="shared" si="149"/>
        <v>0</v>
      </c>
      <c r="N148" s="64" t="str">
        <f t="shared" si="149"/>
        <v>p7</v>
      </c>
      <c r="O148" s="66">
        <f t="shared" si="149"/>
        <v>0.8</v>
      </c>
      <c r="P148" s="17">
        <f t="shared" si="149"/>
        <v>0</v>
      </c>
      <c r="Q148" s="13">
        <f t="shared" si="149"/>
        <v>0</v>
      </c>
      <c r="R148" s="11">
        <f t="shared" si="149"/>
        <v>0</v>
      </c>
      <c r="S148" s="2" t="str">
        <f t="shared" si="149"/>
        <v>p4b</v>
      </c>
      <c r="T148" s="61">
        <f t="shared" si="149"/>
        <v>0.55998491824682028</v>
      </c>
      <c r="U148" s="321">
        <f t="shared" si="149"/>
        <v>0.47941475115407434</v>
      </c>
      <c r="V148" s="321">
        <f t="shared" si="149"/>
        <v>0.64070346502113651</v>
      </c>
      <c r="AB148">
        <f t="shared" ref="AB148:AW148" si="150">AB58</f>
        <v>0</v>
      </c>
      <c r="AC148">
        <f t="shared" si="150"/>
        <v>0</v>
      </c>
      <c r="AD148">
        <f t="shared" si="150"/>
        <v>0</v>
      </c>
      <c r="AE148" s="11">
        <f t="shared" si="150"/>
        <v>0</v>
      </c>
      <c r="AF148">
        <f t="shared" si="150"/>
        <v>0</v>
      </c>
      <c r="AG148">
        <f t="shared" si="150"/>
        <v>0</v>
      </c>
      <c r="AH148">
        <f t="shared" si="150"/>
        <v>0</v>
      </c>
      <c r="AI148">
        <f t="shared" si="150"/>
        <v>0</v>
      </c>
      <c r="AJ148">
        <f t="shared" si="150"/>
        <v>0</v>
      </c>
      <c r="AK148">
        <f t="shared" si="150"/>
        <v>0</v>
      </c>
      <c r="AL148">
        <f t="shared" si="150"/>
        <v>0</v>
      </c>
      <c r="AM148">
        <f t="shared" si="150"/>
        <v>0</v>
      </c>
      <c r="AN148">
        <f t="shared" si="150"/>
        <v>0</v>
      </c>
      <c r="AO148" s="64" t="str">
        <f t="shared" si="150"/>
        <v>p7</v>
      </c>
      <c r="AP148" s="66">
        <f t="shared" si="150"/>
        <v>0.8</v>
      </c>
      <c r="AQ148" s="17">
        <f t="shared" si="150"/>
        <v>0</v>
      </c>
      <c r="AR148" s="13">
        <f t="shared" si="150"/>
        <v>0</v>
      </c>
      <c r="AS148" s="11">
        <f t="shared" si="150"/>
        <v>0</v>
      </c>
      <c r="AT148" s="2" t="str">
        <f t="shared" si="150"/>
        <v>p4b</v>
      </c>
      <c r="AU148" s="61">
        <f t="shared" si="150"/>
        <v>0.30439064631456758</v>
      </c>
      <c r="AV148" s="321">
        <f t="shared" si="150"/>
        <v>0.26065511320255214</v>
      </c>
      <c r="AW148" s="321">
        <f t="shared" si="150"/>
        <v>0.34817494881958039</v>
      </c>
    </row>
    <row r="149" spans="1:49" x14ac:dyDescent="0.3">
      <c r="A149">
        <f t="shared" ref="A149:V149" si="151">A59</f>
        <v>0</v>
      </c>
      <c r="B149">
        <f t="shared" si="151"/>
        <v>0</v>
      </c>
      <c r="C149">
        <f t="shared" si="151"/>
        <v>0</v>
      </c>
      <c r="D149" s="11">
        <f t="shared" si="151"/>
        <v>0</v>
      </c>
      <c r="E149">
        <f t="shared" si="151"/>
        <v>0</v>
      </c>
      <c r="F149">
        <f t="shared" si="151"/>
        <v>0</v>
      </c>
      <c r="G149">
        <f t="shared" si="151"/>
        <v>0</v>
      </c>
      <c r="H149">
        <f t="shared" si="151"/>
        <v>0</v>
      </c>
      <c r="I149">
        <f t="shared" si="151"/>
        <v>0</v>
      </c>
      <c r="J149">
        <f t="shared" si="151"/>
        <v>0</v>
      </c>
      <c r="K149" s="14" t="str">
        <f t="shared" si="151"/>
        <v>low:</v>
      </c>
      <c r="L149" s="28">
        <f t="shared" si="151"/>
        <v>0</v>
      </c>
      <c r="M149">
        <f t="shared" si="151"/>
        <v>0</v>
      </c>
      <c r="N149" s="11">
        <f t="shared" si="151"/>
        <v>0</v>
      </c>
      <c r="O149">
        <f t="shared" si="151"/>
        <v>0</v>
      </c>
      <c r="P149">
        <f t="shared" si="151"/>
        <v>0</v>
      </c>
      <c r="Q149">
        <f t="shared" si="151"/>
        <v>0</v>
      </c>
      <c r="R149" s="11">
        <f t="shared" si="151"/>
        <v>0</v>
      </c>
      <c r="S149" s="2">
        <f t="shared" si="151"/>
        <v>0</v>
      </c>
      <c r="T149">
        <f t="shared" si="151"/>
        <v>0</v>
      </c>
      <c r="U149" s="322">
        <f t="shared" si="151"/>
        <v>0</v>
      </c>
      <c r="V149" s="322">
        <f t="shared" si="151"/>
        <v>0</v>
      </c>
      <c r="AB149">
        <f t="shared" ref="AB149:AW149" si="152">AB59</f>
        <v>0</v>
      </c>
      <c r="AC149">
        <f t="shared" si="152"/>
        <v>0</v>
      </c>
      <c r="AD149">
        <f t="shared" si="152"/>
        <v>0</v>
      </c>
      <c r="AE149" s="11">
        <f t="shared" si="152"/>
        <v>0</v>
      </c>
      <c r="AF149">
        <f t="shared" si="152"/>
        <v>0</v>
      </c>
      <c r="AG149">
        <f t="shared" si="152"/>
        <v>0</v>
      </c>
      <c r="AH149">
        <f t="shared" si="152"/>
        <v>0</v>
      </c>
      <c r="AI149">
        <f t="shared" si="152"/>
        <v>0</v>
      </c>
      <c r="AJ149">
        <f t="shared" si="152"/>
        <v>0</v>
      </c>
      <c r="AK149">
        <f t="shared" si="152"/>
        <v>0</v>
      </c>
      <c r="AL149" s="14" t="str">
        <f t="shared" si="152"/>
        <v>low:</v>
      </c>
      <c r="AM149" s="28">
        <f t="shared" si="152"/>
        <v>0</v>
      </c>
      <c r="AN149">
        <f t="shared" si="152"/>
        <v>0</v>
      </c>
      <c r="AO149" s="11">
        <f t="shared" si="152"/>
        <v>0</v>
      </c>
      <c r="AP149">
        <f t="shared" si="152"/>
        <v>0</v>
      </c>
      <c r="AQ149">
        <f t="shared" si="152"/>
        <v>0</v>
      </c>
      <c r="AR149">
        <f t="shared" si="152"/>
        <v>0</v>
      </c>
      <c r="AS149" s="11">
        <f t="shared" si="152"/>
        <v>0</v>
      </c>
      <c r="AT149" s="2">
        <f t="shared" si="152"/>
        <v>0</v>
      </c>
      <c r="AU149">
        <f t="shared" si="152"/>
        <v>0</v>
      </c>
      <c r="AV149" s="322">
        <f t="shared" si="152"/>
        <v>0</v>
      </c>
      <c r="AW149" s="322">
        <f t="shared" si="152"/>
        <v>0</v>
      </c>
    </row>
    <row r="150" spans="1:49" x14ac:dyDescent="0.3">
      <c r="A150">
        <f t="shared" ref="A150:V150" si="153">A60</f>
        <v>0</v>
      </c>
      <c r="B150">
        <f t="shared" si="153"/>
        <v>0</v>
      </c>
      <c r="C150">
        <f t="shared" si="153"/>
        <v>0</v>
      </c>
      <c r="D150" s="11">
        <f t="shared" si="153"/>
        <v>0</v>
      </c>
      <c r="E150">
        <f t="shared" si="153"/>
        <v>0</v>
      </c>
      <c r="F150">
        <f t="shared" si="153"/>
        <v>0</v>
      </c>
      <c r="G150" s="13">
        <f t="shared" si="153"/>
        <v>0</v>
      </c>
      <c r="H150">
        <f t="shared" si="153"/>
        <v>0</v>
      </c>
      <c r="I150">
        <f t="shared" si="153"/>
        <v>0</v>
      </c>
      <c r="J150">
        <f t="shared" si="153"/>
        <v>0</v>
      </c>
      <c r="K150" s="285" t="str">
        <f t="shared" si="153"/>
        <v>high:</v>
      </c>
      <c r="L150" s="28">
        <f t="shared" si="153"/>
        <v>0</v>
      </c>
      <c r="M150">
        <f t="shared" si="153"/>
        <v>0</v>
      </c>
      <c r="N150" s="11">
        <f t="shared" si="153"/>
        <v>0</v>
      </c>
      <c r="O150" s="13">
        <f t="shared" si="153"/>
        <v>0</v>
      </c>
      <c r="P150">
        <f t="shared" si="153"/>
        <v>0</v>
      </c>
      <c r="Q150">
        <f t="shared" si="153"/>
        <v>0</v>
      </c>
      <c r="R150" s="18"/>
      <c r="S150" s="12" t="str">
        <f t="shared" si="153"/>
        <v>Hospitalizations prevented</v>
      </c>
      <c r="T150" s="30">
        <f t="shared" si="153"/>
        <v>2059.2448270763248</v>
      </c>
      <c r="U150" s="320">
        <f t="shared" si="153"/>
        <v>2217.3111954717565</v>
      </c>
      <c r="V150" s="320">
        <f t="shared" si="153"/>
        <v>1942.7717654199373</v>
      </c>
      <c r="AB150">
        <f t="shared" ref="AB150:AR150" si="154">AB60</f>
        <v>0</v>
      </c>
      <c r="AC150">
        <f t="shared" si="154"/>
        <v>0</v>
      </c>
      <c r="AD150">
        <f t="shared" si="154"/>
        <v>0</v>
      </c>
      <c r="AE150" s="11">
        <f t="shared" si="154"/>
        <v>0</v>
      </c>
      <c r="AF150">
        <f t="shared" si="154"/>
        <v>0</v>
      </c>
      <c r="AG150">
        <f t="shared" si="154"/>
        <v>0</v>
      </c>
      <c r="AH150" s="13">
        <f t="shared" si="154"/>
        <v>0</v>
      </c>
      <c r="AI150">
        <f t="shared" si="154"/>
        <v>0</v>
      </c>
      <c r="AJ150">
        <f t="shared" si="154"/>
        <v>0</v>
      </c>
      <c r="AK150">
        <f t="shared" si="154"/>
        <v>0</v>
      </c>
      <c r="AL150" s="285" t="str">
        <f t="shared" si="154"/>
        <v>high:</v>
      </c>
      <c r="AM150" s="28">
        <f t="shared" si="154"/>
        <v>0</v>
      </c>
      <c r="AN150">
        <f t="shared" si="154"/>
        <v>0</v>
      </c>
      <c r="AO150" s="11">
        <f t="shared" si="154"/>
        <v>0</v>
      </c>
      <c r="AP150" s="13">
        <f t="shared" si="154"/>
        <v>0</v>
      </c>
      <c r="AQ150">
        <f t="shared" si="154"/>
        <v>0</v>
      </c>
      <c r="AR150">
        <f t="shared" si="154"/>
        <v>0</v>
      </c>
      <c r="AS150" s="18"/>
      <c r="AT150" s="12" t="str">
        <f t="shared" ref="AT150:AW150" si="155">AT60</f>
        <v>Hospitalizations prevented</v>
      </c>
      <c r="AU150" s="30">
        <f t="shared" si="155"/>
        <v>519.51369251429946</v>
      </c>
      <c r="AV150" s="320">
        <f t="shared" si="155"/>
        <v>432.11624462431087</v>
      </c>
      <c r="AW150" s="320">
        <f t="shared" si="155"/>
        <v>581.96491021841973</v>
      </c>
    </row>
    <row r="151" spans="1:49" x14ac:dyDescent="0.3">
      <c r="A151">
        <f t="shared" ref="A151:V151" si="156">A61</f>
        <v>0</v>
      </c>
      <c r="B151">
        <f t="shared" si="156"/>
        <v>0</v>
      </c>
      <c r="C151">
        <f t="shared" si="156"/>
        <v>0</v>
      </c>
      <c r="D151" s="11">
        <f t="shared" si="156"/>
        <v>0</v>
      </c>
      <c r="E151">
        <f t="shared" si="156"/>
        <v>0</v>
      </c>
      <c r="F151">
        <f t="shared" si="156"/>
        <v>0</v>
      </c>
      <c r="G151">
        <f t="shared" si="156"/>
        <v>0</v>
      </c>
      <c r="H151">
        <f t="shared" si="156"/>
        <v>0</v>
      </c>
      <c r="K151" s="2" t="str">
        <f t="shared" si="156"/>
        <v>Expected healthcare visits</v>
      </c>
      <c r="L151" s="13">
        <f t="shared" si="156"/>
        <v>0</v>
      </c>
      <c r="M151">
        <f t="shared" si="156"/>
        <v>0</v>
      </c>
      <c r="N151" s="11">
        <f t="shared" si="156"/>
        <v>0</v>
      </c>
      <c r="O151">
        <f t="shared" si="156"/>
        <v>0</v>
      </c>
      <c r="P151">
        <f t="shared" si="156"/>
        <v>0</v>
      </c>
      <c r="Q151">
        <f t="shared" si="156"/>
        <v>0</v>
      </c>
      <c r="R151">
        <f t="shared" si="156"/>
        <v>0</v>
      </c>
      <c r="S151" s="2" t="str">
        <f t="shared" si="156"/>
        <v>p4c</v>
      </c>
      <c r="T151" s="61">
        <f t="shared" si="156"/>
        <v>0.16641351979207206</v>
      </c>
      <c r="U151" s="321">
        <f t="shared" si="156"/>
        <v>0.17918731938091481</v>
      </c>
      <c r="V151" s="321">
        <f t="shared" si="156"/>
        <v>0.15700099540626716</v>
      </c>
      <c r="AB151">
        <f t="shared" ref="AB151:AI151" si="157">AB61</f>
        <v>0</v>
      </c>
      <c r="AC151">
        <f t="shared" si="157"/>
        <v>0</v>
      </c>
      <c r="AD151">
        <f t="shared" si="157"/>
        <v>0</v>
      </c>
      <c r="AE151" s="11">
        <f t="shared" si="157"/>
        <v>0</v>
      </c>
      <c r="AF151">
        <f t="shared" si="157"/>
        <v>0</v>
      </c>
      <c r="AG151">
        <f t="shared" si="157"/>
        <v>0</v>
      </c>
      <c r="AH151">
        <f t="shared" si="157"/>
        <v>0</v>
      </c>
      <c r="AI151">
        <f t="shared" si="157"/>
        <v>0</v>
      </c>
      <c r="AL151" s="2" t="str">
        <f t="shared" ref="AL151:AW151" si="158">AL61</f>
        <v>Expected healthcare visits</v>
      </c>
      <c r="AM151" s="13">
        <f t="shared" si="158"/>
        <v>0</v>
      </c>
      <c r="AN151">
        <f t="shared" si="158"/>
        <v>0</v>
      </c>
      <c r="AO151" s="11">
        <f t="shared" si="158"/>
        <v>0</v>
      </c>
      <c r="AP151">
        <f t="shared" si="158"/>
        <v>0</v>
      </c>
      <c r="AQ151">
        <f t="shared" si="158"/>
        <v>0</v>
      </c>
      <c r="AR151">
        <f t="shared" si="158"/>
        <v>0</v>
      </c>
      <c r="AS151">
        <f t="shared" si="158"/>
        <v>0</v>
      </c>
      <c r="AT151" s="2" t="str">
        <f t="shared" si="158"/>
        <v>p4c</v>
      </c>
      <c r="AU151" s="61">
        <f t="shared" si="158"/>
        <v>4.1983401397796216E-2</v>
      </c>
      <c r="AV151" s="321">
        <f t="shared" si="158"/>
        <v>3.4920561305651056E-2</v>
      </c>
      <c r="AW151" s="321">
        <f t="shared" si="158"/>
        <v>4.7030264605508632E-2</v>
      </c>
    </row>
    <row r="152" spans="1:49" x14ac:dyDescent="0.3">
      <c r="A152">
        <f t="shared" ref="A152:V152" si="159">A62</f>
        <v>0</v>
      </c>
      <c r="B152">
        <f t="shared" si="159"/>
        <v>0</v>
      </c>
      <c r="C152">
        <f t="shared" si="159"/>
        <v>0</v>
      </c>
      <c r="D152" s="11">
        <f t="shared" si="159"/>
        <v>0</v>
      </c>
      <c r="E152">
        <f t="shared" si="159"/>
        <v>0</v>
      </c>
      <c r="F152">
        <f t="shared" si="159"/>
        <v>0</v>
      </c>
      <c r="G152">
        <f t="shared" si="159"/>
        <v>0</v>
      </c>
      <c r="H152">
        <f t="shared" si="159"/>
        <v>0</v>
      </c>
      <c r="K152" s="2" t="str">
        <f t="shared" si="159"/>
        <v>had immunization not been obtained</v>
      </c>
      <c r="L152" s="33">
        <f t="shared" si="159"/>
        <v>0</v>
      </c>
      <c r="M152">
        <f t="shared" si="159"/>
        <v>0</v>
      </c>
      <c r="N152" s="11">
        <f t="shared" si="159"/>
        <v>0</v>
      </c>
      <c r="O152">
        <f t="shared" si="159"/>
        <v>0</v>
      </c>
      <c r="P152">
        <f t="shared" si="159"/>
        <v>0</v>
      </c>
      <c r="Q152">
        <f t="shared" si="159"/>
        <v>0</v>
      </c>
      <c r="R152">
        <f t="shared" si="159"/>
        <v>0</v>
      </c>
      <c r="S152">
        <f t="shared" si="159"/>
        <v>0</v>
      </c>
      <c r="T152" s="13">
        <f t="shared" si="159"/>
        <v>0</v>
      </c>
      <c r="U152" s="322">
        <f t="shared" si="159"/>
        <v>0</v>
      </c>
      <c r="V152" s="322">
        <f t="shared" si="159"/>
        <v>0</v>
      </c>
      <c r="AB152">
        <f t="shared" ref="AB152:AI152" si="160">AB62</f>
        <v>0</v>
      </c>
      <c r="AC152">
        <f t="shared" si="160"/>
        <v>0</v>
      </c>
      <c r="AD152">
        <f t="shared" si="160"/>
        <v>0</v>
      </c>
      <c r="AE152" s="11">
        <f t="shared" si="160"/>
        <v>0</v>
      </c>
      <c r="AF152">
        <f t="shared" si="160"/>
        <v>0</v>
      </c>
      <c r="AG152">
        <f t="shared" si="160"/>
        <v>0</v>
      </c>
      <c r="AH152">
        <f t="shared" si="160"/>
        <v>0</v>
      </c>
      <c r="AI152">
        <f t="shared" si="160"/>
        <v>0</v>
      </c>
      <c r="AL152" s="2" t="str">
        <f t="shared" ref="AL152:AW152" si="161">AL62</f>
        <v>had immunization not been obtained</v>
      </c>
      <c r="AM152" s="33">
        <f t="shared" si="161"/>
        <v>0</v>
      </c>
      <c r="AN152">
        <f t="shared" si="161"/>
        <v>0</v>
      </c>
      <c r="AO152" s="11">
        <f t="shared" si="161"/>
        <v>0</v>
      </c>
      <c r="AP152">
        <f t="shared" si="161"/>
        <v>0</v>
      </c>
      <c r="AQ152">
        <f t="shared" si="161"/>
        <v>0</v>
      </c>
      <c r="AR152">
        <f t="shared" si="161"/>
        <v>0</v>
      </c>
      <c r="AS152">
        <f t="shared" si="161"/>
        <v>0</v>
      </c>
      <c r="AT152">
        <f t="shared" si="161"/>
        <v>0</v>
      </c>
      <c r="AU152" s="13">
        <f t="shared" si="161"/>
        <v>0</v>
      </c>
      <c r="AV152" s="322">
        <f t="shared" si="161"/>
        <v>0</v>
      </c>
      <c r="AW152" s="322">
        <f t="shared" si="161"/>
        <v>0</v>
      </c>
    </row>
    <row r="153" spans="1:49" x14ac:dyDescent="0.3">
      <c r="A153">
        <f t="shared" ref="A153:V153" si="162">A63</f>
        <v>0</v>
      </c>
      <c r="B153">
        <f t="shared" si="162"/>
        <v>0</v>
      </c>
      <c r="C153">
        <f t="shared" si="162"/>
        <v>0</v>
      </c>
      <c r="D153" s="11">
        <f t="shared" si="162"/>
        <v>0</v>
      </c>
      <c r="E153">
        <f t="shared" si="162"/>
        <v>0</v>
      </c>
      <c r="F153">
        <f t="shared" si="162"/>
        <v>0</v>
      </c>
      <c r="G153">
        <f t="shared" si="162"/>
        <v>0</v>
      </c>
      <c r="H153">
        <f t="shared" si="162"/>
        <v>0</v>
      </c>
      <c r="I153">
        <f t="shared" si="162"/>
        <v>0</v>
      </c>
      <c r="J153">
        <f t="shared" si="162"/>
        <v>0</v>
      </c>
      <c r="K153" s="16" t="str">
        <f t="shared" si="162"/>
        <v>sum p4a-c</v>
      </c>
      <c r="L153" s="68">
        <f t="shared" si="162"/>
        <v>0</v>
      </c>
      <c r="M153" s="17">
        <f t="shared" si="162"/>
        <v>0</v>
      </c>
      <c r="N153" s="11">
        <f t="shared" si="162"/>
        <v>0</v>
      </c>
      <c r="O153" s="13">
        <f t="shared" si="162"/>
        <v>0</v>
      </c>
      <c r="P153" s="13">
        <f t="shared" si="162"/>
        <v>0</v>
      </c>
      <c r="Q153" s="13">
        <f t="shared" si="162"/>
        <v>0</v>
      </c>
      <c r="R153">
        <f t="shared" si="162"/>
        <v>0</v>
      </c>
      <c r="S153">
        <f t="shared" si="162"/>
        <v>0</v>
      </c>
      <c r="T153" s="237" t="str">
        <f t="shared" si="162"/>
        <v>base</v>
      </c>
      <c r="U153" s="319" t="str">
        <f t="shared" si="162"/>
        <v>low</v>
      </c>
      <c r="V153" s="319" t="str">
        <f t="shared" si="162"/>
        <v>high</v>
      </c>
      <c r="AB153">
        <f t="shared" ref="AB153:AW153" si="163">AB63</f>
        <v>0</v>
      </c>
      <c r="AC153">
        <f t="shared" si="163"/>
        <v>0</v>
      </c>
      <c r="AD153">
        <f t="shared" si="163"/>
        <v>0</v>
      </c>
      <c r="AE153" s="11">
        <f t="shared" si="163"/>
        <v>0</v>
      </c>
      <c r="AF153">
        <f t="shared" si="163"/>
        <v>0</v>
      </c>
      <c r="AG153">
        <f t="shared" si="163"/>
        <v>0</v>
      </c>
      <c r="AH153">
        <f t="shared" si="163"/>
        <v>0</v>
      </c>
      <c r="AI153">
        <f t="shared" si="163"/>
        <v>0</v>
      </c>
      <c r="AJ153">
        <f t="shared" si="163"/>
        <v>0</v>
      </c>
      <c r="AK153">
        <f t="shared" si="163"/>
        <v>0</v>
      </c>
      <c r="AL153" s="16" t="str">
        <f t="shared" si="163"/>
        <v>sum p4a-c</v>
      </c>
      <c r="AM153" s="68">
        <f t="shared" si="163"/>
        <v>0</v>
      </c>
      <c r="AN153" s="17">
        <f t="shared" si="163"/>
        <v>0</v>
      </c>
      <c r="AO153" s="11">
        <f t="shared" si="163"/>
        <v>0</v>
      </c>
      <c r="AP153" s="13">
        <f t="shared" si="163"/>
        <v>0</v>
      </c>
      <c r="AQ153" s="13">
        <f t="shared" si="163"/>
        <v>0</v>
      </c>
      <c r="AR153" s="13">
        <f t="shared" si="163"/>
        <v>0</v>
      </c>
      <c r="AS153">
        <f t="shared" si="163"/>
        <v>0</v>
      </c>
      <c r="AT153">
        <f t="shared" si="163"/>
        <v>0</v>
      </c>
      <c r="AU153" s="589" t="str">
        <f t="shared" si="163"/>
        <v>base</v>
      </c>
      <c r="AV153" s="319" t="str">
        <f t="shared" si="163"/>
        <v>low</v>
      </c>
      <c r="AW153" s="319" t="str">
        <f t="shared" si="163"/>
        <v>high</v>
      </c>
    </row>
    <row r="154" spans="1:49" x14ac:dyDescent="0.3">
      <c r="A154">
        <f t="shared" ref="A154:V154" si="164">A64</f>
        <v>0</v>
      </c>
      <c r="B154">
        <f t="shared" si="164"/>
        <v>0</v>
      </c>
      <c r="C154">
        <f t="shared" si="164"/>
        <v>0</v>
      </c>
      <c r="D154" s="11">
        <f t="shared" si="164"/>
        <v>0</v>
      </c>
      <c r="E154">
        <f t="shared" si="164"/>
        <v>0</v>
      </c>
      <c r="F154">
        <f t="shared" si="164"/>
        <v>0</v>
      </c>
      <c r="G154">
        <f t="shared" si="164"/>
        <v>0</v>
      </c>
      <c r="H154">
        <f t="shared" si="164"/>
        <v>0</v>
      </c>
      <c r="I154">
        <f t="shared" si="164"/>
        <v>0</v>
      </c>
      <c r="J154">
        <f t="shared" si="164"/>
        <v>0</v>
      </c>
      <c r="K154" s="59" t="str">
        <f t="shared" si="164"/>
        <v>low:</v>
      </c>
      <c r="L154" s="68">
        <f t="shared" si="164"/>
        <v>0</v>
      </c>
      <c r="M154">
        <f t="shared" si="164"/>
        <v>0</v>
      </c>
      <c r="N154" s="11">
        <f t="shared" si="164"/>
        <v>0</v>
      </c>
      <c r="O154" s="13">
        <f t="shared" si="164"/>
        <v>0</v>
      </c>
      <c r="P154">
        <f t="shared" si="164"/>
        <v>0</v>
      </c>
      <c r="Q154">
        <f t="shared" si="164"/>
        <v>0</v>
      </c>
      <c r="S154" s="2" t="str">
        <f t="shared" si="164"/>
        <v>Outpatient visits</v>
      </c>
      <c r="T154" s="33">
        <f t="shared" si="164"/>
        <v>11250.178481971489</v>
      </c>
      <c r="U154" s="323">
        <f t="shared" si="164"/>
        <v>9379.203432295215</v>
      </c>
      <c r="V154" s="323">
        <f t="shared" si="164"/>
        <v>13118.39939761978</v>
      </c>
      <c r="AB154">
        <f t="shared" ref="AB154:AR154" si="165">AB64</f>
        <v>0</v>
      </c>
      <c r="AC154">
        <f t="shared" si="165"/>
        <v>0</v>
      </c>
      <c r="AD154">
        <f t="shared" si="165"/>
        <v>0</v>
      </c>
      <c r="AE154" s="11">
        <f t="shared" si="165"/>
        <v>0</v>
      </c>
      <c r="AF154">
        <f t="shared" si="165"/>
        <v>0</v>
      </c>
      <c r="AG154">
        <f t="shared" si="165"/>
        <v>0</v>
      </c>
      <c r="AH154">
        <f t="shared" si="165"/>
        <v>0</v>
      </c>
      <c r="AI154">
        <f t="shared" si="165"/>
        <v>0</v>
      </c>
      <c r="AJ154">
        <f t="shared" si="165"/>
        <v>0</v>
      </c>
      <c r="AK154">
        <f t="shared" si="165"/>
        <v>0</v>
      </c>
      <c r="AL154" s="59" t="str">
        <f t="shared" si="165"/>
        <v>low:</v>
      </c>
      <c r="AM154" s="68">
        <f t="shared" si="165"/>
        <v>0</v>
      </c>
      <c r="AN154">
        <f t="shared" si="165"/>
        <v>0</v>
      </c>
      <c r="AO154" s="11">
        <f t="shared" si="165"/>
        <v>0</v>
      </c>
      <c r="AP154" s="13">
        <f t="shared" si="165"/>
        <v>0</v>
      </c>
      <c r="AQ154">
        <f t="shared" si="165"/>
        <v>0</v>
      </c>
      <c r="AR154">
        <f t="shared" si="165"/>
        <v>0</v>
      </c>
      <c r="AT154" s="2" t="str">
        <f t="shared" ref="AT154:AW154" si="166">AT64</f>
        <v>Outpatient visits</v>
      </c>
      <c r="AU154" s="33">
        <f t="shared" si="166"/>
        <v>2601.6001873071691</v>
      </c>
      <c r="AV154" s="323">
        <f t="shared" si="166"/>
        <v>2169.3044610840016</v>
      </c>
      <c r="AW154" s="323">
        <f t="shared" si="166"/>
        <v>3054.2251979453763</v>
      </c>
    </row>
    <row r="155" spans="1:49" x14ac:dyDescent="0.3">
      <c r="A155">
        <f t="shared" ref="A155:S155" si="167">A65</f>
        <v>0</v>
      </c>
      <c r="B155">
        <f t="shared" si="167"/>
        <v>0</v>
      </c>
      <c r="C155">
        <f t="shared" si="167"/>
        <v>0</v>
      </c>
      <c r="D155" s="11">
        <f t="shared" si="167"/>
        <v>0</v>
      </c>
      <c r="E155">
        <f t="shared" si="167"/>
        <v>0</v>
      </c>
      <c r="F155">
        <f t="shared" si="167"/>
        <v>0</v>
      </c>
      <c r="G155">
        <f t="shared" si="167"/>
        <v>0</v>
      </c>
      <c r="H155">
        <f t="shared" si="167"/>
        <v>0</v>
      </c>
      <c r="I155">
        <f t="shared" si="167"/>
        <v>0</v>
      </c>
      <c r="J155">
        <f t="shared" si="167"/>
        <v>0</v>
      </c>
      <c r="K155" s="238" t="str">
        <f t="shared" si="167"/>
        <v>high:</v>
      </c>
      <c r="L155" s="68">
        <f t="shared" si="167"/>
        <v>0</v>
      </c>
      <c r="M155">
        <f t="shared" si="167"/>
        <v>0</v>
      </c>
      <c r="N155" s="11"/>
      <c r="O155" s="13"/>
      <c r="P155">
        <f t="shared" si="167"/>
        <v>0</v>
      </c>
      <c r="Q155">
        <f t="shared" si="167"/>
        <v>0</v>
      </c>
      <c r="R155" s="16">
        <f t="shared" si="167"/>
        <v>0</v>
      </c>
      <c r="S155" s="15" t="str">
        <f t="shared" si="167"/>
        <v>p4c</v>
      </c>
      <c r="T155" s="61">
        <f>T65</f>
        <v>0.42911403910169688</v>
      </c>
      <c r="U155" s="321" t="e">
        <f>#REF!</f>
        <v>#REF!</v>
      </c>
      <c r="V155" s="321" t="e">
        <f>#REF!</f>
        <v>#REF!</v>
      </c>
      <c r="AB155">
        <f t="shared" ref="AB155:AN155" si="168">AB65</f>
        <v>0</v>
      </c>
      <c r="AC155">
        <f t="shared" si="168"/>
        <v>0</v>
      </c>
      <c r="AD155">
        <f t="shared" si="168"/>
        <v>0</v>
      </c>
      <c r="AE155" s="11">
        <f t="shared" si="168"/>
        <v>0</v>
      </c>
      <c r="AF155">
        <f t="shared" si="168"/>
        <v>0</v>
      </c>
      <c r="AG155">
        <f t="shared" si="168"/>
        <v>0</v>
      </c>
      <c r="AH155">
        <f t="shared" si="168"/>
        <v>0</v>
      </c>
      <c r="AI155">
        <f t="shared" si="168"/>
        <v>0</v>
      </c>
      <c r="AJ155">
        <f t="shared" si="168"/>
        <v>0</v>
      </c>
      <c r="AK155">
        <f t="shared" si="168"/>
        <v>0</v>
      </c>
      <c r="AL155" s="238" t="str">
        <f t="shared" si="168"/>
        <v>high:</v>
      </c>
      <c r="AM155" s="68">
        <f t="shared" si="168"/>
        <v>0</v>
      </c>
      <c r="AN155">
        <f t="shared" si="168"/>
        <v>0</v>
      </c>
      <c r="AO155" s="11"/>
      <c r="AP155" s="13"/>
      <c r="AQ155">
        <f t="shared" ref="AQ155:AR155" si="169">AQ65</f>
        <v>0</v>
      </c>
      <c r="AR155">
        <f t="shared" si="169"/>
        <v>0</v>
      </c>
      <c r="AS155" s="16">
        <f>AS65</f>
        <v>0</v>
      </c>
      <c r="AT155" s="15" t="str">
        <f>AT65</f>
        <v>p4c</v>
      </c>
      <c r="AU155" s="61">
        <f>AU65</f>
        <v>1.5025619072578801E-2</v>
      </c>
      <c r="AV155" s="321"/>
      <c r="AW155" s="321"/>
    </row>
    <row r="156" spans="1:49" x14ac:dyDescent="0.3">
      <c r="A156">
        <f t="shared" ref="A156:S156" si="170">A66</f>
        <v>0</v>
      </c>
      <c r="B156">
        <f t="shared" si="170"/>
        <v>0</v>
      </c>
      <c r="C156">
        <f t="shared" si="170"/>
        <v>0</v>
      </c>
      <c r="D156" s="11">
        <f t="shared" si="170"/>
        <v>0</v>
      </c>
      <c r="E156">
        <f t="shared" si="170"/>
        <v>0</v>
      </c>
      <c r="F156">
        <f t="shared" si="170"/>
        <v>0</v>
      </c>
      <c r="G156">
        <f t="shared" si="170"/>
        <v>0</v>
      </c>
      <c r="H156">
        <f t="shared" si="170"/>
        <v>0</v>
      </c>
      <c r="I156">
        <f t="shared" si="170"/>
        <v>0</v>
      </c>
      <c r="J156">
        <f t="shared" si="170"/>
        <v>0</v>
      </c>
      <c r="K156" s="11">
        <f t="shared" si="170"/>
        <v>0</v>
      </c>
      <c r="L156" s="13">
        <f t="shared" si="170"/>
        <v>0</v>
      </c>
      <c r="M156" s="13">
        <f t="shared" si="170"/>
        <v>0</v>
      </c>
      <c r="N156" s="11"/>
      <c r="O156" s="13"/>
      <c r="P156">
        <f t="shared" si="170"/>
        <v>0</v>
      </c>
      <c r="Q156">
        <f t="shared" si="170"/>
        <v>0</v>
      </c>
      <c r="R156" s="11">
        <f t="shared" si="170"/>
        <v>0</v>
      </c>
      <c r="S156" s="2">
        <f t="shared" si="170"/>
        <v>0</v>
      </c>
      <c r="U156" s="322"/>
      <c r="V156" s="322"/>
      <c r="AB156">
        <f t="shared" ref="AB156:AN156" si="171">AB66</f>
        <v>0</v>
      </c>
      <c r="AC156">
        <f t="shared" si="171"/>
        <v>0</v>
      </c>
      <c r="AD156">
        <f t="shared" si="171"/>
        <v>0</v>
      </c>
      <c r="AE156" s="11">
        <f t="shared" si="171"/>
        <v>0</v>
      </c>
      <c r="AF156">
        <f t="shared" si="171"/>
        <v>0</v>
      </c>
      <c r="AG156">
        <f t="shared" si="171"/>
        <v>0</v>
      </c>
      <c r="AH156">
        <f t="shared" si="171"/>
        <v>0</v>
      </c>
      <c r="AI156">
        <f t="shared" si="171"/>
        <v>0</v>
      </c>
      <c r="AJ156">
        <f t="shared" si="171"/>
        <v>0</v>
      </c>
      <c r="AK156">
        <f t="shared" si="171"/>
        <v>0</v>
      </c>
      <c r="AL156" s="11">
        <f t="shared" si="171"/>
        <v>0</v>
      </c>
      <c r="AM156" s="13">
        <f t="shared" si="171"/>
        <v>0</v>
      </c>
      <c r="AN156" s="13">
        <f t="shared" si="171"/>
        <v>0</v>
      </c>
      <c r="AO156" s="11"/>
      <c r="AP156" s="13"/>
      <c r="AQ156">
        <f t="shared" ref="AQ156:AT156" si="172">AQ66</f>
        <v>0</v>
      </c>
      <c r="AR156">
        <f t="shared" si="172"/>
        <v>0</v>
      </c>
      <c r="AS156" s="11">
        <f t="shared" si="172"/>
        <v>0</v>
      </c>
      <c r="AT156" s="2">
        <f t="shared" si="172"/>
        <v>0</v>
      </c>
      <c r="AV156" s="322"/>
      <c r="AW156" s="322"/>
    </row>
    <row r="157" spans="1:49" x14ac:dyDescent="0.3">
      <c r="A157">
        <f t="shared" ref="A157:V157" si="173">A67</f>
        <v>0</v>
      </c>
      <c r="B157">
        <f t="shared" si="173"/>
        <v>0</v>
      </c>
      <c r="C157">
        <f t="shared" si="173"/>
        <v>0</v>
      </c>
      <c r="D157" s="11">
        <f t="shared" si="173"/>
        <v>0</v>
      </c>
      <c r="E157">
        <f t="shared" si="173"/>
        <v>0</v>
      </c>
      <c r="H157" s="12" t="str">
        <f t="shared" si="173"/>
        <v>obtain Antibody Candidate product</v>
      </c>
      <c r="I157" s="30">
        <f t="shared" si="173"/>
        <v>15467.83</v>
      </c>
      <c r="J157" s="10">
        <f t="shared" si="173"/>
        <v>0</v>
      </c>
      <c r="K157" s="11">
        <f t="shared" si="173"/>
        <v>0</v>
      </c>
      <c r="L157" s="13">
        <f t="shared" si="173"/>
        <v>0</v>
      </c>
      <c r="M157">
        <f t="shared" si="173"/>
        <v>0</v>
      </c>
      <c r="N157" s="65" t="s">
        <v>49</v>
      </c>
      <c r="O157" s="67">
        <f>1-O148</f>
        <v>0.19999999999999996</v>
      </c>
      <c r="P157" s="10">
        <f t="shared" si="173"/>
        <v>0</v>
      </c>
      <c r="Q157" s="10">
        <f t="shared" si="173"/>
        <v>0</v>
      </c>
      <c r="R157" s="18">
        <f t="shared" si="173"/>
        <v>0</v>
      </c>
      <c r="S157" s="12" t="str">
        <f t="shared" si="173"/>
        <v>ED</v>
      </c>
      <c r="T157" s="33">
        <f t="shared" si="173"/>
        <v>3368.7649385608865</v>
      </c>
      <c r="U157" s="323">
        <f t="shared" si="173"/>
        <v>2885.4144166499163</v>
      </c>
      <c r="V157" s="323">
        <f t="shared" si="173"/>
        <v>3854.869594499839</v>
      </c>
      <c r="AB157">
        <f t="shared" ref="AB157:AF157" si="174">AB67</f>
        <v>0</v>
      </c>
      <c r="AC157">
        <f t="shared" si="174"/>
        <v>0</v>
      </c>
      <c r="AD157">
        <f t="shared" si="174"/>
        <v>0</v>
      </c>
      <c r="AE157" s="11">
        <f t="shared" si="174"/>
        <v>0</v>
      </c>
      <c r="AF157">
        <f t="shared" si="174"/>
        <v>0</v>
      </c>
      <c r="AI157" s="12" t="str">
        <f t="shared" ref="AI157:AN157" si="175">AI67</f>
        <v>obtain Antibody Candidate product</v>
      </c>
      <c r="AJ157" s="30">
        <f t="shared" si="175"/>
        <v>15467.83</v>
      </c>
      <c r="AK157" s="500">
        <f t="shared" si="175"/>
        <v>0</v>
      </c>
      <c r="AL157" s="11">
        <f t="shared" si="175"/>
        <v>0</v>
      </c>
      <c r="AM157" s="13">
        <f t="shared" si="175"/>
        <v>0</v>
      </c>
      <c r="AN157">
        <f t="shared" si="175"/>
        <v>0</v>
      </c>
      <c r="AO157" s="65" t="s">
        <v>49</v>
      </c>
      <c r="AP157" s="67">
        <f>1-AP148</f>
        <v>0.19999999999999996</v>
      </c>
      <c r="AQ157" s="500">
        <f t="shared" ref="AQ157:AW157" si="176">AQ67</f>
        <v>0</v>
      </c>
      <c r="AR157" s="500">
        <f t="shared" si="176"/>
        <v>0</v>
      </c>
      <c r="AS157" s="18">
        <f t="shared" si="176"/>
        <v>0</v>
      </c>
      <c r="AT157" s="12" t="str">
        <f t="shared" si="176"/>
        <v>ED</v>
      </c>
      <c r="AU157" s="33">
        <f t="shared" si="176"/>
        <v>1036.7100963754456</v>
      </c>
      <c r="AV157" s="323">
        <f t="shared" si="176"/>
        <v>887.74340993471617</v>
      </c>
      <c r="AW157" s="323">
        <f t="shared" si="176"/>
        <v>1185.7946450192264</v>
      </c>
    </row>
    <row r="158" spans="1:49" x14ac:dyDescent="0.3">
      <c r="A158">
        <f t="shared" ref="A158:S158" si="177">A68</f>
        <v>0</v>
      </c>
      <c r="B158">
        <f t="shared" si="177"/>
        <v>0</v>
      </c>
      <c r="C158">
        <f t="shared" si="177"/>
        <v>0</v>
      </c>
      <c r="D158" s="11">
        <f t="shared" si="177"/>
        <v>0</v>
      </c>
      <c r="E158">
        <f t="shared" si="177"/>
        <v>0</v>
      </c>
      <c r="F158">
        <f t="shared" si="177"/>
        <v>0</v>
      </c>
      <c r="G158">
        <f t="shared" si="177"/>
        <v>0</v>
      </c>
      <c r="H158" s="59" t="str">
        <f t="shared" si="177"/>
        <v>p2</v>
      </c>
      <c r="I158" s="60">
        <f t="shared" si="177"/>
        <v>0.8</v>
      </c>
      <c r="J158">
        <f t="shared" si="177"/>
        <v>0</v>
      </c>
      <c r="K158" s="11"/>
      <c r="L158" s="13"/>
      <c r="N158" s="514" t="s">
        <v>297</v>
      </c>
      <c r="O158" s="71">
        <f t="shared" si="177"/>
        <v>0</v>
      </c>
      <c r="P158">
        <f t="shared" si="177"/>
        <v>0</v>
      </c>
      <c r="Q158">
        <f t="shared" si="177"/>
        <v>0</v>
      </c>
      <c r="R158" s="11">
        <f t="shared" si="177"/>
        <v>0</v>
      </c>
      <c r="S158" s="2" t="str">
        <f t="shared" si="177"/>
        <v>p4b</v>
      </c>
      <c r="T158" s="61">
        <f>T68</f>
        <v>0.10579471295971989</v>
      </c>
      <c r="U158" s="321" t="e">
        <f>#REF!</f>
        <v>#REF!</v>
      </c>
      <c r="V158" s="321" t="e">
        <f>#REF!</f>
        <v>#REF!</v>
      </c>
      <c r="AB158">
        <f t="shared" ref="AB158:AK158" si="178">AB68</f>
        <v>0</v>
      </c>
      <c r="AC158">
        <f t="shared" si="178"/>
        <v>0</v>
      </c>
      <c r="AD158">
        <f t="shared" si="178"/>
        <v>0</v>
      </c>
      <c r="AE158" s="11">
        <f t="shared" si="178"/>
        <v>0</v>
      </c>
      <c r="AF158">
        <f t="shared" si="178"/>
        <v>0</v>
      </c>
      <c r="AG158">
        <f t="shared" si="178"/>
        <v>0</v>
      </c>
      <c r="AH158">
        <f t="shared" si="178"/>
        <v>0</v>
      </c>
      <c r="AI158" s="59" t="str">
        <f t="shared" si="178"/>
        <v>p2</v>
      </c>
      <c r="AJ158" s="60">
        <f t="shared" si="178"/>
        <v>0.8</v>
      </c>
      <c r="AK158">
        <f t="shared" si="178"/>
        <v>0</v>
      </c>
      <c r="AL158" s="11"/>
      <c r="AM158" s="13"/>
      <c r="AO158" s="514" t="s">
        <v>297</v>
      </c>
      <c r="AP158" s="71">
        <f t="shared" ref="AP158:AT158" si="179">AP68</f>
        <v>0</v>
      </c>
      <c r="AQ158">
        <f t="shared" si="179"/>
        <v>0</v>
      </c>
      <c r="AR158">
        <f t="shared" si="179"/>
        <v>0</v>
      </c>
      <c r="AS158" s="11">
        <f t="shared" si="179"/>
        <v>0</v>
      </c>
      <c r="AT158" s="2" t="str">
        <f t="shared" si="179"/>
        <v>p4b</v>
      </c>
      <c r="AU158" s="61">
        <f>AU68</f>
        <v>6.1454995444528478E-3</v>
      </c>
      <c r="AV158" s="321"/>
      <c r="AW158" s="321"/>
    </row>
    <row r="159" spans="1:49" x14ac:dyDescent="0.3">
      <c r="A159">
        <f t="shared" ref="A159:S159" si="180">A69</f>
        <v>0</v>
      </c>
      <c r="B159">
        <f t="shared" si="180"/>
        <v>0</v>
      </c>
      <c r="C159">
        <f t="shared" si="180"/>
        <v>0</v>
      </c>
      <c r="D159" s="11">
        <f t="shared" si="180"/>
        <v>0</v>
      </c>
      <c r="E159">
        <f t="shared" si="180"/>
        <v>0</v>
      </c>
      <c r="F159">
        <f t="shared" si="180"/>
        <v>0</v>
      </c>
      <c r="G159">
        <f t="shared" si="180"/>
        <v>0</v>
      </c>
      <c r="H159" s="11">
        <f t="shared" si="180"/>
        <v>0</v>
      </c>
      <c r="I159">
        <f t="shared" si="180"/>
        <v>0</v>
      </c>
      <c r="J159">
        <f t="shared" si="180"/>
        <v>0</v>
      </c>
      <c r="K159" s="11">
        <f t="shared" si="180"/>
        <v>0</v>
      </c>
      <c r="L159" s="13"/>
      <c r="N159" s="2" t="s">
        <v>298</v>
      </c>
      <c r="O159" s="13">
        <f t="shared" si="180"/>
        <v>0</v>
      </c>
      <c r="P159">
        <f t="shared" si="180"/>
        <v>0</v>
      </c>
      <c r="Q159">
        <f t="shared" si="180"/>
        <v>0</v>
      </c>
      <c r="R159" s="11">
        <f t="shared" si="180"/>
        <v>0</v>
      </c>
      <c r="S159" s="2">
        <f t="shared" si="180"/>
        <v>0</v>
      </c>
      <c r="U159" s="322"/>
      <c r="V159" s="322"/>
      <c r="AB159">
        <f t="shared" ref="AB159:AL159" si="181">AB69</f>
        <v>0</v>
      </c>
      <c r="AC159">
        <f t="shared" si="181"/>
        <v>0</v>
      </c>
      <c r="AD159">
        <f t="shared" si="181"/>
        <v>0</v>
      </c>
      <c r="AE159" s="11">
        <f t="shared" si="181"/>
        <v>0</v>
      </c>
      <c r="AF159">
        <f t="shared" si="181"/>
        <v>0</v>
      </c>
      <c r="AG159">
        <f t="shared" si="181"/>
        <v>0</v>
      </c>
      <c r="AH159">
        <f t="shared" si="181"/>
        <v>0</v>
      </c>
      <c r="AI159" s="11">
        <f t="shared" si="181"/>
        <v>0</v>
      </c>
      <c r="AJ159">
        <f t="shared" si="181"/>
        <v>0</v>
      </c>
      <c r="AK159">
        <f t="shared" si="181"/>
        <v>0</v>
      </c>
      <c r="AL159" s="11">
        <f t="shared" si="181"/>
        <v>0</v>
      </c>
      <c r="AM159" s="13"/>
      <c r="AO159" s="2" t="s">
        <v>298</v>
      </c>
      <c r="AP159" s="13">
        <f t="shared" ref="AP159:AT159" si="182">AP69</f>
        <v>0</v>
      </c>
      <c r="AQ159">
        <f t="shared" si="182"/>
        <v>0</v>
      </c>
      <c r="AR159">
        <f t="shared" si="182"/>
        <v>0</v>
      </c>
      <c r="AS159" s="11">
        <f t="shared" si="182"/>
        <v>0</v>
      </c>
      <c r="AT159" s="2">
        <f t="shared" si="182"/>
        <v>0</v>
      </c>
      <c r="AV159" s="322"/>
      <c r="AW159" s="322"/>
    </row>
    <row r="160" spans="1:49" x14ac:dyDescent="0.3">
      <c r="A160">
        <f t="shared" ref="A160:V160" si="183">A70</f>
        <v>0</v>
      </c>
      <c r="B160">
        <f t="shared" si="183"/>
        <v>0</v>
      </c>
      <c r="C160" s="28">
        <f t="shared" si="183"/>
        <v>0</v>
      </c>
      <c r="D160" s="11">
        <f t="shared" si="183"/>
        <v>0</v>
      </c>
      <c r="E160">
        <f t="shared" si="183"/>
        <v>0</v>
      </c>
      <c r="F160">
        <f t="shared" si="183"/>
        <v>0</v>
      </c>
      <c r="G160">
        <f t="shared" si="183"/>
        <v>0</v>
      </c>
      <c r="H160" s="11">
        <f t="shared" si="183"/>
        <v>0</v>
      </c>
      <c r="I160">
        <f t="shared" si="183"/>
        <v>0</v>
      </c>
      <c r="J160">
        <f t="shared" si="183"/>
        <v>0</v>
      </c>
      <c r="K160" s="11">
        <f t="shared" si="183"/>
        <v>0</v>
      </c>
      <c r="L160">
        <f t="shared" si="183"/>
        <v>0</v>
      </c>
      <c r="M160">
        <f t="shared" si="183"/>
        <v>0</v>
      </c>
      <c r="N160">
        <f t="shared" si="183"/>
        <v>0</v>
      </c>
      <c r="O160">
        <f t="shared" si="183"/>
        <v>0</v>
      </c>
      <c r="P160">
        <f t="shared" si="183"/>
        <v>0</v>
      </c>
      <c r="Q160">
        <f t="shared" si="183"/>
        <v>0</v>
      </c>
      <c r="R160" s="18"/>
      <c r="S160" s="12" t="str">
        <f t="shared" si="183"/>
        <v>Hospitalized</v>
      </c>
      <c r="T160" s="30">
        <f t="shared" si="183"/>
        <v>684.29637772186493</v>
      </c>
      <c r="U160" s="320">
        <f t="shared" si="183"/>
        <v>696.08711251141551</v>
      </c>
      <c r="V160" s="320">
        <f t="shared" si="183"/>
        <v>672.49791879920895</v>
      </c>
      <c r="AB160">
        <f t="shared" ref="AB160:AR160" si="184">AB70</f>
        <v>0</v>
      </c>
      <c r="AC160">
        <f t="shared" si="184"/>
        <v>0</v>
      </c>
      <c r="AD160" s="28">
        <f t="shared" si="184"/>
        <v>0</v>
      </c>
      <c r="AE160" s="11">
        <f t="shared" si="184"/>
        <v>0</v>
      </c>
      <c r="AF160">
        <f t="shared" si="184"/>
        <v>0</v>
      </c>
      <c r="AG160">
        <f t="shared" si="184"/>
        <v>0</v>
      </c>
      <c r="AH160">
        <f t="shared" si="184"/>
        <v>0</v>
      </c>
      <c r="AI160" s="11">
        <f t="shared" si="184"/>
        <v>0</v>
      </c>
      <c r="AJ160">
        <f t="shared" si="184"/>
        <v>0</v>
      </c>
      <c r="AK160">
        <f t="shared" si="184"/>
        <v>0</v>
      </c>
      <c r="AL160" s="11">
        <f t="shared" si="184"/>
        <v>0</v>
      </c>
      <c r="AM160">
        <f t="shared" si="184"/>
        <v>0</v>
      </c>
      <c r="AN160">
        <f t="shared" si="184"/>
        <v>0</v>
      </c>
      <c r="AO160">
        <f t="shared" si="184"/>
        <v>0</v>
      </c>
      <c r="AP160">
        <f t="shared" si="184"/>
        <v>0</v>
      </c>
      <c r="AQ160">
        <f t="shared" si="184"/>
        <v>0</v>
      </c>
      <c r="AR160">
        <f t="shared" si="184"/>
        <v>0</v>
      </c>
      <c r="AS160" s="18"/>
      <c r="AT160" s="12" t="str">
        <f t="shared" ref="AT160:AW160" si="185">AT70</f>
        <v>Hospitalized</v>
      </c>
      <c r="AU160" s="30">
        <f t="shared" si="185"/>
        <v>142.28716797107495</v>
      </c>
      <c r="AV160" s="320">
        <f t="shared" si="185"/>
        <v>116.75190719267039</v>
      </c>
      <c r="AW160" s="320">
        <f t="shared" si="185"/>
        <v>160.89633088300224</v>
      </c>
    </row>
    <row r="161" spans="1:49" x14ac:dyDescent="0.3">
      <c r="A161">
        <f t="shared" ref="A161:S161" si="186">A71</f>
        <v>0</v>
      </c>
      <c r="B161">
        <f t="shared" si="186"/>
        <v>0</v>
      </c>
      <c r="C161" s="28">
        <f t="shared" si="186"/>
        <v>0</v>
      </c>
      <c r="D161" s="11">
        <f t="shared" si="186"/>
        <v>0</v>
      </c>
      <c r="E161">
        <f t="shared" si="186"/>
        <v>0</v>
      </c>
      <c r="F161">
        <f t="shared" si="186"/>
        <v>0</v>
      </c>
      <c r="G161">
        <f t="shared" si="186"/>
        <v>0</v>
      </c>
      <c r="H161" s="11">
        <f t="shared" si="186"/>
        <v>0</v>
      </c>
      <c r="I161">
        <f t="shared" si="186"/>
        <v>0</v>
      </c>
      <c r="J161">
        <f t="shared" si="186"/>
        <v>0</v>
      </c>
      <c r="K161" s="18">
        <f t="shared" si="186"/>
        <v>0</v>
      </c>
      <c r="L161" s="10">
        <f t="shared" si="186"/>
        <v>0</v>
      </c>
      <c r="M161" s="10">
        <f t="shared" si="186"/>
        <v>0</v>
      </c>
      <c r="N161">
        <f t="shared" si="186"/>
        <v>0</v>
      </c>
      <c r="O161">
        <f t="shared" si="186"/>
        <v>0</v>
      </c>
      <c r="P161">
        <f t="shared" si="186"/>
        <v>0</v>
      </c>
      <c r="Q161">
        <f t="shared" si="186"/>
        <v>0</v>
      </c>
      <c r="R161">
        <f t="shared" si="186"/>
        <v>0</v>
      </c>
      <c r="S161" s="2" t="str">
        <f t="shared" si="186"/>
        <v>p4c</v>
      </c>
      <c r="T161" s="61">
        <f>T71</f>
        <v>1.095726879289363E-2</v>
      </c>
      <c r="U161" s="321" t="e">
        <f>#REF!</f>
        <v>#REF!</v>
      </c>
      <c r="V161" s="321" t="e">
        <f>#REF!</f>
        <v>#REF!</v>
      </c>
      <c r="AB161">
        <f t="shared" ref="AB161:AT161" si="187">AB71</f>
        <v>0</v>
      </c>
      <c r="AC161">
        <f t="shared" si="187"/>
        <v>0</v>
      </c>
      <c r="AD161" s="28">
        <f t="shared" si="187"/>
        <v>0</v>
      </c>
      <c r="AE161" s="11">
        <f t="shared" si="187"/>
        <v>0</v>
      </c>
      <c r="AF161">
        <f t="shared" si="187"/>
        <v>0</v>
      </c>
      <c r="AG161">
        <f t="shared" si="187"/>
        <v>0</v>
      </c>
      <c r="AH161">
        <f t="shared" si="187"/>
        <v>0</v>
      </c>
      <c r="AI161" s="11">
        <f t="shared" si="187"/>
        <v>0</v>
      </c>
      <c r="AJ161">
        <f t="shared" si="187"/>
        <v>0</v>
      </c>
      <c r="AK161">
        <f t="shared" si="187"/>
        <v>0</v>
      </c>
      <c r="AL161" s="18">
        <f t="shared" si="187"/>
        <v>0</v>
      </c>
      <c r="AM161" s="500">
        <f t="shared" si="187"/>
        <v>0</v>
      </c>
      <c r="AN161" s="500">
        <f t="shared" si="187"/>
        <v>0</v>
      </c>
      <c r="AO161">
        <f t="shared" si="187"/>
        <v>0</v>
      </c>
      <c r="AP161">
        <f t="shared" si="187"/>
        <v>0</v>
      </c>
      <c r="AQ161">
        <f t="shared" si="187"/>
        <v>0</v>
      </c>
      <c r="AR161">
        <f t="shared" si="187"/>
        <v>0</v>
      </c>
      <c r="AS161">
        <f t="shared" si="187"/>
        <v>0</v>
      </c>
      <c r="AT161" s="2" t="str">
        <f t="shared" si="187"/>
        <v>p4c</v>
      </c>
      <c r="AU161" s="61">
        <f>AU71</f>
        <v>8.0222919714660352E-4</v>
      </c>
      <c r="AV161" s="321"/>
      <c r="AW161" s="321"/>
    </row>
    <row r="162" spans="1:49" x14ac:dyDescent="0.3">
      <c r="A162">
        <f t="shared" ref="A162:S162" si="188">A72</f>
        <v>0</v>
      </c>
      <c r="B162">
        <f t="shared" si="188"/>
        <v>0</v>
      </c>
      <c r="C162" s="22">
        <f t="shared" si="188"/>
        <v>0</v>
      </c>
      <c r="D162" s="11">
        <f t="shared" si="188"/>
        <v>0</v>
      </c>
      <c r="E162" s="2" t="str">
        <f t="shared" si="188"/>
        <v>p1</v>
      </c>
      <c r="F162" s="27">
        <f t="shared" si="188"/>
        <v>9.7999999999999997E-3</v>
      </c>
      <c r="G162">
        <f t="shared" si="188"/>
        <v>0</v>
      </c>
      <c r="H162" s="11">
        <f t="shared" si="188"/>
        <v>0</v>
      </c>
      <c r="I162">
        <f t="shared" si="188"/>
        <v>0</v>
      </c>
      <c r="K162" s="2" t="str">
        <f t="shared" si="188"/>
        <v>Not MA for RSV</v>
      </c>
      <c r="L162" s="63" t="str">
        <f t="shared" si="188"/>
        <v>unknown</v>
      </c>
      <c r="M162" s="13">
        <f t="shared" si="188"/>
        <v>0</v>
      </c>
      <c r="N162">
        <f t="shared" si="188"/>
        <v>0</v>
      </c>
      <c r="O162">
        <f t="shared" si="188"/>
        <v>0</v>
      </c>
      <c r="P162">
        <f t="shared" si="188"/>
        <v>0</v>
      </c>
      <c r="Q162">
        <f t="shared" si="188"/>
        <v>0</v>
      </c>
      <c r="R162">
        <f t="shared" si="188"/>
        <v>0</v>
      </c>
      <c r="S162">
        <f t="shared" si="188"/>
        <v>0</v>
      </c>
      <c r="AB162">
        <f t="shared" ref="AB162:AJ162" si="189">AB72</f>
        <v>0</v>
      </c>
      <c r="AC162">
        <f t="shared" si="189"/>
        <v>0</v>
      </c>
      <c r="AD162" s="22">
        <f t="shared" si="189"/>
        <v>0</v>
      </c>
      <c r="AE162" s="11">
        <f t="shared" si="189"/>
        <v>0</v>
      </c>
      <c r="AF162" s="2" t="str">
        <f t="shared" si="189"/>
        <v>p1</v>
      </c>
      <c r="AG162" s="27">
        <f t="shared" si="189"/>
        <v>9.7999999999999997E-3</v>
      </c>
      <c r="AH162">
        <f t="shared" si="189"/>
        <v>0</v>
      </c>
      <c r="AI162" s="11">
        <f t="shared" si="189"/>
        <v>0</v>
      </c>
      <c r="AJ162">
        <f t="shared" si="189"/>
        <v>0</v>
      </c>
      <c r="AL162" s="2" t="str">
        <f t="shared" ref="AL162:AT162" si="190">AL72</f>
        <v>Not MA for RSV</v>
      </c>
      <c r="AM162" s="63" t="str">
        <f t="shared" si="190"/>
        <v>unknown</v>
      </c>
      <c r="AN162" s="13">
        <f t="shared" si="190"/>
        <v>0</v>
      </c>
      <c r="AO162">
        <f t="shared" si="190"/>
        <v>0</v>
      </c>
      <c r="AP162">
        <f t="shared" si="190"/>
        <v>0</v>
      </c>
      <c r="AQ162">
        <f t="shared" si="190"/>
        <v>0</v>
      </c>
      <c r="AR162">
        <f t="shared" si="190"/>
        <v>0</v>
      </c>
      <c r="AS162">
        <f t="shared" si="190"/>
        <v>0</v>
      </c>
      <c r="AT162">
        <f t="shared" si="190"/>
        <v>0</v>
      </c>
    </row>
    <row r="163" spans="1:49" x14ac:dyDescent="0.3">
      <c r="A163">
        <f t="shared" ref="A163:V163" si="191">A73</f>
        <v>0</v>
      </c>
      <c r="B163">
        <f t="shared" si="191"/>
        <v>0</v>
      </c>
      <c r="C163">
        <f t="shared" si="191"/>
        <v>0</v>
      </c>
      <c r="D163" s="18" t="str">
        <f t="shared" si="191"/>
        <v># High Risk Newborns</v>
      </c>
      <c r="E163" s="10"/>
      <c r="F163" s="10">
        <f t="shared" si="191"/>
        <v>0</v>
      </c>
      <c r="G163" s="51">
        <f t="shared" si="191"/>
        <v>0</v>
      </c>
      <c r="H163" s="11">
        <f t="shared" si="191"/>
        <v>0</v>
      </c>
      <c r="I163">
        <f t="shared" si="191"/>
        <v>0</v>
      </c>
      <c r="J163">
        <f t="shared" si="191"/>
        <v>0</v>
      </c>
      <c r="K163">
        <f t="shared" si="191"/>
        <v>0</v>
      </c>
      <c r="L163">
        <f t="shared" si="191"/>
        <v>0</v>
      </c>
      <c r="M163">
        <f t="shared" si="191"/>
        <v>0</v>
      </c>
      <c r="N163">
        <f t="shared" si="191"/>
        <v>0</v>
      </c>
      <c r="O163">
        <f t="shared" si="191"/>
        <v>0</v>
      </c>
      <c r="P163">
        <f t="shared" si="191"/>
        <v>0</v>
      </c>
      <c r="Q163">
        <f t="shared" si="191"/>
        <v>0</v>
      </c>
      <c r="R163">
        <f t="shared" si="191"/>
        <v>0</v>
      </c>
      <c r="S163">
        <f t="shared" si="191"/>
        <v>0</v>
      </c>
      <c r="T163">
        <f t="shared" si="191"/>
        <v>0</v>
      </c>
      <c r="U163">
        <f t="shared" si="191"/>
        <v>0</v>
      </c>
      <c r="V163">
        <f t="shared" si="191"/>
        <v>0</v>
      </c>
      <c r="AB163">
        <f t="shared" ref="AB163:AE163" si="192">AB73</f>
        <v>0</v>
      </c>
      <c r="AC163">
        <f t="shared" si="192"/>
        <v>0</v>
      </c>
      <c r="AD163">
        <f t="shared" si="192"/>
        <v>0</v>
      </c>
      <c r="AE163" s="18" t="str">
        <f t="shared" si="192"/>
        <v># High Risk Newborns</v>
      </c>
      <c r="AF163" s="500"/>
      <c r="AG163" s="500">
        <f t="shared" ref="AG163:AW163" si="193">AG73</f>
        <v>0</v>
      </c>
      <c r="AH163" s="51">
        <f t="shared" si="193"/>
        <v>0</v>
      </c>
      <c r="AI163" s="11">
        <f t="shared" si="193"/>
        <v>0</v>
      </c>
      <c r="AJ163">
        <f t="shared" si="193"/>
        <v>0</v>
      </c>
      <c r="AK163">
        <f t="shared" si="193"/>
        <v>0</v>
      </c>
      <c r="AL163">
        <f t="shared" si="193"/>
        <v>0</v>
      </c>
      <c r="AM163">
        <f t="shared" si="193"/>
        <v>0</v>
      </c>
      <c r="AN163">
        <f t="shared" si="193"/>
        <v>0</v>
      </c>
      <c r="AO163">
        <f t="shared" si="193"/>
        <v>0</v>
      </c>
      <c r="AP163">
        <f t="shared" si="193"/>
        <v>0</v>
      </c>
      <c r="AQ163">
        <f t="shared" si="193"/>
        <v>0</v>
      </c>
      <c r="AR163">
        <f t="shared" si="193"/>
        <v>0</v>
      </c>
      <c r="AS163">
        <f t="shared" si="193"/>
        <v>0</v>
      </c>
      <c r="AT163">
        <f t="shared" si="193"/>
        <v>0</v>
      </c>
      <c r="AU163">
        <f t="shared" si="193"/>
        <v>0</v>
      </c>
      <c r="AV163">
        <f t="shared" si="193"/>
        <v>0</v>
      </c>
      <c r="AW163">
        <f t="shared" si="193"/>
        <v>0</v>
      </c>
    </row>
    <row r="164" spans="1:49" x14ac:dyDescent="0.3">
      <c r="A164">
        <f t="shared" ref="A164:V164" si="194">A74</f>
        <v>0</v>
      </c>
      <c r="B164">
        <f t="shared" si="194"/>
        <v>0</v>
      </c>
      <c r="C164">
        <f t="shared" si="194"/>
        <v>0</v>
      </c>
      <c r="D164" t="str">
        <f t="shared" si="194"/>
        <v>in 1 season</v>
      </c>
      <c r="F164" s="52">
        <f t="shared" si="194"/>
        <v>19334.787499999999</v>
      </c>
      <c r="G164">
        <f t="shared" si="194"/>
        <v>0</v>
      </c>
      <c r="H164" s="11">
        <f t="shared" si="194"/>
        <v>0</v>
      </c>
      <c r="I164">
        <f t="shared" si="194"/>
        <v>0</v>
      </c>
      <c r="J164">
        <f t="shared" si="194"/>
        <v>0</v>
      </c>
      <c r="K164">
        <f t="shared" si="194"/>
        <v>0</v>
      </c>
      <c r="L164">
        <f t="shared" si="194"/>
        <v>0</v>
      </c>
      <c r="M164">
        <f t="shared" si="194"/>
        <v>0</v>
      </c>
      <c r="N164">
        <f t="shared" si="194"/>
        <v>0</v>
      </c>
      <c r="O164">
        <f t="shared" si="194"/>
        <v>0</v>
      </c>
      <c r="P164">
        <f t="shared" si="194"/>
        <v>0</v>
      </c>
      <c r="Q164">
        <f t="shared" si="194"/>
        <v>0</v>
      </c>
      <c r="R164">
        <f t="shared" si="194"/>
        <v>0</v>
      </c>
      <c r="S164">
        <f t="shared" si="194"/>
        <v>0</v>
      </c>
      <c r="T164">
        <f t="shared" si="194"/>
        <v>0</v>
      </c>
      <c r="U164">
        <f t="shared" si="194"/>
        <v>0</v>
      </c>
      <c r="V164">
        <f t="shared" si="194"/>
        <v>0</v>
      </c>
      <c r="AB164">
        <f t="shared" ref="AB164:AE164" si="195">AB74</f>
        <v>0</v>
      </c>
      <c r="AC164">
        <f t="shared" si="195"/>
        <v>0</v>
      </c>
      <c r="AD164">
        <f t="shared" si="195"/>
        <v>0</v>
      </c>
      <c r="AE164" t="str">
        <f t="shared" si="195"/>
        <v>in 1 season</v>
      </c>
      <c r="AG164" s="52">
        <f t="shared" ref="AG164:AW164" si="196">AG74</f>
        <v>19334.787499999999</v>
      </c>
      <c r="AH164">
        <f t="shared" si="196"/>
        <v>0</v>
      </c>
      <c r="AI164" s="11">
        <f t="shared" si="196"/>
        <v>0</v>
      </c>
      <c r="AJ164">
        <f t="shared" si="196"/>
        <v>0</v>
      </c>
      <c r="AK164">
        <f t="shared" si="196"/>
        <v>0</v>
      </c>
      <c r="AL164">
        <f t="shared" si="196"/>
        <v>0</v>
      </c>
      <c r="AM164">
        <f t="shared" si="196"/>
        <v>0</v>
      </c>
      <c r="AN164">
        <f t="shared" si="196"/>
        <v>0</v>
      </c>
      <c r="AO164">
        <f t="shared" si="196"/>
        <v>0</v>
      </c>
      <c r="AP164">
        <f t="shared" si="196"/>
        <v>0</v>
      </c>
      <c r="AQ164">
        <f t="shared" si="196"/>
        <v>0</v>
      </c>
      <c r="AR164">
        <f t="shared" si="196"/>
        <v>0</v>
      </c>
      <c r="AS164">
        <f t="shared" si="196"/>
        <v>0</v>
      </c>
      <c r="AT164">
        <f t="shared" si="196"/>
        <v>0</v>
      </c>
      <c r="AU164">
        <f t="shared" si="196"/>
        <v>0</v>
      </c>
      <c r="AV164">
        <f t="shared" si="196"/>
        <v>0</v>
      </c>
      <c r="AW164">
        <f t="shared" si="196"/>
        <v>0</v>
      </c>
    </row>
    <row r="165" spans="1:49" x14ac:dyDescent="0.3">
      <c r="A165">
        <f t="shared" ref="A165:V165" si="197">A75</f>
        <v>0</v>
      </c>
      <c r="B165">
        <f t="shared" si="197"/>
        <v>0</v>
      </c>
      <c r="C165">
        <f t="shared" si="197"/>
        <v>0</v>
      </c>
      <c r="D165">
        <f t="shared" si="197"/>
        <v>0</v>
      </c>
      <c r="E165">
        <f t="shared" si="197"/>
        <v>0</v>
      </c>
      <c r="F165">
        <f t="shared" si="197"/>
        <v>0</v>
      </c>
      <c r="G165">
        <f t="shared" si="197"/>
        <v>0</v>
      </c>
      <c r="H165" s="11">
        <f t="shared" si="197"/>
        <v>0</v>
      </c>
      <c r="I165">
        <f t="shared" si="197"/>
        <v>0</v>
      </c>
      <c r="K165" s="2" t="str">
        <f t="shared" si="197"/>
        <v>Not MA for RSV</v>
      </c>
      <c r="L165" s="62" t="str">
        <f t="shared" si="197"/>
        <v>unknown</v>
      </c>
      <c r="M165">
        <f t="shared" si="197"/>
        <v>0</v>
      </c>
      <c r="N165">
        <f t="shared" si="197"/>
        <v>0</v>
      </c>
      <c r="O165">
        <f t="shared" si="197"/>
        <v>0</v>
      </c>
      <c r="P165">
        <f t="shared" si="197"/>
        <v>0</v>
      </c>
      <c r="Q165">
        <f t="shared" si="197"/>
        <v>0</v>
      </c>
      <c r="R165">
        <f t="shared" si="197"/>
        <v>0</v>
      </c>
      <c r="S165">
        <f t="shared" si="197"/>
        <v>0</v>
      </c>
      <c r="T165">
        <f t="shared" si="197"/>
        <v>0</v>
      </c>
      <c r="U165">
        <f t="shared" si="197"/>
        <v>0</v>
      </c>
      <c r="V165">
        <f t="shared" si="197"/>
        <v>0</v>
      </c>
      <c r="AB165">
        <f t="shared" ref="AB165:AJ165" si="198">AB75</f>
        <v>0</v>
      </c>
      <c r="AC165">
        <f t="shared" si="198"/>
        <v>0</v>
      </c>
      <c r="AD165">
        <f t="shared" si="198"/>
        <v>0</v>
      </c>
      <c r="AE165">
        <f t="shared" si="198"/>
        <v>0</v>
      </c>
      <c r="AF165">
        <f t="shared" si="198"/>
        <v>0</v>
      </c>
      <c r="AG165">
        <f t="shared" si="198"/>
        <v>0</v>
      </c>
      <c r="AH165">
        <f t="shared" si="198"/>
        <v>0</v>
      </c>
      <c r="AI165" s="11">
        <f t="shared" si="198"/>
        <v>0</v>
      </c>
      <c r="AJ165">
        <f t="shared" si="198"/>
        <v>0</v>
      </c>
      <c r="AL165" s="2" t="str">
        <f t="shared" ref="AL165:AW165" si="199">AL75</f>
        <v>Not MA for RSV</v>
      </c>
      <c r="AM165" s="62" t="str">
        <f t="shared" si="199"/>
        <v>unknown</v>
      </c>
      <c r="AN165">
        <f t="shared" si="199"/>
        <v>0</v>
      </c>
      <c r="AO165">
        <f t="shared" si="199"/>
        <v>0</v>
      </c>
      <c r="AP165">
        <f t="shared" si="199"/>
        <v>0</v>
      </c>
      <c r="AQ165">
        <f t="shared" si="199"/>
        <v>0</v>
      </c>
      <c r="AR165">
        <f t="shared" si="199"/>
        <v>0</v>
      </c>
      <c r="AS165">
        <f t="shared" si="199"/>
        <v>0</v>
      </c>
      <c r="AT165">
        <f t="shared" si="199"/>
        <v>0</v>
      </c>
      <c r="AU165">
        <f t="shared" si="199"/>
        <v>0</v>
      </c>
      <c r="AV165">
        <f t="shared" si="199"/>
        <v>0</v>
      </c>
      <c r="AW165">
        <f t="shared" si="199"/>
        <v>0</v>
      </c>
    </row>
    <row r="166" spans="1:49" x14ac:dyDescent="0.3">
      <c r="A166">
        <f t="shared" ref="A166:V166" si="200">A76</f>
        <v>0</v>
      </c>
      <c r="B166">
        <f t="shared" si="200"/>
        <v>0</v>
      </c>
      <c r="C166">
        <f t="shared" si="200"/>
        <v>0</v>
      </c>
      <c r="D166">
        <f t="shared" si="200"/>
        <v>0</v>
      </c>
      <c r="E166">
        <f t="shared" si="200"/>
        <v>0</v>
      </c>
      <c r="F166">
        <f t="shared" si="200"/>
        <v>0</v>
      </c>
      <c r="G166">
        <f t="shared" si="200"/>
        <v>0</v>
      </c>
      <c r="H166" s="11">
        <f t="shared" si="200"/>
        <v>0</v>
      </c>
      <c r="I166">
        <f t="shared" si="200"/>
        <v>0</v>
      </c>
      <c r="J166">
        <f t="shared" si="200"/>
        <v>0</v>
      </c>
      <c r="K166" s="16">
        <f t="shared" si="200"/>
        <v>0</v>
      </c>
      <c r="L166">
        <f t="shared" si="200"/>
        <v>0</v>
      </c>
      <c r="M166" s="17">
        <f t="shared" si="200"/>
        <v>0</v>
      </c>
      <c r="N166">
        <f t="shared" si="200"/>
        <v>0</v>
      </c>
      <c r="O166">
        <f t="shared" si="200"/>
        <v>0</v>
      </c>
      <c r="P166">
        <f t="shared" si="200"/>
        <v>0</v>
      </c>
      <c r="Q166">
        <f t="shared" si="200"/>
        <v>0</v>
      </c>
      <c r="R166">
        <f t="shared" si="200"/>
        <v>0</v>
      </c>
      <c r="S166">
        <f t="shared" si="200"/>
        <v>0</v>
      </c>
      <c r="T166">
        <f t="shared" si="200"/>
        <v>0</v>
      </c>
      <c r="U166" s="29">
        <f t="shared" si="200"/>
        <v>0</v>
      </c>
      <c r="V166">
        <f t="shared" si="200"/>
        <v>0</v>
      </c>
      <c r="AB166">
        <f t="shared" ref="AB166:AW166" si="201">AB76</f>
        <v>0</v>
      </c>
      <c r="AC166">
        <f t="shared" si="201"/>
        <v>0</v>
      </c>
      <c r="AD166">
        <f t="shared" si="201"/>
        <v>0</v>
      </c>
      <c r="AE166">
        <f t="shared" si="201"/>
        <v>0</v>
      </c>
      <c r="AF166">
        <f t="shared" si="201"/>
        <v>0</v>
      </c>
      <c r="AG166">
        <f t="shared" si="201"/>
        <v>0</v>
      </c>
      <c r="AH166">
        <f t="shared" si="201"/>
        <v>0</v>
      </c>
      <c r="AI166" s="11">
        <f t="shared" si="201"/>
        <v>0</v>
      </c>
      <c r="AJ166">
        <f t="shared" si="201"/>
        <v>0</v>
      </c>
      <c r="AK166">
        <f t="shared" si="201"/>
        <v>0</v>
      </c>
      <c r="AL166" s="16">
        <f t="shared" si="201"/>
        <v>0</v>
      </c>
      <c r="AM166">
        <f t="shared" si="201"/>
        <v>0</v>
      </c>
      <c r="AN166" s="17">
        <f t="shared" si="201"/>
        <v>0</v>
      </c>
      <c r="AO166">
        <f t="shared" si="201"/>
        <v>0</v>
      </c>
      <c r="AP166">
        <f t="shared" si="201"/>
        <v>0</v>
      </c>
      <c r="AQ166">
        <f t="shared" si="201"/>
        <v>0</v>
      </c>
      <c r="AR166">
        <f t="shared" si="201"/>
        <v>0</v>
      </c>
      <c r="AS166">
        <f t="shared" si="201"/>
        <v>0</v>
      </c>
      <c r="AT166">
        <f t="shared" si="201"/>
        <v>0</v>
      </c>
      <c r="AU166">
        <f t="shared" si="201"/>
        <v>0</v>
      </c>
      <c r="AV166" s="29">
        <f t="shared" si="201"/>
        <v>0</v>
      </c>
      <c r="AW166">
        <f t="shared" si="201"/>
        <v>0</v>
      </c>
    </row>
    <row r="167" spans="1:49" x14ac:dyDescent="0.3">
      <c r="A167">
        <f t="shared" ref="A167:V167" si="202">A77</f>
        <v>0</v>
      </c>
      <c r="B167">
        <f t="shared" si="202"/>
        <v>0</v>
      </c>
      <c r="C167" s="53">
        <f t="shared" si="202"/>
        <v>0</v>
      </c>
      <c r="D167">
        <f t="shared" si="202"/>
        <v>0</v>
      </c>
      <c r="E167">
        <f t="shared" si="202"/>
        <v>0</v>
      </c>
      <c r="F167">
        <f t="shared" si="202"/>
        <v>0</v>
      </c>
      <c r="G167">
        <f t="shared" si="202"/>
        <v>0</v>
      </c>
      <c r="H167" s="11">
        <f t="shared" si="202"/>
        <v>0</v>
      </c>
      <c r="I167">
        <f t="shared" si="202"/>
        <v>0</v>
      </c>
      <c r="J167">
        <f t="shared" si="202"/>
        <v>0</v>
      </c>
      <c r="K167" s="11">
        <f t="shared" si="202"/>
        <v>0</v>
      </c>
      <c r="L167" s="13">
        <f t="shared" si="202"/>
        <v>0</v>
      </c>
      <c r="M167" s="13">
        <f t="shared" si="202"/>
        <v>0</v>
      </c>
      <c r="N167">
        <f t="shared" si="202"/>
        <v>0</v>
      </c>
      <c r="O167">
        <f t="shared" si="202"/>
        <v>0</v>
      </c>
      <c r="P167" s="237" t="str">
        <f t="shared" si="202"/>
        <v>base</v>
      </c>
      <c r="Q167" s="319" t="str">
        <f t="shared" si="202"/>
        <v>low</v>
      </c>
      <c r="R167" s="319" t="str">
        <f t="shared" si="202"/>
        <v>high</v>
      </c>
      <c r="S167">
        <f t="shared" si="202"/>
        <v>0</v>
      </c>
      <c r="T167" s="37">
        <f t="shared" si="202"/>
        <v>0</v>
      </c>
      <c r="U167" s="20">
        <f t="shared" si="202"/>
        <v>0</v>
      </c>
      <c r="V167">
        <f t="shared" si="202"/>
        <v>0</v>
      </c>
      <c r="AB167">
        <f t="shared" ref="AB167:AW167" si="203">AB77</f>
        <v>0</v>
      </c>
      <c r="AC167">
        <f t="shared" si="203"/>
        <v>0</v>
      </c>
      <c r="AD167" s="53">
        <f t="shared" si="203"/>
        <v>0</v>
      </c>
      <c r="AE167">
        <f t="shared" si="203"/>
        <v>0</v>
      </c>
      <c r="AF167">
        <f t="shared" si="203"/>
        <v>0</v>
      </c>
      <c r="AG167">
        <f t="shared" si="203"/>
        <v>0</v>
      </c>
      <c r="AH167">
        <f t="shared" si="203"/>
        <v>0</v>
      </c>
      <c r="AI167" s="11">
        <f t="shared" si="203"/>
        <v>0</v>
      </c>
      <c r="AJ167">
        <f t="shared" si="203"/>
        <v>0</v>
      </c>
      <c r="AK167">
        <f t="shared" si="203"/>
        <v>0</v>
      </c>
      <c r="AL167" s="11">
        <f t="shared" si="203"/>
        <v>0</v>
      </c>
      <c r="AM167" s="13">
        <f t="shared" si="203"/>
        <v>0</v>
      </c>
      <c r="AN167" s="13">
        <f t="shared" si="203"/>
        <v>0</v>
      </c>
      <c r="AO167">
        <f t="shared" si="203"/>
        <v>0</v>
      </c>
      <c r="AP167">
        <f t="shared" si="203"/>
        <v>0</v>
      </c>
      <c r="AQ167" s="589" t="str">
        <f t="shared" si="203"/>
        <v>base</v>
      </c>
      <c r="AR167" s="319" t="str">
        <f t="shared" si="203"/>
        <v>low</v>
      </c>
      <c r="AS167" s="319" t="str">
        <f t="shared" si="203"/>
        <v>high</v>
      </c>
      <c r="AT167">
        <f t="shared" si="203"/>
        <v>0</v>
      </c>
      <c r="AU167" s="37">
        <f t="shared" si="203"/>
        <v>0</v>
      </c>
      <c r="AV167" s="20">
        <f t="shared" si="203"/>
        <v>0</v>
      </c>
      <c r="AW167">
        <f t="shared" si="203"/>
        <v>0</v>
      </c>
    </row>
    <row r="168" spans="1:49" x14ac:dyDescent="0.3">
      <c r="A168">
        <f t="shared" ref="A168:V168" si="204">A78</f>
        <v>0</v>
      </c>
      <c r="B168">
        <f t="shared" si="204"/>
        <v>0</v>
      </c>
      <c r="C168" s="22">
        <f t="shared" si="204"/>
        <v>0</v>
      </c>
      <c r="D168">
        <f t="shared" si="204"/>
        <v>0</v>
      </c>
      <c r="E168">
        <f t="shared" si="204"/>
        <v>0</v>
      </c>
      <c r="F168">
        <f t="shared" si="204"/>
        <v>0</v>
      </c>
      <c r="G168">
        <f t="shared" si="204"/>
        <v>0</v>
      </c>
      <c r="H168" s="59" t="str">
        <f t="shared" si="204"/>
        <v>1-p2</v>
      </c>
      <c r="I168" s="67">
        <f t="shared" si="204"/>
        <v>0.19999999999999996</v>
      </c>
      <c r="J168" s="10">
        <f t="shared" si="204"/>
        <v>0</v>
      </c>
      <c r="K168" s="11">
        <f t="shared" si="204"/>
        <v>0</v>
      </c>
      <c r="L168">
        <f t="shared" si="204"/>
        <v>0</v>
      </c>
      <c r="M168">
        <f t="shared" si="204"/>
        <v>0</v>
      </c>
      <c r="N168">
        <f t="shared" si="204"/>
        <v>0</v>
      </c>
      <c r="O168" s="12" t="str">
        <f t="shared" si="204"/>
        <v>Outpatient</v>
      </c>
      <c r="P168" s="30">
        <f t="shared" si="204"/>
        <v>7425.2600950259603</v>
      </c>
      <c r="Q168" s="320">
        <f t="shared" si="204"/>
        <v>6190.4900058136982</v>
      </c>
      <c r="R168" s="320">
        <f t="shared" si="204"/>
        <v>8658.8826283932285</v>
      </c>
      <c r="S168">
        <f t="shared" si="204"/>
        <v>0</v>
      </c>
      <c r="T168" s="69">
        <f t="shared" si="204"/>
        <v>0</v>
      </c>
      <c r="U168">
        <f t="shared" si="204"/>
        <v>0</v>
      </c>
      <c r="V168">
        <f t="shared" si="204"/>
        <v>0</v>
      </c>
      <c r="AB168">
        <f t="shared" ref="AB168:AW168" si="205">AB78</f>
        <v>0</v>
      </c>
      <c r="AC168">
        <f t="shared" si="205"/>
        <v>0</v>
      </c>
      <c r="AD168" s="22">
        <f t="shared" si="205"/>
        <v>0</v>
      </c>
      <c r="AE168">
        <f t="shared" si="205"/>
        <v>0</v>
      </c>
      <c r="AF168">
        <f t="shared" si="205"/>
        <v>0</v>
      </c>
      <c r="AG168">
        <f t="shared" si="205"/>
        <v>0</v>
      </c>
      <c r="AH168">
        <f t="shared" si="205"/>
        <v>0</v>
      </c>
      <c r="AI168" s="59" t="str">
        <f t="shared" si="205"/>
        <v>1-p2</v>
      </c>
      <c r="AJ168" s="67">
        <f t="shared" si="205"/>
        <v>0.19999999999999996</v>
      </c>
      <c r="AK168" s="500">
        <f t="shared" si="205"/>
        <v>0</v>
      </c>
      <c r="AL168" s="11">
        <f t="shared" si="205"/>
        <v>0</v>
      </c>
      <c r="AM168">
        <f t="shared" si="205"/>
        <v>0</v>
      </c>
      <c r="AN168">
        <f t="shared" si="205"/>
        <v>0</v>
      </c>
      <c r="AO168">
        <f t="shared" si="205"/>
        <v>0</v>
      </c>
      <c r="AP168" s="12" t="str">
        <f t="shared" si="205"/>
        <v>Outpatient</v>
      </c>
      <c r="AQ168" s="30">
        <f>AQ78</f>
        <v>3019.5865126745548</v>
      </c>
      <c r="AR168" s="320">
        <f t="shared" si="205"/>
        <v>2517.8391566764572</v>
      </c>
      <c r="AS168" s="320">
        <f t="shared" si="205"/>
        <v>3544.9419455385805</v>
      </c>
      <c r="AT168">
        <f t="shared" si="205"/>
        <v>0</v>
      </c>
      <c r="AU168" s="69">
        <f t="shared" si="205"/>
        <v>0</v>
      </c>
      <c r="AV168">
        <f t="shared" si="205"/>
        <v>0</v>
      </c>
      <c r="AW168">
        <f t="shared" si="205"/>
        <v>0</v>
      </c>
    </row>
    <row r="169" spans="1:49" x14ac:dyDescent="0.3">
      <c r="A169">
        <f t="shared" ref="A169:V169" si="206">A79</f>
        <v>0</v>
      </c>
      <c r="B169">
        <f t="shared" si="206"/>
        <v>0</v>
      </c>
      <c r="C169">
        <f t="shared" si="206"/>
        <v>0</v>
      </c>
      <c r="D169">
        <f t="shared" si="206"/>
        <v>0</v>
      </c>
      <c r="E169">
        <f t="shared" si="206"/>
        <v>0</v>
      </c>
      <c r="H169" s="15" t="str">
        <f t="shared" si="206"/>
        <v>do not obtain Antibody Candidate product</v>
      </c>
      <c r="I169" s="28">
        <f t="shared" si="206"/>
        <v>3866.9574999999991</v>
      </c>
      <c r="J169">
        <f t="shared" si="206"/>
        <v>0</v>
      </c>
      <c r="K169" s="59" t="str">
        <f t="shared" si="206"/>
        <v>low:</v>
      </c>
      <c r="L169" s="50">
        <f t="shared" si="206"/>
        <v>2.3592952239688896</v>
      </c>
      <c r="M169">
        <f t="shared" si="206"/>
        <v>0</v>
      </c>
      <c r="N169" s="16">
        <f t="shared" si="206"/>
        <v>0</v>
      </c>
      <c r="O169" s="2" t="str">
        <f t="shared" si="206"/>
        <v>p4c</v>
      </c>
      <c r="P169" s="61">
        <f t="shared" si="206"/>
        <v>1.9201814592029942</v>
      </c>
      <c r="Q169" s="321">
        <f t="shared" si="206"/>
        <v>1.6008683844634186</v>
      </c>
      <c r="R169" s="321">
        <f t="shared" si="206"/>
        <v>2.2391977745794285</v>
      </c>
      <c r="S169">
        <f t="shared" si="206"/>
        <v>0</v>
      </c>
      <c r="T169">
        <f t="shared" si="206"/>
        <v>0</v>
      </c>
      <c r="U169">
        <f t="shared" si="206"/>
        <v>0</v>
      </c>
      <c r="V169">
        <f t="shared" si="206"/>
        <v>0</v>
      </c>
      <c r="AB169">
        <f t="shared" ref="AB169:AF169" si="207">AB79</f>
        <v>0</v>
      </c>
      <c r="AC169">
        <f t="shared" si="207"/>
        <v>0</v>
      </c>
      <c r="AD169">
        <f t="shared" si="207"/>
        <v>0</v>
      </c>
      <c r="AE169">
        <f t="shared" si="207"/>
        <v>0</v>
      </c>
      <c r="AF169">
        <f t="shared" si="207"/>
        <v>0</v>
      </c>
      <c r="AI169" s="15" t="str">
        <f t="shared" ref="AI169:AW169" si="208">AI79</f>
        <v>do not obtain Antibody Candidate product</v>
      </c>
      <c r="AJ169" s="28">
        <f t="shared" si="208"/>
        <v>3866.9574999999991</v>
      </c>
      <c r="AK169">
        <f t="shared" si="208"/>
        <v>0</v>
      </c>
      <c r="AL169" s="59" t="str">
        <f t="shared" si="208"/>
        <v>low:</v>
      </c>
      <c r="AM169" s="50">
        <f t="shared" si="208"/>
        <v>0.95251779804767667</v>
      </c>
      <c r="AN169">
        <f t="shared" si="208"/>
        <v>0</v>
      </c>
      <c r="AO169" s="16">
        <f t="shared" si="208"/>
        <v>0</v>
      </c>
      <c r="AP169" s="2" t="str">
        <f t="shared" si="208"/>
        <v>p4c</v>
      </c>
      <c r="AQ169" s="61">
        <f>AQ79</f>
        <v>0.78086881292968835</v>
      </c>
      <c r="AR169" s="321">
        <f t="shared" si="208"/>
        <v>0.6511163250892873</v>
      </c>
      <c r="AS169" s="321">
        <f t="shared" si="208"/>
        <v>0.91672637869399431</v>
      </c>
      <c r="AT169">
        <f t="shared" si="208"/>
        <v>0</v>
      </c>
      <c r="AU169">
        <f t="shared" si="208"/>
        <v>0</v>
      </c>
      <c r="AV169">
        <f t="shared" si="208"/>
        <v>0</v>
      </c>
      <c r="AW169">
        <f t="shared" si="208"/>
        <v>0</v>
      </c>
    </row>
    <row r="170" spans="1:49" x14ac:dyDescent="0.3">
      <c r="A170">
        <f t="shared" ref="A170:V170" si="209">A80</f>
        <v>0</v>
      </c>
      <c r="B170">
        <f t="shared" si="209"/>
        <v>0</v>
      </c>
      <c r="C170">
        <f t="shared" si="209"/>
        <v>0</v>
      </c>
      <c r="D170">
        <f t="shared" si="209"/>
        <v>0</v>
      </c>
      <c r="E170">
        <f t="shared" si="209"/>
        <v>0</v>
      </c>
      <c r="F170">
        <f t="shared" si="209"/>
        <v>0</v>
      </c>
      <c r="G170">
        <f t="shared" si="209"/>
        <v>0</v>
      </c>
      <c r="H170" s="14">
        <f t="shared" si="209"/>
        <v>0</v>
      </c>
      <c r="I170" s="58">
        <f t="shared" si="209"/>
        <v>0</v>
      </c>
      <c r="J170">
        <f t="shared" si="209"/>
        <v>0</v>
      </c>
      <c r="K170" s="238" t="str">
        <f t="shared" si="209"/>
        <v>high:</v>
      </c>
      <c r="L170" s="50">
        <f t="shared" si="209"/>
        <v>3.1700570548149427</v>
      </c>
      <c r="M170">
        <f t="shared" si="209"/>
        <v>0</v>
      </c>
      <c r="N170" s="11">
        <f t="shared" si="209"/>
        <v>0</v>
      </c>
      <c r="O170" s="2">
        <f t="shared" si="209"/>
        <v>0</v>
      </c>
      <c r="P170">
        <f t="shared" si="209"/>
        <v>0</v>
      </c>
      <c r="Q170" s="322">
        <f t="shared" si="209"/>
        <v>0</v>
      </c>
      <c r="R170" s="322">
        <f t="shared" si="209"/>
        <v>0</v>
      </c>
      <c r="S170">
        <f t="shared" si="209"/>
        <v>0</v>
      </c>
      <c r="T170">
        <f t="shared" si="209"/>
        <v>0</v>
      </c>
      <c r="U170">
        <f t="shared" si="209"/>
        <v>0</v>
      </c>
      <c r="V170">
        <f t="shared" si="209"/>
        <v>0</v>
      </c>
      <c r="AB170">
        <f t="shared" ref="AB170:AW170" si="210">AB80</f>
        <v>0</v>
      </c>
      <c r="AC170">
        <f t="shared" si="210"/>
        <v>0</v>
      </c>
      <c r="AD170">
        <f t="shared" si="210"/>
        <v>0</v>
      </c>
      <c r="AE170">
        <f t="shared" si="210"/>
        <v>0</v>
      </c>
      <c r="AF170">
        <f t="shared" si="210"/>
        <v>0</v>
      </c>
      <c r="AG170">
        <f t="shared" si="210"/>
        <v>0</v>
      </c>
      <c r="AH170">
        <f t="shared" si="210"/>
        <v>0</v>
      </c>
      <c r="AI170" s="14">
        <f t="shared" si="210"/>
        <v>0</v>
      </c>
      <c r="AJ170" s="58">
        <f t="shared" si="210"/>
        <v>0</v>
      </c>
      <c r="AK170">
        <f t="shared" si="210"/>
        <v>0</v>
      </c>
      <c r="AL170" s="238" t="str">
        <f t="shared" si="210"/>
        <v>high:</v>
      </c>
      <c r="AM170" s="50">
        <f t="shared" si="210"/>
        <v>1.3199545381061824</v>
      </c>
      <c r="AN170">
        <f t="shared" si="210"/>
        <v>0</v>
      </c>
      <c r="AO170" s="11">
        <f t="shared" si="210"/>
        <v>0</v>
      </c>
      <c r="AP170" s="2">
        <f t="shared" si="210"/>
        <v>0</v>
      </c>
      <c r="AQ170">
        <f t="shared" si="210"/>
        <v>0</v>
      </c>
      <c r="AR170" s="322">
        <f t="shared" si="210"/>
        <v>0</v>
      </c>
      <c r="AS170" s="322">
        <f t="shared" si="210"/>
        <v>0</v>
      </c>
      <c r="AT170">
        <f t="shared" si="210"/>
        <v>0</v>
      </c>
      <c r="AU170">
        <f t="shared" si="210"/>
        <v>0</v>
      </c>
      <c r="AV170">
        <f t="shared" si="210"/>
        <v>0</v>
      </c>
      <c r="AW170">
        <f t="shared" si="210"/>
        <v>0</v>
      </c>
    </row>
    <row r="171" spans="1:49" x14ac:dyDescent="0.3">
      <c r="A171">
        <f t="shared" ref="A171:V171" si="211">A81</f>
        <v>0</v>
      </c>
      <c r="B171">
        <f t="shared" si="211"/>
        <v>0</v>
      </c>
      <c r="C171">
        <f t="shared" si="211"/>
        <v>0</v>
      </c>
      <c r="D171">
        <f t="shared" si="211"/>
        <v>0</v>
      </c>
      <c r="E171">
        <f t="shared" si="211"/>
        <v>0</v>
      </c>
      <c r="F171">
        <f t="shared" si="211"/>
        <v>0</v>
      </c>
      <c r="G171">
        <f t="shared" si="211"/>
        <v>0</v>
      </c>
      <c r="H171">
        <f t="shared" si="211"/>
        <v>0</v>
      </c>
      <c r="I171">
        <f t="shared" si="211"/>
        <v>0</v>
      </c>
      <c r="J171">
        <f t="shared" si="211"/>
        <v>0</v>
      </c>
      <c r="K171" s="18" t="str">
        <f t="shared" si="211"/>
        <v>sum p4a-c</v>
      </c>
      <c r="L171" s="50">
        <f t="shared" si="211"/>
        <v>2.7633318789944998</v>
      </c>
      <c r="M171" s="10">
        <f t="shared" si="211"/>
        <v>0</v>
      </c>
      <c r="N171" s="18">
        <f t="shared" si="211"/>
        <v>0</v>
      </c>
      <c r="O171" s="12" t="str">
        <f t="shared" si="211"/>
        <v>ED</v>
      </c>
      <c r="P171" s="30">
        <f t="shared" si="211"/>
        <v>2574.5415382413639</v>
      </c>
      <c r="Q171" s="320">
        <f t="shared" si="211"/>
        <v>2204.4547782311834</v>
      </c>
      <c r="R171" s="320">
        <f t="shared" si="211"/>
        <v>2945.775854096536</v>
      </c>
      <c r="S171">
        <f t="shared" si="211"/>
        <v>0</v>
      </c>
      <c r="T171">
        <f t="shared" si="211"/>
        <v>0</v>
      </c>
      <c r="U171">
        <f t="shared" si="211"/>
        <v>0</v>
      </c>
      <c r="V171">
        <f t="shared" si="211"/>
        <v>0</v>
      </c>
      <c r="AB171">
        <f t="shared" ref="AB171:AW171" si="212">AB81</f>
        <v>0</v>
      </c>
      <c r="AC171">
        <f t="shared" si="212"/>
        <v>0</v>
      </c>
      <c r="AD171">
        <f t="shared" si="212"/>
        <v>0</v>
      </c>
      <c r="AE171">
        <f t="shared" si="212"/>
        <v>0</v>
      </c>
      <c r="AF171">
        <f t="shared" si="212"/>
        <v>0</v>
      </c>
      <c r="AG171">
        <f t="shared" si="212"/>
        <v>0</v>
      </c>
      <c r="AH171">
        <f t="shared" si="212"/>
        <v>0</v>
      </c>
      <c r="AI171">
        <f t="shared" si="212"/>
        <v>0</v>
      </c>
      <c r="AJ171">
        <f t="shared" si="212"/>
        <v>0</v>
      </c>
      <c r="AK171">
        <f t="shared" si="212"/>
        <v>0</v>
      </c>
      <c r="AL171" s="18" t="str">
        <f t="shared" si="212"/>
        <v>sum p4a-c</v>
      </c>
      <c r="AM171" s="50">
        <f t="shared" si="212"/>
        <v>1.1341905893836515</v>
      </c>
      <c r="AN171" s="500">
        <f t="shared" si="212"/>
        <v>0</v>
      </c>
      <c r="AO171" s="18">
        <f t="shared" si="212"/>
        <v>0</v>
      </c>
      <c r="AP171" s="12" t="str">
        <f t="shared" si="212"/>
        <v>ED</v>
      </c>
      <c r="AQ171" s="30">
        <f t="shared" si="212"/>
        <v>1200.8300782506328</v>
      </c>
      <c r="AR171" s="320">
        <f t="shared" si="212"/>
        <v>1028.2896484132452</v>
      </c>
      <c r="AS171" s="320">
        <f t="shared" si="212"/>
        <v>1373.5508449748004</v>
      </c>
      <c r="AT171">
        <f t="shared" si="212"/>
        <v>0</v>
      </c>
      <c r="AU171">
        <f t="shared" si="212"/>
        <v>0</v>
      </c>
      <c r="AV171">
        <f t="shared" si="212"/>
        <v>0</v>
      </c>
      <c r="AW171">
        <f t="shared" si="212"/>
        <v>0</v>
      </c>
    </row>
    <row r="172" spans="1:49" x14ac:dyDescent="0.3">
      <c r="A172">
        <f t="shared" ref="A172:V172" si="213">A82</f>
        <v>0</v>
      </c>
      <c r="B172">
        <f t="shared" si="213"/>
        <v>0</v>
      </c>
      <c r="C172">
        <f t="shared" si="213"/>
        <v>0</v>
      </c>
      <c r="D172">
        <f t="shared" si="213"/>
        <v>0</v>
      </c>
      <c r="E172">
        <f t="shared" si="213"/>
        <v>0</v>
      </c>
      <c r="F172">
        <f t="shared" si="213"/>
        <v>0</v>
      </c>
      <c r="G172">
        <f t="shared" si="213"/>
        <v>0</v>
      </c>
      <c r="H172">
        <f t="shared" si="213"/>
        <v>0</v>
      </c>
      <c r="K172" s="2" t="str">
        <f t="shared" si="213"/>
        <v>Medically Attended for RSV</v>
      </c>
      <c r="L172" s="54">
        <f t="shared" si="213"/>
        <v>10685.68693446687</v>
      </c>
      <c r="M172">
        <f t="shared" si="213"/>
        <v>0</v>
      </c>
      <c r="N172" s="11">
        <f t="shared" si="213"/>
        <v>0</v>
      </c>
      <c r="O172" s="2" t="str">
        <f t="shared" si="213"/>
        <v>p4b</v>
      </c>
      <c r="P172" s="61">
        <f t="shared" si="213"/>
        <v>0.66577963120654016</v>
      </c>
      <c r="Q172" s="321">
        <f t="shared" si="213"/>
        <v>0.57007473659360985</v>
      </c>
      <c r="R172" s="321">
        <f t="shared" si="213"/>
        <v>0.76178128518261112</v>
      </c>
      <c r="S172">
        <f t="shared" si="213"/>
        <v>0</v>
      </c>
      <c r="T172">
        <f t="shared" si="213"/>
        <v>0</v>
      </c>
      <c r="U172">
        <f t="shared" si="213"/>
        <v>0</v>
      </c>
      <c r="V172">
        <f t="shared" si="213"/>
        <v>0</v>
      </c>
      <c r="AB172">
        <f t="shared" ref="AB172:AI172" si="214">AB82</f>
        <v>0</v>
      </c>
      <c r="AC172">
        <f t="shared" si="214"/>
        <v>0</v>
      </c>
      <c r="AD172">
        <f t="shared" si="214"/>
        <v>0</v>
      </c>
      <c r="AE172">
        <f t="shared" si="214"/>
        <v>0</v>
      </c>
      <c r="AF172">
        <f t="shared" si="214"/>
        <v>0</v>
      </c>
      <c r="AG172">
        <f t="shared" si="214"/>
        <v>0</v>
      </c>
      <c r="AH172">
        <f t="shared" si="214"/>
        <v>0</v>
      </c>
      <c r="AI172">
        <f t="shared" si="214"/>
        <v>0</v>
      </c>
      <c r="AL172" s="2" t="str">
        <f t="shared" ref="AL172:AW172" si="215">AL82</f>
        <v>Medically Attended for RSV</v>
      </c>
      <c r="AM172" s="54">
        <f t="shared" si="215"/>
        <v>4385.8668060465307</v>
      </c>
      <c r="AN172">
        <f t="shared" si="215"/>
        <v>0</v>
      </c>
      <c r="AO172" s="11">
        <f t="shared" si="215"/>
        <v>0</v>
      </c>
      <c r="AP172" s="2" t="str">
        <f t="shared" si="215"/>
        <v>p4b</v>
      </c>
      <c r="AQ172" s="61">
        <f t="shared" si="215"/>
        <v>0.31053614585902045</v>
      </c>
      <c r="AR172" s="321">
        <f t="shared" si="215"/>
        <v>0.26591697695494337</v>
      </c>
      <c r="AS172" s="321">
        <f t="shared" si="215"/>
        <v>0.35520195010542543</v>
      </c>
      <c r="AT172">
        <f t="shared" si="215"/>
        <v>0</v>
      </c>
      <c r="AU172">
        <f t="shared" si="215"/>
        <v>0</v>
      </c>
      <c r="AV172">
        <f t="shared" si="215"/>
        <v>0</v>
      </c>
      <c r="AW172">
        <f t="shared" si="215"/>
        <v>0</v>
      </c>
    </row>
    <row r="173" spans="1:49" x14ac:dyDescent="0.3">
      <c r="A173">
        <f t="shared" ref="A173:V173" si="216">A83</f>
        <v>0</v>
      </c>
      <c r="B173">
        <f t="shared" si="216"/>
        <v>0</v>
      </c>
      <c r="C173">
        <f t="shared" si="216"/>
        <v>0</v>
      </c>
      <c r="D173">
        <f t="shared" si="216"/>
        <v>0</v>
      </c>
      <c r="E173">
        <f t="shared" si="216"/>
        <v>0</v>
      </c>
      <c r="F173">
        <f t="shared" si="216"/>
        <v>0</v>
      </c>
      <c r="G173">
        <f t="shared" si="216"/>
        <v>0</v>
      </c>
      <c r="H173">
        <f t="shared" si="216"/>
        <v>0</v>
      </c>
      <c r="I173">
        <f t="shared" si="216"/>
        <v>0</v>
      </c>
      <c r="J173">
        <f t="shared" si="216"/>
        <v>0</v>
      </c>
      <c r="K173" s="14" t="str">
        <f t="shared" si="216"/>
        <v>low:</v>
      </c>
      <c r="L173" s="28">
        <f t="shared" si="216"/>
        <v>9123.2943610406746</v>
      </c>
      <c r="M173">
        <f t="shared" si="216"/>
        <v>0</v>
      </c>
      <c r="N173" s="11">
        <f t="shared" si="216"/>
        <v>0</v>
      </c>
      <c r="O173" s="2">
        <f t="shared" si="216"/>
        <v>0</v>
      </c>
      <c r="P173">
        <f t="shared" si="216"/>
        <v>0</v>
      </c>
      <c r="Q173" s="322">
        <f t="shared" si="216"/>
        <v>0</v>
      </c>
      <c r="R173" s="322">
        <f t="shared" si="216"/>
        <v>0</v>
      </c>
      <c r="S173">
        <f t="shared" si="216"/>
        <v>0</v>
      </c>
      <c r="T173">
        <f t="shared" si="216"/>
        <v>0</v>
      </c>
      <c r="U173">
        <f t="shared" si="216"/>
        <v>0</v>
      </c>
      <c r="V173">
        <f t="shared" si="216"/>
        <v>0</v>
      </c>
      <c r="AB173">
        <f t="shared" ref="AB173:AW173" si="217">AB83</f>
        <v>0</v>
      </c>
      <c r="AC173">
        <f t="shared" si="217"/>
        <v>0</v>
      </c>
      <c r="AD173">
        <f t="shared" si="217"/>
        <v>0</v>
      </c>
      <c r="AE173">
        <f t="shared" si="217"/>
        <v>0</v>
      </c>
      <c r="AF173">
        <f t="shared" si="217"/>
        <v>0</v>
      </c>
      <c r="AG173">
        <f t="shared" si="217"/>
        <v>0</v>
      </c>
      <c r="AH173">
        <f t="shared" si="217"/>
        <v>0</v>
      </c>
      <c r="AI173">
        <f t="shared" si="217"/>
        <v>0</v>
      </c>
      <c r="AJ173">
        <f t="shared" si="217"/>
        <v>0</v>
      </c>
      <c r="AK173">
        <f t="shared" si="217"/>
        <v>0</v>
      </c>
      <c r="AL173" s="14" t="str">
        <f t="shared" si="217"/>
        <v>low:</v>
      </c>
      <c r="AM173" s="28">
        <f t="shared" si="217"/>
        <v>3683.3458430439478</v>
      </c>
      <c r="AN173">
        <f t="shared" si="217"/>
        <v>0</v>
      </c>
      <c r="AO173" s="11">
        <f t="shared" si="217"/>
        <v>0</v>
      </c>
      <c r="AP173" s="2">
        <f t="shared" si="217"/>
        <v>0</v>
      </c>
      <c r="AQ173">
        <f t="shared" si="217"/>
        <v>0</v>
      </c>
      <c r="AR173" s="322">
        <f t="shared" si="217"/>
        <v>0</v>
      </c>
      <c r="AS173" s="322">
        <f t="shared" si="217"/>
        <v>0</v>
      </c>
      <c r="AT173">
        <f t="shared" si="217"/>
        <v>0</v>
      </c>
      <c r="AU173">
        <f t="shared" si="217"/>
        <v>0</v>
      </c>
      <c r="AV173">
        <f t="shared" si="217"/>
        <v>0</v>
      </c>
      <c r="AW173">
        <f t="shared" si="217"/>
        <v>0</v>
      </c>
    </row>
    <row r="174" spans="1:49" x14ac:dyDescent="0.3">
      <c r="A174">
        <f t="shared" ref="A174:V174" si="218">A84</f>
        <v>0</v>
      </c>
      <c r="B174">
        <f t="shared" si="218"/>
        <v>0</v>
      </c>
      <c r="C174">
        <f t="shared" si="218"/>
        <v>0</v>
      </c>
      <c r="D174">
        <f t="shared" si="218"/>
        <v>0</v>
      </c>
      <c r="E174">
        <f t="shared" si="218"/>
        <v>0</v>
      </c>
      <c r="F174">
        <f t="shared" si="218"/>
        <v>0</v>
      </c>
      <c r="G174">
        <f t="shared" si="218"/>
        <v>0</v>
      </c>
      <c r="H174">
        <f t="shared" si="218"/>
        <v>0</v>
      </c>
      <c r="I174">
        <f t="shared" si="218"/>
        <v>0</v>
      </c>
      <c r="J174">
        <f t="shared" si="218"/>
        <v>0</v>
      </c>
      <c r="K174" s="285" t="str">
        <f t="shared" si="218"/>
        <v>high:</v>
      </c>
      <c r="L174" s="28">
        <f t="shared" si="218"/>
        <v>12258.475903544551</v>
      </c>
      <c r="M174">
        <f t="shared" si="218"/>
        <v>0</v>
      </c>
      <c r="N174" s="18"/>
      <c r="O174" s="12" t="str">
        <f t="shared" si="218"/>
        <v>Hospitalized</v>
      </c>
      <c r="P174" s="30">
        <f t="shared" si="218"/>
        <v>685.88530119954726</v>
      </c>
      <c r="Q174" s="320">
        <f t="shared" si="218"/>
        <v>728.34957699579286</v>
      </c>
      <c r="R174" s="320">
        <f t="shared" si="218"/>
        <v>653.81742105478645</v>
      </c>
      <c r="S174">
        <f t="shared" si="218"/>
        <v>0</v>
      </c>
      <c r="T174">
        <f t="shared" si="218"/>
        <v>0</v>
      </c>
      <c r="U174">
        <f t="shared" si="218"/>
        <v>0</v>
      </c>
      <c r="V174">
        <f t="shared" si="218"/>
        <v>0</v>
      </c>
      <c r="AB174">
        <f t="shared" ref="AB174:AN174" si="219">AB84</f>
        <v>0</v>
      </c>
      <c r="AC174">
        <f t="shared" si="219"/>
        <v>0</v>
      </c>
      <c r="AD174">
        <f t="shared" si="219"/>
        <v>0</v>
      </c>
      <c r="AE174">
        <f t="shared" si="219"/>
        <v>0</v>
      </c>
      <c r="AF174">
        <f t="shared" si="219"/>
        <v>0</v>
      </c>
      <c r="AG174">
        <f t="shared" si="219"/>
        <v>0</v>
      </c>
      <c r="AH174">
        <f t="shared" si="219"/>
        <v>0</v>
      </c>
      <c r="AI174">
        <f t="shared" si="219"/>
        <v>0</v>
      </c>
      <c r="AJ174">
        <f t="shared" si="219"/>
        <v>0</v>
      </c>
      <c r="AK174">
        <f t="shared" si="219"/>
        <v>0</v>
      </c>
      <c r="AL174" s="285" t="str">
        <f t="shared" si="219"/>
        <v>high:</v>
      </c>
      <c r="AM174" s="28">
        <f t="shared" si="219"/>
        <v>5104.2081007887364</v>
      </c>
      <c r="AN174">
        <f t="shared" si="219"/>
        <v>0</v>
      </c>
      <c r="AO174" s="18"/>
      <c r="AP174" s="12" t="str">
        <f t="shared" ref="AP174:AW174" si="220">AP84</f>
        <v>Hospitalized</v>
      </c>
      <c r="AQ174" s="30">
        <f t="shared" si="220"/>
        <v>165.45021512134358</v>
      </c>
      <c r="AR174" s="320">
        <f t="shared" si="220"/>
        <v>137.21703795424528</v>
      </c>
      <c r="AS174" s="320">
        <f t="shared" si="220"/>
        <v>185.71531027535542</v>
      </c>
      <c r="AT174">
        <f t="shared" si="220"/>
        <v>0</v>
      </c>
      <c r="AU174">
        <f t="shared" si="220"/>
        <v>0</v>
      </c>
      <c r="AV174">
        <f t="shared" si="220"/>
        <v>0</v>
      </c>
      <c r="AW174">
        <f t="shared" si="220"/>
        <v>0</v>
      </c>
    </row>
    <row r="175" spans="1:49" x14ac:dyDescent="0.3">
      <c r="A175">
        <f t="shared" ref="A175:V175" si="221">A85</f>
        <v>0</v>
      </c>
      <c r="B175">
        <f t="shared" si="221"/>
        <v>0</v>
      </c>
      <c r="C175">
        <f t="shared" si="221"/>
        <v>0</v>
      </c>
      <c r="D175">
        <f t="shared" si="221"/>
        <v>0</v>
      </c>
      <c r="E175">
        <f t="shared" si="221"/>
        <v>0</v>
      </c>
      <c r="F175">
        <f t="shared" si="221"/>
        <v>0</v>
      </c>
      <c r="G175">
        <f t="shared" si="221"/>
        <v>0</v>
      </c>
      <c r="H175">
        <f t="shared" si="221"/>
        <v>0</v>
      </c>
      <c r="I175" s="22">
        <f t="shared" si="221"/>
        <v>0</v>
      </c>
      <c r="J175">
        <f t="shared" si="221"/>
        <v>0</v>
      </c>
      <c r="K175">
        <f t="shared" si="221"/>
        <v>0</v>
      </c>
      <c r="L175">
        <f t="shared" si="221"/>
        <v>0</v>
      </c>
      <c r="M175">
        <f t="shared" si="221"/>
        <v>0</v>
      </c>
      <c r="N175">
        <f t="shared" si="221"/>
        <v>0</v>
      </c>
      <c r="O175" s="2" t="str">
        <f t="shared" si="221"/>
        <v>p4c</v>
      </c>
      <c r="P175" s="61">
        <f t="shared" si="221"/>
        <v>0.17737078858496569</v>
      </c>
      <c r="Q175" s="321">
        <f t="shared" si="221"/>
        <v>0.18835210291186108</v>
      </c>
      <c r="R175" s="321">
        <f t="shared" si="221"/>
        <v>0.16907799505290311</v>
      </c>
      <c r="S175">
        <f t="shared" si="221"/>
        <v>0</v>
      </c>
      <c r="T175">
        <f t="shared" si="221"/>
        <v>0</v>
      </c>
      <c r="U175">
        <f t="shared" si="221"/>
        <v>0</v>
      </c>
      <c r="V175">
        <f t="shared" si="221"/>
        <v>0</v>
      </c>
      <c r="AB175">
        <f t="shared" ref="AB175:AW175" si="222">AB85</f>
        <v>0</v>
      </c>
      <c r="AC175">
        <f t="shared" si="222"/>
        <v>0</v>
      </c>
      <c r="AD175">
        <f t="shared" si="222"/>
        <v>0</v>
      </c>
      <c r="AE175">
        <f t="shared" si="222"/>
        <v>0</v>
      </c>
      <c r="AF175">
        <f t="shared" si="222"/>
        <v>0</v>
      </c>
      <c r="AG175">
        <f t="shared" si="222"/>
        <v>0</v>
      </c>
      <c r="AH175">
        <f t="shared" si="222"/>
        <v>0</v>
      </c>
      <c r="AI175">
        <f t="shared" si="222"/>
        <v>0</v>
      </c>
      <c r="AJ175" s="22">
        <f t="shared" si="222"/>
        <v>0</v>
      </c>
      <c r="AK175">
        <f t="shared" si="222"/>
        <v>0</v>
      </c>
      <c r="AL175">
        <f t="shared" si="222"/>
        <v>0</v>
      </c>
      <c r="AM175">
        <f t="shared" si="222"/>
        <v>0</v>
      </c>
      <c r="AN175">
        <f t="shared" si="222"/>
        <v>0</v>
      </c>
      <c r="AO175">
        <f t="shared" si="222"/>
        <v>0</v>
      </c>
      <c r="AP175" s="2" t="str">
        <f t="shared" si="222"/>
        <v>p4c</v>
      </c>
      <c r="AQ175" s="61">
        <f t="shared" si="222"/>
        <v>4.2785630594942822E-2</v>
      </c>
      <c r="AR175" s="321">
        <f t="shared" si="222"/>
        <v>3.5484496003445942E-2</v>
      </c>
      <c r="AS175" s="321">
        <f t="shared" si="222"/>
        <v>4.8026209306762609E-2</v>
      </c>
      <c r="AT175">
        <f t="shared" si="222"/>
        <v>0</v>
      </c>
      <c r="AU175">
        <f t="shared" si="222"/>
        <v>0</v>
      </c>
      <c r="AV175">
        <f t="shared" si="222"/>
        <v>0</v>
      </c>
      <c r="AW175">
        <f t="shared" si="222"/>
        <v>0</v>
      </c>
    </row>
    <row r="176" spans="1:49" x14ac:dyDescent="0.3">
      <c r="A176">
        <f t="shared" ref="A176:V176" si="223">A86</f>
        <v>0</v>
      </c>
      <c r="B176">
        <f t="shared" si="223"/>
        <v>0</v>
      </c>
      <c r="C176">
        <f t="shared" si="223"/>
        <v>0</v>
      </c>
      <c r="D176">
        <f t="shared" si="223"/>
        <v>0</v>
      </c>
      <c r="E176">
        <f t="shared" si="223"/>
        <v>0</v>
      </c>
      <c r="F176">
        <f t="shared" si="223"/>
        <v>0</v>
      </c>
      <c r="G176">
        <f t="shared" si="223"/>
        <v>0</v>
      </c>
      <c r="H176">
        <f t="shared" si="223"/>
        <v>0</v>
      </c>
      <c r="I176">
        <f t="shared" si="223"/>
        <v>0</v>
      </c>
      <c r="J176">
        <f t="shared" si="223"/>
        <v>0</v>
      </c>
      <c r="K176">
        <f t="shared" si="223"/>
        <v>0</v>
      </c>
      <c r="L176">
        <f t="shared" si="223"/>
        <v>0</v>
      </c>
      <c r="M176">
        <f t="shared" si="223"/>
        <v>0</v>
      </c>
      <c r="N176">
        <f t="shared" si="223"/>
        <v>0</v>
      </c>
      <c r="O176">
        <f t="shared" si="223"/>
        <v>0</v>
      </c>
      <c r="P176">
        <f t="shared" si="223"/>
        <v>0</v>
      </c>
      <c r="Q176">
        <f t="shared" si="223"/>
        <v>0</v>
      </c>
      <c r="R176">
        <f t="shared" si="223"/>
        <v>0</v>
      </c>
      <c r="S176">
        <f t="shared" si="223"/>
        <v>0</v>
      </c>
      <c r="T176">
        <f t="shared" si="223"/>
        <v>0</v>
      </c>
      <c r="U176">
        <f t="shared" si="223"/>
        <v>0</v>
      </c>
      <c r="V176">
        <f t="shared" si="223"/>
        <v>0</v>
      </c>
      <c r="AB176">
        <f t="shared" ref="AB176:AW176" si="224">AB86</f>
        <v>0</v>
      </c>
      <c r="AC176">
        <f t="shared" si="224"/>
        <v>0</v>
      </c>
      <c r="AD176">
        <f t="shared" si="224"/>
        <v>0</v>
      </c>
      <c r="AE176">
        <f t="shared" si="224"/>
        <v>0</v>
      </c>
      <c r="AF176">
        <f t="shared" si="224"/>
        <v>0</v>
      </c>
      <c r="AG176">
        <f t="shared" si="224"/>
        <v>0</v>
      </c>
      <c r="AH176">
        <f t="shared" si="224"/>
        <v>0</v>
      </c>
      <c r="AI176">
        <f t="shared" si="224"/>
        <v>0</v>
      </c>
      <c r="AJ176">
        <f t="shared" si="224"/>
        <v>0</v>
      </c>
      <c r="AK176">
        <f t="shared" si="224"/>
        <v>0</v>
      </c>
      <c r="AL176">
        <f t="shared" si="224"/>
        <v>0</v>
      </c>
      <c r="AM176">
        <f t="shared" si="224"/>
        <v>0</v>
      </c>
      <c r="AN176">
        <f t="shared" si="224"/>
        <v>0</v>
      </c>
      <c r="AO176">
        <f t="shared" si="224"/>
        <v>0</v>
      </c>
      <c r="AP176">
        <f t="shared" si="224"/>
        <v>0</v>
      </c>
      <c r="AQ176">
        <f t="shared" si="224"/>
        <v>0</v>
      </c>
      <c r="AR176">
        <f t="shared" si="224"/>
        <v>0</v>
      </c>
      <c r="AS176">
        <f t="shared" si="224"/>
        <v>0</v>
      </c>
      <c r="AT176">
        <f t="shared" si="224"/>
        <v>0</v>
      </c>
      <c r="AU176">
        <f t="shared" si="224"/>
        <v>0</v>
      </c>
      <c r="AV176">
        <f t="shared" si="224"/>
        <v>0</v>
      </c>
      <c r="AW176">
        <f t="shared" si="224"/>
        <v>0</v>
      </c>
    </row>
    <row r="177" spans="1:51" x14ac:dyDescent="0.3">
      <c r="A177">
        <f t="shared" ref="A177:V177" si="225">A87</f>
        <v>0</v>
      </c>
      <c r="B177">
        <f t="shared" si="225"/>
        <v>0</v>
      </c>
      <c r="C177">
        <f t="shared" si="225"/>
        <v>0</v>
      </c>
      <c r="D177">
        <f t="shared" si="225"/>
        <v>0</v>
      </c>
      <c r="E177">
        <f t="shared" si="225"/>
        <v>0</v>
      </c>
      <c r="F177">
        <f t="shared" si="225"/>
        <v>0</v>
      </c>
      <c r="G177">
        <f t="shared" si="225"/>
        <v>0</v>
      </c>
      <c r="H177">
        <f t="shared" si="225"/>
        <v>0</v>
      </c>
      <c r="I177">
        <f t="shared" si="225"/>
        <v>0</v>
      </c>
      <c r="J177">
        <f t="shared" si="225"/>
        <v>0</v>
      </c>
      <c r="K177">
        <f t="shared" si="225"/>
        <v>0</v>
      </c>
      <c r="L177">
        <f t="shared" si="225"/>
        <v>0</v>
      </c>
      <c r="M177">
        <f t="shared" si="225"/>
        <v>0</v>
      </c>
      <c r="N177">
        <f t="shared" si="225"/>
        <v>0</v>
      </c>
      <c r="O177">
        <f t="shared" si="225"/>
        <v>0</v>
      </c>
      <c r="P177">
        <f t="shared" si="225"/>
        <v>0</v>
      </c>
      <c r="Q177">
        <f t="shared" si="225"/>
        <v>0</v>
      </c>
      <c r="R177">
        <f t="shared" si="225"/>
        <v>0</v>
      </c>
      <c r="S177">
        <f t="shared" si="225"/>
        <v>0</v>
      </c>
      <c r="T177">
        <f t="shared" si="225"/>
        <v>0</v>
      </c>
      <c r="U177">
        <f t="shared" si="225"/>
        <v>0</v>
      </c>
      <c r="V177">
        <f t="shared" si="225"/>
        <v>0</v>
      </c>
      <c r="AB177">
        <f t="shared" ref="AB177:AW177" si="226">AB87</f>
        <v>0</v>
      </c>
      <c r="AC177">
        <f t="shared" si="226"/>
        <v>0</v>
      </c>
      <c r="AD177">
        <f t="shared" si="226"/>
        <v>0</v>
      </c>
      <c r="AE177">
        <f t="shared" si="226"/>
        <v>0</v>
      </c>
      <c r="AF177">
        <f t="shared" si="226"/>
        <v>0</v>
      </c>
      <c r="AG177">
        <f t="shared" si="226"/>
        <v>0</v>
      </c>
      <c r="AH177">
        <f t="shared" si="226"/>
        <v>0</v>
      </c>
      <c r="AI177">
        <f t="shared" si="226"/>
        <v>0</v>
      </c>
      <c r="AJ177">
        <f t="shared" si="226"/>
        <v>0</v>
      </c>
      <c r="AK177">
        <f t="shared" si="226"/>
        <v>0</v>
      </c>
      <c r="AL177">
        <f t="shared" si="226"/>
        <v>0</v>
      </c>
      <c r="AM177">
        <f t="shared" si="226"/>
        <v>0</v>
      </c>
      <c r="AN177">
        <f t="shared" si="226"/>
        <v>0</v>
      </c>
      <c r="AO177">
        <f t="shared" si="226"/>
        <v>0</v>
      </c>
      <c r="AP177">
        <f t="shared" si="226"/>
        <v>0</v>
      </c>
      <c r="AQ177">
        <f t="shared" si="226"/>
        <v>0</v>
      </c>
      <c r="AR177">
        <f t="shared" si="226"/>
        <v>0</v>
      </c>
      <c r="AS177">
        <f t="shared" si="226"/>
        <v>0</v>
      </c>
      <c r="AT177">
        <f t="shared" si="226"/>
        <v>0</v>
      </c>
      <c r="AU177">
        <f t="shared" si="226"/>
        <v>0</v>
      </c>
      <c r="AV177">
        <f t="shared" si="226"/>
        <v>0</v>
      </c>
      <c r="AW177">
        <f t="shared" si="226"/>
        <v>0</v>
      </c>
    </row>
    <row r="178" spans="1:51" x14ac:dyDescent="0.3">
      <c r="A178">
        <f t="shared" ref="A178:V178" si="227">A88</f>
        <v>0</v>
      </c>
      <c r="B178">
        <f t="shared" si="227"/>
        <v>0</v>
      </c>
      <c r="C178">
        <f t="shared" si="227"/>
        <v>0</v>
      </c>
      <c r="D178">
        <f t="shared" si="227"/>
        <v>0</v>
      </c>
      <c r="E178">
        <f t="shared" si="227"/>
        <v>0</v>
      </c>
      <c r="F178">
        <f t="shared" si="227"/>
        <v>0</v>
      </c>
      <c r="G178">
        <f t="shared" si="227"/>
        <v>0</v>
      </c>
      <c r="H178">
        <f t="shared" si="227"/>
        <v>0</v>
      </c>
      <c r="I178">
        <f t="shared" si="227"/>
        <v>0</v>
      </c>
      <c r="J178">
        <f t="shared" si="227"/>
        <v>0</v>
      </c>
      <c r="K178">
        <f t="shared" si="227"/>
        <v>0</v>
      </c>
      <c r="L178">
        <f t="shared" si="227"/>
        <v>0</v>
      </c>
      <c r="M178">
        <f t="shared" si="227"/>
        <v>0</v>
      </c>
      <c r="N178">
        <f t="shared" si="227"/>
        <v>0</v>
      </c>
      <c r="O178">
        <f t="shared" si="227"/>
        <v>0</v>
      </c>
      <c r="P178">
        <f t="shared" si="227"/>
        <v>0</v>
      </c>
      <c r="Q178">
        <f t="shared" si="227"/>
        <v>0</v>
      </c>
      <c r="R178">
        <f t="shared" si="227"/>
        <v>0</v>
      </c>
      <c r="S178">
        <f t="shared" si="227"/>
        <v>0</v>
      </c>
      <c r="T178">
        <f t="shared" si="227"/>
        <v>0</v>
      </c>
      <c r="U178">
        <f t="shared" si="227"/>
        <v>0</v>
      </c>
      <c r="V178">
        <f t="shared" si="227"/>
        <v>0</v>
      </c>
      <c r="AB178">
        <f t="shared" ref="AB178:AW178" si="228">AB88</f>
        <v>0</v>
      </c>
      <c r="AC178">
        <f t="shared" si="228"/>
        <v>0</v>
      </c>
      <c r="AD178">
        <f t="shared" si="228"/>
        <v>0</v>
      </c>
      <c r="AE178">
        <f t="shared" si="228"/>
        <v>0</v>
      </c>
      <c r="AF178">
        <f t="shared" si="228"/>
        <v>0</v>
      </c>
      <c r="AG178">
        <f t="shared" si="228"/>
        <v>0</v>
      </c>
      <c r="AH178">
        <f t="shared" si="228"/>
        <v>0</v>
      </c>
      <c r="AI178">
        <f t="shared" si="228"/>
        <v>0</v>
      </c>
      <c r="AJ178">
        <f t="shared" si="228"/>
        <v>0</v>
      </c>
      <c r="AK178">
        <f t="shared" si="228"/>
        <v>0</v>
      </c>
      <c r="AL178">
        <f t="shared" si="228"/>
        <v>0</v>
      </c>
      <c r="AM178">
        <f t="shared" si="228"/>
        <v>0</v>
      </c>
      <c r="AN178">
        <f t="shared" si="228"/>
        <v>0</v>
      </c>
      <c r="AO178">
        <f t="shared" si="228"/>
        <v>0</v>
      </c>
      <c r="AP178">
        <f t="shared" si="228"/>
        <v>0</v>
      </c>
      <c r="AQ178">
        <f t="shared" si="228"/>
        <v>0</v>
      </c>
      <c r="AR178">
        <f t="shared" si="228"/>
        <v>0</v>
      </c>
      <c r="AS178">
        <f t="shared" si="228"/>
        <v>0</v>
      </c>
      <c r="AT178">
        <f t="shared" si="228"/>
        <v>0</v>
      </c>
      <c r="AU178">
        <f t="shared" si="228"/>
        <v>0</v>
      </c>
      <c r="AV178">
        <f t="shared" si="228"/>
        <v>0</v>
      </c>
      <c r="AW178">
        <f t="shared" si="228"/>
        <v>0</v>
      </c>
    </row>
    <row r="179" spans="1:51" x14ac:dyDescent="0.3">
      <c r="A179" t="str">
        <f t="shared" ref="A179:V179" si="229">A89</f>
        <v>sum check row</v>
      </c>
      <c r="B179">
        <f t="shared" si="229"/>
        <v>0</v>
      </c>
      <c r="C179">
        <f t="shared" si="229"/>
        <v>0</v>
      </c>
      <c r="D179">
        <f t="shared" si="229"/>
        <v>0</v>
      </c>
      <c r="E179">
        <f t="shared" si="229"/>
        <v>0</v>
      </c>
      <c r="F179" t="str">
        <f t="shared" si="229"/>
        <v>Bottom Branch:</v>
      </c>
      <c r="G179">
        <f t="shared" si="229"/>
        <v>0</v>
      </c>
      <c r="H179" s="2" t="str">
        <f t="shared" si="229"/>
        <v>sum check</v>
      </c>
      <c r="I179" s="21">
        <f t="shared" si="229"/>
        <v>19334.787499999999</v>
      </c>
      <c r="J179" s="28">
        <f t="shared" si="229"/>
        <v>0</v>
      </c>
      <c r="K179" s="2">
        <f t="shared" si="229"/>
        <v>0</v>
      </c>
      <c r="L179" s="21">
        <f t="shared" si="229"/>
        <v>0</v>
      </c>
      <c r="M179" s="28">
        <f t="shared" si="229"/>
        <v>0</v>
      </c>
      <c r="N179" s="28">
        <f t="shared" si="229"/>
        <v>0</v>
      </c>
      <c r="O179" s="55" t="str">
        <f t="shared" si="229"/>
        <v>sum check</v>
      </c>
      <c r="P179" s="56">
        <f t="shared" si="229"/>
        <v>10685.686934466872</v>
      </c>
      <c r="Q179" s="56">
        <f t="shared" si="229"/>
        <v>0</v>
      </c>
      <c r="R179">
        <f t="shared" si="229"/>
        <v>0</v>
      </c>
      <c r="S179" s="55" t="str">
        <f t="shared" si="229"/>
        <v>sum check</v>
      </c>
      <c r="T179" s="56">
        <f t="shared" si="229"/>
        <v>15303.239798254239</v>
      </c>
      <c r="U179">
        <f t="shared" si="229"/>
        <v>0</v>
      </c>
      <c r="V179">
        <f t="shared" si="229"/>
        <v>0</v>
      </c>
      <c r="AB179" t="str">
        <f t="shared" ref="AB179:AW179" si="230">AB89</f>
        <v>sum check row</v>
      </c>
      <c r="AC179">
        <f t="shared" si="230"/>
        <v>0</v>
      </c>
      <c r="AD179">
        <f t="shared" si="230"/>
        <v>0</v>
      </c>
      <c r="AE179">
        <f t="shared" si="230"/>
        <v>0</v>
      </c>
      <c r="AF179">
        <f t="shared" si="230"/>
        <v>0</v>
      </c>
      <c r="AG179" t="str">
        <f t="shared" si="230"/>
        <v>Bottom Branch:</v>
      </c>
      <c r="AH179">
        <f t="shared" si="230"/>
        <v>0</v>
      </c>
      <c r="AI179" s="2" t="str">
        <f t="shared" si="230"/>
        <v>sum check</v>
      </c>
      <c r="AJ179" s="21">
        <f t="shared" si="230"/>
        <v>19334.787499999999</v>
      </c>
      <c r="AK179" s="28">
        <f t="shared" si="230"/>
        <v>0</v>
      </c>
      <c r="AL179" s="2">
        <f t="shared" si="230"/>
        <v>0</v>
      </c>
      <c r="AM179" s="21">
        <f t="shared" si="230"/>
        <v>0</v>
      </c>
      <c r="AN179" s="28">
        <f t="shared" si="230"/>
        <v>0</v>
      </c>
      <c r="AO179" s="28">
        <f t="shared" si="230"/>
        <v>0</v>
      </c>
      <c r="AP179" s="55" t="str">
        <f t="shared" si="230"/>
        <v>sum check</v>
      </c>
      <c r="AQ179" s="56">
        <f t="shared" si="230"/>
        <v>4385.8668060465316</v>
      </c>
      <c r="AR179" s="56">
        <f t="shared" si="230"/>
        <v>0</v>
      </c>
      <c r="AS179">
        <f t="shared" si="230"/>
        <v>0</v>
      </c>
      <c r="AT179" s="55" t="str">
        <f t="shared" si="230"/>
        <v>sum check</v>
      </c>
      <c r="AU179" s="56">
        <f t="shared" si="230"/>
        <v>3780.5974516536899</v>
      </c>
      <c r="AV179">
        <f t="shared" si="230"/>
        <v>0</v>
      </c>
      <c r="AW179">
        <f t="shared" si="230"/>
        <v>0</v>
      </c>
    </row>
    <row r="181" spans="1:51" x14ac:dyDescent="0.3">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AB181" s="500"/>
      <c r="AC181" s="500"/>
      <c r="AD181" s="500"/>
      <c r="AE181" s="500"/>
      <c r="AF181" s="500"/>
      <c r="AG181" s="500"/>
      <c r="AH181" s="500"/>
      <c r="AI181" s="500"/>
      <c r="AJ181" s="500"/>
      <c r="AK181" s="500"/>
      <c r="AL181" s="500"/>
      <c r="AM181" s="500"/>
      <c r="AN181" s="500"/>
      <c r="AO181" s="500"/>
      <c r="AP181" s="500"/>
      <c r="AQ181" s="500"/>
      <c r="AR181" s="500"/>
      <c r="AS181" s="500"/>
      <c r="AT181" s="500"/>
      <c r="AU181" s="500"/>
      <c r="AV181" s="500"/>
      <c r="AW181" s="500"/>
      <c r="AX181" s="500"/>
      <c r="AY181" s="500"/>
    </row>
    <row r="182" spans="1:51" s="13" customFormat="1" ht="18.600000000000001" thickBot="1" x14ac:dyDescent="0.4">
      <c r="K182" s="239"/>
      <c r="AL182" s="239"/>
    </row>
    <row r="183" spans="1:51" ht="18.600000000000001" thickBot="1" x14ac:dyDescent="0.4">
      <c r="A183" s="349"/>
      <c r="B183" s="349" t="s">
        <v>183</v>
      </c>
      <c r="C183" s="349"/>
      <c r="D183" s="1106"/>
      <c r="E183" s="1106"/>
      <c r="F183" s="1106"/>
      <c r="G183" s="1106"/>
      <c r="H183" s="1106"/>
      <c r="I183" s="1106"/>
      <c r="J183" s="1106"/>
      <c r="K183" s="1106"/>
      <c r="L183" s="1106"/>
      <c r="M183" s="1106"/>
      <c r="N183" s="1106"/>
      <c r="O183" s="1106"/>
      <c r="P183" s="1106"/>
      <c r="Q183" s="1106"/>
      <c r="R183" s="1106"/>
      <c r="S183" s="1106"/>
      <c r="T183" s="1106"/>
      <c r="U183" s="1106"/>
      <c r="V183" s="1106"/>
      <c r="W183" s="1106"/>
      <c r="AB183" s="588"/>
      <c r="AC183" s="588" t="s">
        <v>183</v>
      </c>
      <c r="AD183" s="588"/>
      <c r="AE183" s="1106"/>
      <c r="AF183" s="1106"/>
      <c r="AG183" s="1106"/>
      <c r="AH183" s="1106"/>
      <c r="AI183" s="1106"/>
      <c r="AJ183" s="1106"/>
      <c r="AK183" s="1106"/>
      <c r="AL183" s="1106"/>
      <c r="AM183" s="1106"/>
      <c r="AN183" s="1106"/>
      <c r="AO183" s="1106"/>
      <c r="AP183" s="1106"/>
      <c r="AQ183" s="1106"/>
      <c r="AR183" s="1106"/>
      <c r="AS183" s="1106"/>
      <c r="AT183" s="1106"/>
      <c r="AU183" s="1106"/>
      <c r="AV183" s="1106"/>
      <c r="AW183" s="1106"/>
      <c r="AX183" s="1106"/>
    </row>
    <row r="184" spans="1:51" x14ac:dyDescent="0.3">
      <c r="A184">
        <f t="shared" ref="A184:V184" si="231">A94</f>
        <v>0</v>
      </c>
      <c r="B184">
        <f t="shared" si="231"/>
        <v>0</v>
      </c>
      <c r="C184">
        <f t="shared" si="231"/>
        <v>0</v>
      </c>
      <c r="D184">
        <f t="shared" si="231"/>
        <v>0</v>
      </c>
      <c r="E184">
        <f t="shared" si="231"/>
        <v>0</v>
      </c>
      <c r="F184">
        <f t="shared" si="231"/>
        <v>0</v>
      </c>
      <c r="G184">
        <f t="shared" si="231"/>
        <v>0</v>
      </c>
      <c r="H184">
        <f t="shared" si="231"/>
        <v>0</v>
      </c>
      <c r="I184">
        <f t="shared" si="231"/>
        <v>0</v>
      </c>
      <c r="J184">
        <f t="shared" si="231"/>
        <v>0</v>
      </c>
      <c r="K184">
        <f t="shared" si="231"/>
        <v>0</v>
      </c>
      <c r="L184">
        <f t="shared" si="231"/>
        <v>0</v>
      </c>
      <c r="M184">
        <f t="shared" si="231"/>
        <v>0</v>
      </c>
      <c r="N184">
        <f t="shared" si="231"/>
        <v>0</v>
      </c>
      <c r="O184">
        <f t="shared" si="231"/>
        <v>0</v>
      </c>
      <c r="P184">
        <f t="shared" si="231"/>
        <v>0</v>
      </c>
      <c r="Q184">
        <f t="shared" si="231"/>
        <v>0</v>
      </c>
      <c r="R184">
        <f t="shared" si="231"/>
        <v>0</v>
      </c>
      <c r="S184">
        <f t="shared" si="231"/>
        <v>0</v>
      </c>
      <c r="T184">
        <f t="shared" si="231"/>
        <v>0</v>
      </c>
      <c r="U184">
        <f t="shared" si="231"/>
        <v>0</v>
      </c>
      <c r="V184">
        <f t="shared" si="231"/>
        <v>0</v>
      </c>
      <c r="AB184">
        <f t="shared" ref="AB184:AW184" si="232">AB94</f>
        <v>0</v>
      </c>
      <c r="AC184">
        <f t="shared" si="232"/>
        <v>0</v>
      </c>
      <c r="AD184">
        <f t="shared" si="232"/>
        <v>0</v>
      </c>
      <c r="AE184">
        <f t="shared" si="232"/>
        <v>0</v>
      </c>
      <c r="AF184">
        <f t="shared" si="232"/>
        <v>0</v>
      </c>
      <c r="AG184">
        <f t="shared" si="232"/>
        <v>0</v>
      </c>
      <c r="AH184">
        <f t="shared" si="232"/>
        <v>0</v>
      </c>
      <c r="AI184">
        <f t="shared" si="232"/>
        <v>0</v>
      </c>
      <c r="AJ184">
        <f t="shared" si="232"/>
        <v>0</v>
      </c>
      <c r="AK184">
        <f t="shared" si="232"/>
        <v>0</v>
      </c>
      <c r="AL184">
        <f t="shared" si="232"/>
        <v>0</v>
      </c>
      <c r="AM184">
        <f t="shared" si="232"/>
        <v>0</v>
      </c>
      <c r="AN184">
        <f t="shared" si="232"/>
        <v>0</v>
      </c>
      <c r="AO184">
        <f t="shared" si="232"/>
        <v>0</v>
      </c>
      <c r="AP184">
        <f t="shared" si="232"/>
        <v>0</v>
      </c>
      <c r="AQ184">
        <f t="shared" si="232"/>
        <v>0</v>
      </c>
      <c r="AR184">
        <f t="shared" si="232"/>
        <v>0</v>
      </c>
      <c r="AS184">
        <f t="shared" si="232"/>
        <v>0</v>
      </c>
      <c r="AT184">
        <f t="shared" si="232"/>
        <v>0</v>
      </c>
      <c r="AU184">
        <f t="shared" si="232"/>
        <v>0</v>
      </c>
      <c r="AV184">
        <f t="shared" si="232"/>
        <v>0</v>
      </c>
      <c r="AW184">
        <f t="shared" si="232"/>
        <v>0</v>
      </c>
    </row>
    <row r="185" spans="1:51" x14ac:dyDescent="0.3">
      <c r="A185">
        <f t="shared" ref="A185:V185" si="233">A95</f>
        <v>0</v>
      </c>
      <c r="B185">
        <f t="shared" si="233"/>
        <v>0</v>
      </c>
      <c r="C185">
        <f t="shared" si="233"/>
        <v>0</v>
      </c>
      <c r="D185">
        <f t="shared" si="233"/>
        <v>0</v>
      </c>
      <c r="E185">
        <f t="shared" si="233"/>
        <v>0</v>
      </c>
      <c r="F185">
        <f t="shared" si="233"/>
        <v>0</v>
      </c>
      <c r="G185">
        <f t="shared" si="233"/>
        <v>0</v>
      </c>
      <c r="H185">
        <f t="shared" si="233"/>
        <v>0</v>
      </c>
      <c r="I185">
        <f t="shared" si="233"/>
        <v>0</v>
      </c>
      <c r="J185">
        <f t="shared" si="233"/>
        <v>0</v>
      </c>
      <c r="K185">
        <f t="shared" si="233"/>
        <v>0</v>
      </c>
      <c r="L185">
        <f t="shared" si="233"/>
        <v>0</v>
      </c>
      <c r="M185">
        <f t="shared" si="233"/>
        <v>0</v>
      </c>
      <c r="N185">
        <f t="shared" si="233"/>
        <v>0</v>
      </c>
      <c r="O185">
        <f t="shared" si="233"/>
        <v>0</v>
      </c>
      <c r="P185">
        <f t="shared" si="233"/>
        <v>0</v>
      </c>
      <c r="Q185">
        <f t="shared" si="233"/>
        <v>0</v>
      </c>
      <c r="R185">
        <f t="shared" si="233"/>
        <v>0</v>
      </c>
      <c r="S185">
        <f t="shared" si="233"/>
        <v>0</v>
      </c>
      <c r="T185">
        <f t="shared" si="233"/>
        <v>0</v>
      </c>
      <c r="U185">
        <f t="shared" si="233"/>
        <v>0</v>
      </c>
      <c r="V185">
        <f t="shared" si="233"/>
        <v>0</v>
      </c>
      <c r="AB185">
        <f t="shared" ref="AB185:AW185" si="234">AB95</f>
        <v>0</v>
      </c>
      <c r="AC185">
        <f t="shared" si="234"/>
        <v>0</v>
      </c>
      <c r="AD185">
        <f t="shared" si="234"/>
        <v>0</v>
      </c>
      <c r="AE185">
        <f t="shared" si="234"/>
        <v>0</v>
      </c>
      <c r="AF185">
        <f t="shared" si="234"/>
        <v>0</v>
      </c>
      <c r="AG185">
        <f t="shared" si="234"/>
        <v>0</v>
      </c>
      <c r="AH185">
        <f t="shared" si="234"/>
        <v>0</v>
      </c>
      <c r="AI185">
        <f t="shared" si="234"/>
        <v>0</v>
      </c>
      <c r="AJ185">
        <f t="shared" si="234"/>
        <v>0</v>
      </c>
      <c r="AK185">
        <f t="shared" si="234"/>
        <v>0</v>
      </c>
      <c r="AL185">
        <f t="shared" si="234"/>
        <v>0</v>
      </c>
      <c r="AM185">
        <f t="shared" si="234"/>
        <v>0</v>
      </c>
      <c r="AN185">
        <f t="shared" si="234"/>
        <v>0</v>
      </c>
      <c r="AO185">
        <f t="shared" si="234"/>
        <v>0</v>
      </c>
      <c r="AP185">
        <f t="shared" si="234"/>
        <v>0</v>
      </c>
      <c r="AQ185">
        <f t="shared" si="234"/>
        <v>0</v>
      </c>
      <c r="AR185">
        <f t="shared" si="234"/>
        <v>0</v>
      </c>
      <c r="AS185">
        <f t="shared" si="234"/>
        <v>0</v>
      </c>
      <c r="AT185">
        <f t="shared" si="234"/>
        <v>0</v>
      </c>
      <c r="AU185">
        <f t="shared" si="234"/>
        <v>0</v>
      </c>
      <c r="AV185">
        <f t="shared" si="234"/>
        <v>0</v>
      </c>
      <c r="AW185">
        <f t="shared" si="234"/>
        <v>0</v>
      </c>
    </row>
    <row r="186" spans="1:51" x14ac:dyDescent="0.3">
      <c r="A186" t="str">
        <f t="shared" ref="A186:V186" si="235">A96</f>
        <v>sum check row</v>
      </c>
      <c r="B186">
        <f t="shared" si="235"/>
        <v>0</v>
      </c>
      <c r="C186">
        <f t="shared" si="235"/>
        <v>0</v>
      </c>
      <c r="D186">
        <f t="shared" si="235"/>
        <v>0</v>
      </c>
      <c r="E186">
        <f t="shared" si="235"/>
        <v>0</v>
      </c>
      <c r="F186">
        <f t="shared" si="235"/>
        <v>0</v>
      </c>
      <c r="G186">
        <f t="shared" si="235"/>
        <v>0</v>
      </c>
      <c r="H186">
        <f t="shared" si="235"/>
        <v>0</v>
      </c>
      <c r="I186">
        <f t="shared" si="235"/>
        <v>0</v>
      </c>
      <c r="J186">
        <f t="shared" si="235"/>
        <v>0</v>
      </c>
      <c r="K186">
        <f t="shared" si="235"/>
        <v>0</v>
      </c>
      <c r="L186">
        <f t="shared" si="235"/>
        <v>0</v>
      </c>
      <c r="M186">
        <f t="shared" si="235"/>
        <v>0</v>
      </c>
      <c r="N186" s="2">
        <f t="shared" si="235"/>
        <v>80996.836650783967</v>
      </c>
      <c r="O186" s="28">
        <f t="shared" si="235"/>
        <v>1109646.3407000001</v>
      </c>
      <c r="P186" s="19">
        <f t="shared" si="235"/>
        <v>0</v>
      </c>
      <c r="Q186" s="19">
        <f t="shared" si="235"/>
        <v>0</v>
      </c>
      <c r="R186">
        <f t="shared" si="235"/>
        <v>0</v>
      </c>
      <c r="S186" s="2" t="str">
        <f t="shared" si="235"/>
        <v>sum check</v>
      </c>
      <c r="T186" s="21">
        <f t="shared" si="235"/>
        <v>165600.66624278287</v>
      </c>
      <c r="U186">
        <f t="shared" si="235"/>
        <v>0</v>
      </c>
      <c r="V186">
        <f t="shared" si="235"/>
        <v>0</v>
      </c>
      <c r="AB186" t="str">
        <f t="shared" ref="AB186:AW186" si="236">AB96</f>
        <v>sum check row</v>
      </c>
      <c r="AC186">
        <f t="shared" si="236"/>
        <v>0</v>
      </c>
      <c r="AD186">
        <f t="shared" si="236"/>
        <v>0</v>
      </c>
      <c r="AE186">
        <f t="shared" si="236"/>
        <v>0</v>
      </c>
      <c r="AF186">
        <f t="shared" si="236"/>
        <v>0</v>
      </c>
      <c r="AG186">
        <f t="shared" si="236"/>
        <v>0</v>
      </c>
      <c r="AH186">
        <f t="shared" si="236"/>
        <v>0</v>
      </c>
      <c r="AI186">
        <f t="shared" si="236"/>
        <v>0</v>
      </c>
      <c r="AJ186">
        <f t="shared" si="236"/>
        <v>0</v>
      </c>
      <c r="AK186">
        <f t="shared" si="236"/>
        <v>0</v>
      </c>
      <c r="AL186">
        <f t="shared" si="236"/>
        <v>0</v>
      </c>
      <c r="AM186">
        <f t="shared" si="236"/>
        <v>0</v>
      </c>
      <c r="AN186">
        <f t="shared" si="236"/>
        <v>0</v>
      </c>
      <c r="AO186" s="2" t="str">
        <f t="shared" si="236"/>
        <v>sum check</v>
      </c>
      <c r="AP186" s="28">
        <f t="shared" si="236"/>
        <v>1109646.3407000001</v>
      </c>
      <c r="AQ186" s="19">
        <f t="shared" si="236"/>
        <v>0</v>
      </c>
      <c r="AR186" s="19">
        <f t="shared" si="236"/>
        <v>0</v>
      </c>
      <c r="AS186">
        <f t="shared" si="236"/>
        <v>0</v>
      </c>
      <c r="AT186" s="2" t="str">
        <f t="shared" si="236"/>
        <v>sum check</v>
      </c>
      <c r="AU186" s="21">
        <f t="shared" si="236"/>
        <v>83060.542075309306</v>
      </c>
      <c r="AV186">
        <f t="shared" si="236"/>
        <v>0</v>
      </c>
      <c r="AW186">
        <f t="shared" si="236"/>
        <v>0</v>
      </c>
    </row>
    <row r="187" spans="1:51" x14ac:dyDescent="0.3">
      <c r="A187">
        <f t="shared" ref="A187:T187" si="237">A97</f>
        <v>0</v>
      </c>
      <c r="B187">
        <f t="shared" si="237"/>
        <v>0</v>
      </c>
      <c r="C187">
        <f t="shared" si="237"/>
        <v>0</v>
      </c>
      <c r="D187">
        <f t="shared" si="237"/>
        <v>0</v>
      </c>
      <c r="E187">
        <f t="shared" si="237"/>
        <v>0</v>
      </c>
      <c r="F187">
        <f t="shared" si="237"/>
        <v>0</v>
      </c>
      <c r="G187">
        <f t="shared" si="237"/>
        <v>0</v>
      </c>
      <c r="H187">
        <f t="shared" si="237"/>
        <v>0</v>
      </c>
      <c r="I187">
        <f t="shared" si="237"/>
        <v>0</v>
      </c>
      <c r="J187">
        <f t="shared" si="237"/>
        <v>0</v>
      </c>
      <c r="K187">
        <f t="shared" si="237"/>
        <v>0</v>
      </c>
      <c r="L187">
        <f t="shared" si="237"/>
        <v>0</v>
      </c>
      <c r="M187">
        <f t="shared" si="237"/>
        <v>0</v>
      </c>
      <c r="N187">
        <f t="shared" si="237"/>
        <v>0</v>
      </c>
      <c r="O187">
        <f t="shared" si="237"/>
        <v>0</v>
      </c>
      <c r="P187">
        <f t="shared" si="237"/>
        <v>0</v>
      </c>
      <c r="Q187">
        <f t="shared" si="237"/>
        <v>0</v>
      </c>
      <c r="R187">
        <f t="shared" si="237"/>
        <v>0</v>
      </c>
      <c r="S187">
        <f t="shared" si="237"/>
        <v>0</v>
      </c>
      <c r="T187">
        <f t="shared" si="237"/>
        <v>0</v>
      </c>
      <c r="U187" s="1105" t="s">
        <v>184</v>
      </c>
      <c r="V187" s="1105"/>
      <c r="AB187">
        <f t="shared" ref="AB187:AU187" si="238">AB97</f>
        <v>0</v>
      </c>
      <c r="AC187">
        <f t="shared" si="238"/>
        <v>0</v>
      </c>
      <c r="AD187">
        <f t="shared" si="238"/>
        <v>0</v>
      </c>
      <c r="AE187">
        <f t="shared" si="238"/>
        <v>0</v>
      </c>
      <c r="AF187">
        <f t="shared" si="238"/>
        <v>0</v>
      </c>
      <c r="AG187">
        <f t="shared" si="238"/>
        <v>0</v>
      </c>
      <c r="AH187">
        <f t="shared" si="238"/>
        <v>0</v>
      </c>
      <c r="AI187">
        <f t="shared" si="238"/>
        <v>0</v>
      </c>
      <c r="AJ187">
        <f t="shared" si="238"/>
        <v>0</v>
      </c>
      <c r="AK187">
        <f t="shared" si="238"/>
        <v>0</v>
      </c>
      <c r="AL187">
        <f t="shared" si="238"/>
        <v>0</v>
      </c>
      <c r="AM187">
        <f t="shared" si="238"/>
        <v>0</v>
      </c>
      <c r="AN187">
        <f t="shared" si="238"/>
        <v>0</v>
      </c>
      <c r="AO187">
        <f t="shared" si="238"/>
        <v>0</v>
      </c>
      <c r="AP187">
        <f t="shared" si="238"/>
        <v>0</v>
      </c>
      <c r="AQ187">
        <f t="shared" si="238"/>
        <v>0</v>
      </c>
      <c r="AR187">
        <f t="shared" si="238"/>
        <v>0</v>
      </c>
      <c r="AS187">
        <f t="shared" si="238"/>
        <v>0</v>
      </c>
      <c r="AT187">
        <f t="shared" si="238"/>
        <v>0</v>
      </c>
      <c r="AU187">
        <f t="shared" si="238"/>
        <v>0</v>
      </c>
      <c r="AV187" s="1105" t="s">
        <v>184</v>
      </c>
      <c r="AW187" s="1105"/>
    </row>
    <row r="188" spans="1:51" x14ac:dyDescent="0.3">
      <c r="A188">
        <f t="shared" ref="A188:V188" si="239">A98</f>
        <v>0</v>
      </c>
      <c r="B188">
        <f t="shared" si="239"/>
        <v>0</v>
      </c>
      <c r="C188">
        <f t="shared" si="239"/>
        <v>0</v>
      </c>
      <c r="D188">
        <f t="shared" si="239"/>
        <v>0</v>
      </c>
      <c r="E188">
        <f t="shared" si="239"/>
        <v>0</v>
      </c>
      <c r="F188">
        <f t="shared" si="239"/>
        <v>0</v>
      </c>
      <c r="G188">
        <f t="shared" si="239"/>
        <v>0</v>
      </c>
      <c r="H188">
        <f t="shared" si="239"/>
        <v>0</v>
      </c>
      <c r="I188">
        <f t="shared" si="239"/>
        <v>0</v>
      </c>
      <c r="J188">
        <f t="shared" si="239"/>
        <v>0</v>
      </c>
      <c r="K188">
        <f t="shared" si="239"/>
        <v>0</v>
      </c>
      <c r="L188">
        <f t="shared" si="239"/>
        <v>0</v>
      </c>
      <c r="M188">
        <f t="shared" si="239"/>
        <v>0</v>
      </c>
      <c r="N188">
        <f t="shared" si="239"/>
        <v>0</v>
      </c>
      <c r="O188">
        <f t="shared" si="239"/>
        <v>0</v>
      </c>
      <c r="P188">
        <f t="shared" si="239"/>
        <v>0</v>
      </c>
      <c r="Q188">
        <f t="shared" si="239"/>
        <v>0</v>
      </c>
      <c r="R188">
        <f t="shared" si="239"/>
        <v>0</v>
      </c>
      <c r="S188">
        <f t="shared" si="239"/>
        <v>0</v>
      </c>
      <c r="T188" s="237" t="str">
        <f t="shared" si="239"/>
        <v>base</v>
      </c>
      <c r="U188" s="237" t="str">
        <f t="shared" si="239"/>
        <v>low</v>
      </c>
      <c r="V188" s="237" t="str">
        <f t="shared" si="239"/>
        <v>high</v>
      </c>
      <c r="AB188">
        <f t="shared" ref="AB188:AW188" si="240">AB98</f>
        <v>0</v>
      </c>
      <c r="AC188">
        <f t="shared" si="240"/>
        <v>0</v>
      </c>
      <c r="AD188">
        <f t="shared" si="240"/>
        <v>0</v>
      </c>
      <c r="AE188">
        <f t="shared" si="240"/>
        <v>0</v>
      </c>
      <c r="AF188">
        <f t="shared" si="240"/>
        <v>0</v>
      </c>
      <c r="AG188">
        <f t="shared" si="240"/>
        <v>0</v>
      </c>
      <c r="AH188">
        <f t="shared" si="240"/>
        <v>0</v>
      </c>
      <c r="AI188">
        <f t="shared" si="240"/>
        <v>0</v>
      </c>
      <c r="AJ188">
        <f t="shared" si="240"/>
        <v>0</v>
      </c>
      <c r="AK188">
        <f t="shared" si="240"/>
        <v>0</v>
      </c>
      <c r="AL188">
        <f t="shared" si="240"/>
        <v>0</v>
      </c>
      <c r="AM188">
        <f t="shared" si="240"/>
        <v>0</v>
      </c>
      <c r="AN188">
        <f t="shared" si="240"/>
        <v>0</v>
      </c>
      <c r="AO188">
        <f t="shared" si="240"/>
        <v>0</v>
      </c>
      <c r="AP188">
        <f t="shared" si="240"/>
        <v>0</v>
      </c>
      <c r="AQ188">
        <f t="shared" si="240"/>
        <v>0</v>
      </c>
      <c r="AR188">
        <f t="shared" si="240"/>
        <v>0</v>
      </c>
      <c r="AS188">
        <f t="shared" si="240"/>
        <v>0</v>
      </c>
      <c r="AT188">
        <f t="shared" si="240"/>
        <v>0</v>
      </c>
      <c r="AU188" s="589" t="str">
        <f t="shared" si="240"/>
        <v>base</v>
      </c>
      <c r="AV188" s="589" t="str">
        <f t="shared" si="240"/>
        <v>low</v>
      </c>
      <c r="AW188" s="589" t="str">
        <f t="shared" si="240"/>
        <v>high</v>
      </c>
    </row>
    <row r="189" spans="1:51" x14ac:dyDescent="0.3">
      <c r="A189">
        <f t="shared" ref="A189:M189" si="241">A99</f>
        <v>0</v>
      </c>
      <c r="B189">
        <f t="shared" si="241"/>
        <v>0</v>
      </c>
      <c r="C189">
        <f t="shared" si="241"/>
        <v>0</v>
      </c>
      <c r="D189">
        <f t="shared" si="241"/>
        <v>0</v>
      </c>
      <c r="E189">
        <f t="shared" si="241"/>
        <v>0</v>
      </c>
      <c r="F189">
        <f t="shared" si="241"/>
        <v>0</v>
      </c>
      <c r="G189">
        <f t="shared" si="241"/>
        <v>0</v>
      </c>
      <c r="H189">
        <f t="shared" si="241"/>
        <v>0</v>
      </c>
      <c r="I189">
        <f t="shared" si="241"/>
        <v>0</v>
      </c>
      <c r="J189">
        <f t="shared" si="241"/>
        <v>0</v>
      </c>
      <c r="K189">
        <f t="shared" si="241"/>
        <v>0</v>
      </c>
      <c r="L189">
        <f t="shared" si="241"/>
        <v>0</v>
      </c>
      <c r="M189">
        <f t="shared" si="241"/>
        <v>0</v>
      </c>
      <c r="S189" s="2" t="s">
        <v>64</v>
      </c>
      <c r="T189" s="33">
        <f>$I$204*O193*T190</f>
        <v>111353.12738874722</v>
      </c>
      <c r="U189" s="33">
        <f t="shared" ref="U189:V189" si="242">$I$204*P193*U190</f>
        <v>101609.72874223183</v>
      </c>
      <c r="V189" s="33">
        <f t="shared" si="242"/>
        <v>118312.6978505439</v>
      </c>
      <c r="AB189">
        <f t="shared" ref="AB189:AN189" si="243">AB99</f>
        <v>0</v>
      </c>
      <c r="AC189">
        <f t="shared" si="243"/>
        <v>0</v>
      </c>
      <c r="AD189">
        <f t="shared" si="243"/>
        <v>0</v>
      </c>
      <c r="AE189">
        <f t="shared" si="243"/>
        <v>0</v>
      </c>
      <c r="AF189">
        <f t="shared" si="243"/>
        <v>0</v>
      </c>
      <c r="AG189">
        <f t="shared" si="243"/>
        <v>0</v>
      </c>
      <c r="AH189">
        <f t="shared" si="243"/>
        <v>0</v>
      </c>
      <c r="AI189">
        <f t="shared" si="243"/>
        <v>0</v>
      </c>
      <c r="AJ189">
        <f t="shared" si="243"/>
        <v>0</v>
      </c>
      <c r="AK189">
        <f t="shared" si="243"/>
        <v>0</v>
      </c>
      <c r="AL189">
        <f t="shared" si="243"/>
        <v>0</v>
      </c>
      <c r="AM189">
        <f t="shared" si="243"/>
        <v>0</v>
      </c>
      <c r="AN189">
        <f t="shared" si="243"/>
        <v>0</v>
      </c>
      <c r="AT189" s="2" t="s">
        <v>64</v>
      </c>
      <c r="AU189" s="33">
        <f>$AJ$204*AP193*AU190</f>
        <v>57193.278838848368</v>
      </c>
      <c r="AV189" s="33">
        <f>$AJ$204*AQ193*AV190</f>
        <v>52188.86694044913</v>
      </c>
      <c r="AW189" s="33">
        <f>$AJ$204*AR193*AW190</f>
        <v>60767.858766276382</v>
      </c>
    </row>
    <row r="190" spans="1:51" x14ac:dyDescent="0.3">
      <c r="A190">
        <f t="shared" ref="A190:M190" si="244">A100</f>
        <v>0</v>
      </c>
      <c r="B190">
        <f t="shared" si="244"/>
        <v>0</v>
      </c>
      <c r="C190">
        <f t="shared" si="244"/>
        <v>0</v>
      </c>
      <c r="D190">
        <f t="shared" si="244"/>
        <v>0</v>
      </c>
      <c r="E190">
        <f t="shared" si="244"/>
        <v>0</v>
      </c>
      <c r="F190">
        <f t="shared" si="244"/>
        <v>0</v>
      </c>
      <c r="G190">
        <f t="shared" si="244"/>
        <v>0</v>
      </c>
      <c r="H190">
        <f t="shared" si="244"/>
        <v>0</v>
      </c>
      <c r="I190">
        <f t="shared" si="244"/>
        <v>0</v>
      </c>
      <c r="J190">
        <f t="shared" si="244"/>
        <v>0</v>
      </c>
      <c r="K190">
        <f t="shared" si="244"/>
        <v>0</v>
      </c>
      <c r="L190">
        <f t="shared" si="244"/>
        <v>0</v>
      </c>
      <c r="M190">
        <f t="shared" si="244"/>
        <v>0</v>
      </c>
      <c r="P190" s="1105" t="s">
        <v>184</v>
      </c>
      <c r="Q190" s="1107"/>
      <c r="R190" s="16"/>
      <c r="S190" s="15" t="s">
        <v>43</v>
      </c>
      <c r="T190" s="61">
        <f>U10</f>
        <v>0.10035010552866974</v>
      </c>
      <c r="U190" s="61">
        <f>T190</f>
        <v>0.10035010552866974</v>
      </c>
      <c r="V190" s="61">
        <f>T190</f>
        <v>0.10035010552866974</v>
      </c>
      <c r="AB190">
        <f t="shared" ref="AB190:AN190" si="245">AB100</f>
        <v>0</v>
      </c>
      <c r="AC190">
        <f t="shared" si="245"/>
        <v>0</v>
      </c>
      <c r="AD190">
        <f t="shared" si="245"/>
        <v>0</v>
      </c>
      <c r="AE190">
        <f t="shared" si="245"/>
        <v>0</v>
      </c>
      <c r="AF190">
        <f t="shared" si="245"/>
        <v>0</v>
      </c>
      <c r="AG190">
        <f t="shared" si="245"/>
        <v>0</v>
      </c>
      <c r="AH190">
        <f t="shared" si="245"/>
        <v>0</v>
      </c>
      <c r="AI190">
        <f t="shared" si="245"/>
        <v>0</v>
      </c>
      <c r="AJ190">
        <f t="shared" si="245"/>
        <v>0</v>
      </c>
      <c r="AK190">
        <f t="shared" si="245"/>
        <v>0</v>
      </c>
      <c r="AL190">
        <f t="shared" si="245"/>
        <v>0</v>
      </c>
      <c r="AM190">
        <f t="shared" si="245"/>
        <v>0</v>
      </c>
      <c r="AN190">
        <f t="shared" si="245"/>
        <v>0</v>
      </c>
      <c r="AQ190" s="1105" t="s">
        <v>184</v>
      </c>
      <c r="AR190" s="1107"/>
      <c r="AS190" s="16"/>
      <c r="AT190" s="15" t="s">
        <v>43</v>
      </c>
      <c r="AU190" s="61">
        <f>AV10</f>
        <v>5.1541898297766689E-2</v>
      </c>
      <c r="AV190" s="61">
        <f>AU190</f>
        <v>5.1541898297766689E-2</v>
      </c>
      <c r="AW190" s="61">
        <f>AU190</f>
        <v>5.1541898297766689E-2</v>
      </c>
    </row>
    <row r="191" spans="1:51" x14ac:dyDescent="0.3">
      <c r="A191">
        <f t="shared" ref="A191:M191" si="246">A101</f>
        <v>0</v>
      </c>
      <c r="B191">
        <f t="shared" si="246"/>
        <v>0</v>
      </c>
      <c r="C191">
        <f t="shared" si="246"/>
        <v>0</v>
      </c>
      <c r="D191">
        <f t="shared" si="246"/>
        <v>0</v>
      </c>
      <c r="E191">
        <f t="shared" si="246"/>
        <v>0</v>
      </c>
      <c r="F191">
        <f t="shared" si="246"/>
        <v>0</v>
      </c>
      <c r="G191">
        <f t="shared" si="246"/>
        <v>0</v>
      </c>
      <c r="H191">
        <f t="shared" si="246"/>
        <v>0</v>
      </c>
      <c r="I191">
        <f t="shared" si="246"/>
        <v>0</v>
      </c>
      <c r="J191">
        <f t="shared" si="246"/>
        <v>0</v>
      </c>
      <c r="K191">
        <f t="shared" si="246"/>
        <v>0</v>
      </c>
      <c r="L191">
        <f t="shared" si="246"/>
        <v>0</v>
      </c>
      <c r="M191">
        <f t="shared" si="246"/>
        <v>0</v>
      </c>
      <c r="O191" t="s">
        <v>185</v>
      </c>
      <c r="P191" s="306" t="s">
        <v>178</v>
      </c>
      <c r="Q191" s="306" t="s">
        <v>179</v>
      </c>
      <c r="R191" s="11"/>
      <c r="S191" s="2"/>
      <c r="AB191">
        <f t="shared" ref="AB191:AN191" si="247">AB101</f>
        <v>0</v>
      </c>
      <c r="AC191">
        <f t="shared" si="247"/>
        <v>0</v>
      </c>
      <c r="AD191">
        <f t="shared" si="247"/>
        <v>0</v>
      </c>
      <c r="AE191">
        <f t="shared" si="247"/>
        <v>0</v>
      </c>
      <c r="AF191">
        <f t="shared" si="247"/>
        <v>0</v>
      </c>
      <c r="AG191">
        <f t="shared" si="247"/>
        <v>0</v>
      </c>
      <c r="AH191">
        <f t="shared" si="247"/>
        <v>0</v>
      </c>
      <c r="AI191">
        <f t="shared" si="247"/>
        <v>0</v>
      </c>
      <c r="AJ191">
        <f t="shared" si="247"/>
        <v>0</v>
      </c>
      <c r="AK191">
        <f t="shared" si="247"/>
        <v>0</v>
      </c>
      <c r="AL191">
        <f t="shared" si="247"/>
        <v>0</v>
      </c>
      <c r="AM191">
        <f t="shared" si="247"/>
        <v>0</v>
      </c>
      <c r="AN191">
        <f t="shared" si="247"/>
        <v>0</v>
      </c>
      <c r="AP191" t="s">
        <v>185</v>
      </c>
      <c r="AQ191" s="583" t="s">
        <v>178</v>
      </c>
      <c r="AR191" s="583" t="s">
        <v>179</v>
      </c>
      <c r="AS191" s="11"/>
      <c r="AT191" s="2"/>
    </row>
    <row r="192" spans="1:51" x14ac:dyDescent="0.3">
      <c r="A192">
        <f t="shared" ref="A192:L192" si="248">A102</f>
        <v>0</v>
      </c>
      <c r="B192">
        <f t="shared" si="248"/>
        <v>0</v>
      </c>
      <c r="C192">
        <f t="shared" si="248"/>
        <v>0</v>
      </c>
      <c r="D192">
        <f t="shared" si="248"/>
        <v>0</v>
      </c>
      <c r="E192">
        <f t="shared" si="248"/>
        <v>0</v>
      </c>
      <c r="F192">
        <f t="shared" si="248"/>
        <v>0</v>
      </c>
      <c r="G192">
        <f t="shared" si="248"/>
        <v>0</v>
      </c>
      <c r="H192">
        <f t="shared" si="248"/>
        <v>0</v>
      </c>
      <c r="I192">
        <f t="shared" si="248"/>
        <v>0</v>
      </c>
      <c r="J192">
        <f t="shared" si="248"/>
        <v>0</v>
      </c>
      <c r="K192">
        <f t="shared" si="248"/>
        <v>0</v>
      </c>
      <c r="L192">
        <f t="shared" si="248"/>
        <v>0</v>
      </c>
      <c r="N192" s="514" t="s">
        <v>12</v>
      </c>
      <c r="O192" s="33">
        <f>$L$198*O193</f>
        <v>0</v>
      </c>
      <c r="P192" s="33">
        <f>$L$198*P193</f>
        <v>0</v>
      </c>
      <c r="Q192" s="33">
        <f t="shared" ref="Q192" si="249">$L$198*Q193</f>
        <v>0</v>
      </c>
      <c r="R192" s="18"/>
      <c r="S192" s="12" t="s">
        <v>65</v>
      </c>
      <c r="T192" s="33">
        <f>$I$204*O193*T193</f>
        <v>41819.753484439461</v>
      </c>
      <c r="U192" s="33">
        <f t="shared" ref="U192:V192" si="250">$I$204*P193*U193</f>
        <v>38160.525054551006</v>
      </c>
      <c r="V192" s="33">
        <f t="shared" si="250"/>
        <v>44433.48807721692</v>
      </c>
      <c r="AB192">
        <f t="shared" ref="AB192:AM192" si="251">AB102</f>
        <v>0</v>
      </c>
      <c r="AC192">
        <f t="shared" si="251"/>
        <v>0</v>
      </c>
      <c r="AD192">
        <f t="shared" si="251"/>
        <v>0</v>
      </c>
      <c r="AE192">
        <f t="shared" si="251"/>
        <v>0</v>
      </c>
      <c r="AF192">
        <f t="shared" si="251"/>
        <v>0</v>
      </c>
      <c r="AG192">
        <f t="shared" si="251"/>
        <v>0</v>
      </c>
      <c r="AH192">
        <f t="shared" si="251"/>
        <v>0</v>
      </c>
      <c r="AI192">
        <f t="shared" si="251"/>
        <v>0</v>
      </c>
      <c r="AJ192">
        <f t="shared" si="251"/>
        <v>0</v>
      </c>
      <c r="AK192">
        <f t="shared" si="251"/>
        <v>0</v>
      </c>
      <c r="AL192">
        <f t="shared" si="251"/>
        <v>0</v>
      </c>
      <c r="AM192">
        <f t="shared" si="251"/>
        <v>0</v>
      </c>
      <c r="AO192" s="514" t="s">
        <v>12</v>
      </c>
      <c r="AP192" s="33">
        <f>$L$198*AP193</f>
        <v>0</v>
      </c>
      <c r="AQ192" s="33">
        <f>$L$198*AQ193</f>
        <v>0</v>
      </c>
      <c r="AR192" s="33">
        <f t="shared" ref="AR192" si="252">$L$198*AR193</f>
        <v>0</v>
      </c>
      <c r="AS192" s="18"/>
      <c r="AT192" s="12" t="s">
        <v>65</v>
      </c>
      <c r="AU192" s="33">
        <f>$AJ$204*AP193*AU193</f>
        <v>22731.936838044872</v>
      </c>
      <c r="AV192" s="33">
        <f>$AJ$204*AQ193*AV193</f>
        <v>20742.892364715946</v>
      </c>
      <c r="AW192" s="33">
        <f>$AJ$204*AR193*AW193</f>
        <v>24152.682890422675</v>
      </c>
    </row>
    <row r="193" spans="1:49" x14ac:dyDescent="0.3">
      <c r="A193">
        <f t="shared" ref="A193:K193" si="253">A103</f>
        <v>0</v>
      </c>
      <c r="B193">
        <f t="shared" si="253"/>
        <v>0</v>
      </c>
      <c r="C193">
        <f t="shared" si="253"/>
        <v>0</v>
      </c>
      <c r="D193">
        <f t="shared" si="253"/>
        <v>0</v>
      </c>
      <c r="E193">
        <f t="shared" si="253"/>
        <v>0</v>
      </c>
      <c r="F193">
        <f t="shared" si="253"/>
        <v>0</v>
      </c>
      <c r="G193">
        <f t="shared" si="253"/>
        <v>0</v>
      </c>
      <c r="H193">
        <f t="shared" si="253"/>
        <v>0</v>
      </c>
      <c r="I193">
        <f t="shared" si="253"/>
        <v>0</v>
      </c>
      <c r="J193">
        <f t="shared" si="253"/>
        <v>0</v>
      </c>
      <c r="K193">
        <f t="shared" si="253"/>
        <v>0</v>
      </c>
      <c r="L193" s="1108"/>
      <c r="M193" s="1107"/>
      <c r="N193" s="64" t="s">
        <v>75</v>
      </c>
      <c r="O193" s="66">
        <f>'Input 6_Product Efficacy'!$K$12</f>
        <v>0.8</v>
      </c>
      <c r="P193" s="66">
        <f>'Input 6_Product Efficacy'!M12</f>
        <v>0.73</v>
      </c>
      <c r="Q193" s="66">
        <f>'Input 6_Product Efficacy'!O12</f>
        <v>0.85</v>
      </c>
      <c r="R193" s="11"/>
      <c r="S193" s="2" t="s">
        <v>44</v>
      </c>
      <c r="T193" s="61">
        <f>U13</f>
        <v>3.7687461266315031E-2</v>
      </c>
      <c r="U193" s="61">
        <f>T193</f>
        <v>3.7687461266315031E-2</v>
      </c>
      <c r="V193" s="61">
        <f>T193</f>
        <v>3.7687461266315031E-2</v>
      </c>
      <c r="AB193">
        <f t="shared" ref="AB193:AL193" si="254">AB103</f>
        <v>0</v>
      </c>
      <c r="AC193">
        <f t="shared" si="254"/>
        <v>0</v>
      </c>
      <c r="AD193">
        <f t="shared" si="254"/>
        <v>0</v>
      </c>
      <c r="AE193">
        <f t="shared" si="254"/>
        <v>0</v>
      </c>
      <c r="AF193">
        <f t="shared" si="254"/>
        <v>0</v>
      </c>
      <c r="AG193">
        <f t="shared" si="254"/>
        <v>0</v>
      </c>
      <c r="AH193">
        <f t="shared" si="254"/>
        <v>0</v>
      </c>
      <c r="AI193">
        <f t="shared" si="254"/>
        <v>0</v>
      </c>
      <c r="AJ193">
        <f t="shared" si="254"/>
        <v>0</v>
      </c>
      <c r="AK193">
        <f t="shared" si="254"/>
        <v>0</v>
      </c>
      <c r="AL193">
        <f t="shared" si="254"/>
        <v>0</v>
      </c>
      <c r="AM193" s="1108"/>
      <c r="AN193" s="1107"/>
      <c r="AO193" s="64" t="s">
        <v>75</v>
      </c>
      <c r="AP193" s="66">
        <f>'Input 6_Product Efficacy'!$K$12</f>
        <v>0.8</v>
      </c>
      <c r="AQ193" s="66">
        <f>P193</f>
        <v>0.73</v>
      </c>
      <c r="AR193" s="66">
        <f>Q193</f>
        <v>0.85</v>
      </c>
      <c r="AS193" s="11"/>
      <c r="AT193" s="2" t="s">
        <v>44</v>
      </c>
      <c r="AU193" s="61">
        <f>AV13</f>
        <v>2.0485749381829933E-2</v>
      </c>
      <c r="AV193" s="61">
        <f>AU193</f>
        <v>2.0485749381829933E-2</v>
      </c>
      <c r="AW193" s="61">
        <f>AU193</f>
        <v>2.0485749381829933E-2</v>
      </c>
    </row>
    <row r="194" spans="1:49" x14ac:dyDescent="0.3">
      <c r="A194">
        <f t="shared" ref="A194:K194" si="255">A104</f>
        <v>0</v>
      </c>
      <c r="B194">
        <f t="shared" si="255"/>
        <v>0</v>
      </c>
      <c r="C194">
        <f t="shared" si="255"/>
        <v>0</v>
      </c>
      <c r="D194">
        <f t="shared" si="255"/>
        <v>0</v>
      </c>
      <c r="E194">
        <f t="shared" si="255"/>
        <v>0</v>
      </c>
      <c r="F194">
        <f t="shared" si="255"/>
        <v>0</v>
      </c>
      <c r="G194">
        <f t="shared" si="255"/>
        <v>0</v>
      </c>
      <c r="H194">
        <f t="shared" si="255"/>
        <v>0</v>
      </c>
      <c r="I194">
        <f t="shared" si="255"/>
        <v>0</v>
      </c>
      <c r="J194">
        <f t="shared" si="255"/>
        <v>0</v>
      </c>
      <c r="K194">
        <f t="shared" si="255"/>
        <v>0</v>
      </c>
      <c r="L194" s="306"/>
      <c r="M194" s="306"/>
      <c r="N194" s="11"/>
      <c r="R194" s="11"/>
      <c r="S194" s="2"/>
      <c r="AB194">
        <f t="shared" ref="AB194:AL194" si="256">AB104</f>
        <v>0</v>
      </c>
      <c r="AC194">
        <f t="shared" si="256"/>
        <v>0</v>
      </c>
      <c r="AD194">
        <f t="shared" si="256"/>
        <v>0</v>
      </c>
      <c r="AE194">
        <f t="shared" si="256"/>
        <v>0</v>
      </c>
      <c r="AF194">
        <f t="shared" si="256"/>
        <v>0</v>
      </c>
      <c r="AG194">
        <f t="shared" si="256"/>
        <v>0</v>
      </c>
      <c r="AH194">
        <f t="shared" si="256"/>
        <v>0</v>
      </c>
      <c r="AI194">
        <f t="shared" si="256"/>
        <v>0</v>
      </c>
      <c r="AJ194">
        <f t="shared" si="256"/>
        <v>0</v>
      </c>
      <c r="AK194">
        <f t="shared" si="256"/>
        <v>0</v>
      </c>
      <c r="AL194">
        <f t="shared" si="256"/>
        <v>0</v>
      </c>
      <c r="AM194" s="583"/>
      <c r="AN194" s="583"/>
      <c r="AO194" s="11"/>
      <c r="AS194" s="11"/>
      <c r="AT194" s="2"/>
    </row>
    <row r="195" spans="1:49" x14ac:dyDescent="0.3">
      <c r="A195">
        <f t="shared" ref="A195:I195" si="257">A105</f>
        <v>0</v>
      </c>
      <c r="B195">
        <f t="shared" si="257"/>
        <v>0</v>
      </c>
      <c r="C195">
        <f t="shared" si="257"/>
        <v>0</v>
      </c>
      <c r="D195">
        <f t="shared" si="257"/>
        <v>0</v>
      </c>
      <c r="E195">
        <f t="shared" si="257"/>
        <v>0</v>
      </c>
      <c r="F195">
        <f t="shared" si="257"/>
        <v>0</v>
      </c>
      <c r="G195">
        <f t="shared" si="257"/>
        <v>0</v>
      </c>
      <c r="H195">
        <f t="shared" si="257"/>
        <v>0</v>
      </c>
      <c r="I195">
        <f t="shared" si="257"/>
        <v>0</v>
      </c>
      <c r="J195" s="1104"/>
      <c r="K195" s="14"/>
      <c r="L195" s="28"/>
      <c r="M195" s="28"/>
      <c r="N195" s="11"/>
      <c r="R195" s="18"/>
      <c r="S195" s="12" t="s">
        <v>66</v>
      </c>
      <c r="T195" s="30">
        <f>$I$204*O193*T196</f>
        <v>12427.785369596169</v>
      </c>
      <c r="U195" s="30">
        <f t="shared" ref="U195:V195" si="258">$I$204*P193*U196</f>
        <v>11340.354149756504</v>
      </c>
      <c r="V195" s="30">
        <f t="shared" si="258"/>
        <v>13204.521955195927</v>
      </c>
      <c r="AB195">
        <f t="shared" ref="AB195:AJ195" si="259">AB105</f>
        <v>0</v>
      </c>
      <c r="AC195">
        <f t="shared" si="259"/>
        <v>0</v>
      </c>
      <c r="AD195">
        <f t="shared" si="259"/>
        <v>0</v>
      </c>
      <c r="AE195">
        <f t="shared" si="259"/>
        <v>0</v>
      </c>
      <c r="AF195">
        <f t="shared" si="259"/>
        <v>0</v>
      </c>
      <c r="AG195">
        <f t="shared" si="259"/>
        <v>0</v>
      </c>
      <c r="AH195">
        <f t="shared" si="259"/>
        <v>0</v>
      </c>
      <c r="AI195">
        <f t="shared" si="259"/>
        <v>0</v>
      </c>
      <c r="AJ195">
        <f t="shared" si="259"/>
        <v>0</v>
      </c>
      <c r="AK195" s="1104"/>
      <c r="AL195" s="14"/>
      <c r="AM195" s="28"/>
      <c r="AN195" s="28"/>
      <c r="AO195" s="11"/>
      <c r="AS195" s="18"/>
      <c r="AT195" s="12" t="s">
        <v>66</v>
      </c>
      <c r="AU195" s="33">
        <f>$AJ$204*AP193*AU196</f>
        <v>3135.3263984160549</v>
      </c>
      <c r="AV195" s="33">
        <f>$AJ$204*AQ193*AV196</f>
        <v>2860.9853385546498</v>
      </c>
      <c r="AW195" s="33">
        <f>$AJ$204*AR193*AW196</f>
        <v>3331.2842983170576</v>
      </c>
    </row>
    <row r="196" spans="1:49" x14ac:dyDescent="0.3">
      <c r="A196">
        <f t="shared" ref="A196:I196" si="260">A106</f>
        <v>0</v>
      </c>
      <c r="B196">
        <f t="shared" si="260"/>
        <v>0</v>
      </c>
      <c r="C196">
        <f t="shared" si="260"/>
        <v>0</v>
      </c>
      <c r="D196">
        <f t="shared" si="260"/>
        <v>0</v>
      </c>
      <c r="E196">
        <f t="shared" si="260"/>
        <v>0</v>
      </c>
      <c r="F196">
        <f t="shared" si="260"/>
        <v>0</v>
      </c>
      <c r="G196">
        <f t="shared" si="260"/>
        <v>0</v>
      </c>
      <c r="H196">
        <f t="shared" si="260"/>
        <v>0</v>
      </c>
      <c r="I196">
        <f t="shared" si="260"/>
        <v>0</v>
      </c>
      <c r="J196" s="1104"/>
      <c r="K196" s="285"/>
      <c r="L196" s="28"/>
      <c r="M196" s="28"/>
      <c r="N196" s="11"/>
      <c r="S196" s="2" t="s">
        <v>45</v>
      </c>
      <c r="T196" s="61">
        <f>U16</f>
        <v>1.1199771417041152E-2</v>
      </c>
      <c r="U196" s="61">
        <f>T196</f>
        <v>1.1199771417041152E-2</v>
      </c>
      <c r="V196" s="61">
        <f>T196</f>
        <v>1.1199771417041152E-2</v>
      </c>
      <c r="AB196">
        <f t="shared" ref="AB196:AJ196" si="261">AB106</f>
        <v>0</v>
      </c>
      <c r="AC196">
        <f t="shared" si="261"/>
        <v>0</v>
      </c>
      <c r="AD196">
        <f t="shared" si="261"/>
        <v>0</v>
      </c>
      <c r="AE196">
        <f t="shared" si="261"/>
        <v>0</v>
      </c>
      <c r="AF196">
        <f t="shared" si="261"/>
        <v>0</v>
      </c>
      <c r="AG196">
        <f t="shared" si="261"/>
        <v>0</v>
      </c>
      <c r="AH196">
        <f t="shared" si="261"/>
        <v>0</v>
      </c>
      <c r="AI196">
        <f t="shared" si="261"/>
        <v>0</v>
      </c>
      <c r="AJ196">
        <f t="shared" si="261"/>
        <v>0</v>
      </c>
      <c r="AK196" s="1104"/>
      <c r="AL196" s="285"/>
      <c r="AM196" s="28"/>
      <c r="AN196" s="28"/>
      <c r="AO196" s="11"/>
      <c r="AT196" s="2" t="s">
        <v>45</v>
      </c>
      <c r="AU196" s="61">
        <f>AV16</f>
        <v>2.825518621039377E-3</v>
      </c>
      <c r="AV196" s="61">
        <f>AU196</f>
        <v>2.825518621039377E-3</v>
      </c>
      <c r="AW196" s="61">
        <f>AU196</f>
        <v>2.825518621039377E-3</v>
      </c>
    </row>
    <row r="197" spans="1:49" x14ac:dyDescent="0.3">
      <c r="A197">
        <f t="shared" ref="A197:L197" si="262">A107</f>
        <v>0</v>
      </c>
      <c r="B197">
        <f t="shared" si="262"/>
        <v>0</v>
      </c>
      <c r="C197">
        <f t="shared" si="262"/>
        <v>0</v>
      </c>
      <c r="D197">
        <f t="shared" si="262"/>
        <v>0</v>
      </c>
      <c r="E197">
        <f t="shared" si="262"/>
        <v>0</v>
      </c>
      <c r="F197">
        <f t="shared" si="262"/>
        <v>0</v>
      </c>
      <c r="G197">
        <f t="shared" si="262"/>
        <v>0</v>
      </c>
      <c r="H197">
        <f t="shared" si="262"/>
        <v>0</v>
      </c>
      <c r="K197" s="2" t="str">
        <f t="shared" si="262"/>
        <v>Expected healthcare visits</v>
      </c>
      <c r="L197" s="13">
        <f t="shared" si="262"/>
        <v>0</v>
      </c>
      <c r="M197" s="13"/>
      <c r="N197" s="11"/>
      <c r="O197" s="13"/>
      <c r="AB197">
        <f t="shared" ref="AB197:AI197" si="263">AB107</f>
        <v>0</v>
      </c>
      <c r="AC197">
        <f t="shared" si="263"/>
        <v>0</v>
      </c>
      <c r="AD197">
        <f t="shared" si="263"/>
        <v>0</v>
      </c>
      <c r="AE197">
        <f t="shared" si="263"/>
        <v>0</v>
      </c>
      <c r="AF197">
        <f t="shared" si="263"/>
        <v>0</v>
      </c>
      <c r="AG197">
        <f t="shared" si="263"/>
        <v>0</v>
      </c>
      <c r="AH197">
        <f t="shared" si="263"/>
        <v>0</v>
      </c>
      <c r="AI197">
        <f t="shared" si="263"/>
        <v>0</v>
      </c>
      <c r="AL197" s="2" t="str">
        <f t="shared" ref="AL197:AM197" si="264">AL107</f>
        <v>Expected healthcare visits</v>
      </c>
      <c r="AM197" s="13">
        <f t="shared" si="264"/>
        <v>0</v>
      </c>
      <c r="AN197" s="13"/>
      <c r="AO197" s="11"/>
      <c r="AP197" s="13"/>
    </row>
    <row r="198" spans="1:49" x14ac:dyDescent="0.3">
      <c r="A198">
        <f t="shared" ref="A198:K198" si="265">A108</f>
        <v>0</v>
      </c>
      <c r="B198">
        <f t="shared" si="265"/>
        <v>0</v>
      </c>
      <c r="C198">
        <f t="shared" si="265"/>
        <v>0</v>
      </c>
      <c r="D198">
        <f t="shared" si="265"/>
        <v>0</v>
      </c>
      <c r="E198">
        <f t="shared" si="265"/>
        <v>0</v>
      </c>
      <c r="F198">
        <f t="shared" si="265"/>
        <v>0</v>
      </c>
      <c r="G198">
        <f t="shared" si="265"/>
        <v>0</v>
      </c>
      <c r="H198">
        <f t="shared" si="265"/>
        <v>0</v>
      </c>
      <c r="K198" s="2" t="str">
        <f t="shared" si="265"/>
        <v>had immunization not been obtained</v>
      </c>
      <c r="L198" s="33">
        <f>I204*L199</f>
        <v>0</v>
      </c>
      <c r="M198" s="33"/>
      <c r="N198" s="11"/>
      <c r="AB198">
        <f t="shared" ref="AB198:AI198" si="266">AB108</f>
        <v>0</v>
      </c>
      <c r="AC198">
        <f t="shared" si="266"/>
        <v>0</v>
      </c>
      <c r="AD198">
        <f t="shared" si="266"/>
        <v>0</v>
      </c>
      <c r="AE198">
        <f t="shared" si="266"/>
        <v>0</v>
      </c>
      <c r="AF198">
        <f t="shared" si="266"/>
        <v>0</v>
      </c>
      <c r="AG198">
        <f t="shared" si="266"/>
        <v>0</v>
      </c>
      <c r="AH198">
        <f t="shared" si="266"/>
        <v>0</v>
      </c>
      <c r="AI198">
        <f t="shared" si="266"/>
        <v>0</v>
      </c>
      <c r="AL198" s="2" t="str">
        <f t="shared" ref="AL198" si="267">AL108</f>
        <v>had immunization not been obtained</v>
      </c>
      <c r="AM198" s="33">
        <f>AJ204*AM199</f>
        <v>0</v>
      </c>
      <c r="AN198" s="33"/>
      <c r="AO198" s="11"/>
    </row>
    <row r="199" spans="1:49" x14ac:dyDescent="0.3">
      <c r="A199">
        <f t="shared" ref="A199:M199" si="268">A109</f>
        <v>0</v>
      </c>
      <c r="B199">
        <f t="shared" si="268"/>
        <v>0</v>
      </c>
      <c r="C199">
        <f t="shared" si="268"/>
        <v>0</v>
      </c>
      <c r="D199">
        <f t="shared" si="268"/>
        <v>0</v>
      </c>
      <c r="E199">
        <f t="shared" si="268"/>
        <v>0</v>
      </c>
      <c r="F199">
        <f t="shared" si="268"/>
        <v>0</v>
      </c>
      <c r="G199">
        <f t="shared" si="268"/>
        <v>0</v>
      </c>
      <c r="H199">
        <f t="shared" si="268"/>
        <v>0</v>
      </c>
      <c r="I199">
        <f t="shared" si="268"/>
        <v>0</v>
      </c>
      <c r="J199">
        <f t="shared" si="268"/>
        <v>0</v>
      </c>
      <c r="K199" s="16" t="str">
        <f t="shared" si="268"/>
        <v>sum p5a-c</v>
      </c>
      <c r="L199" s="68">
        <f t="shared" si="268"/>
        <v>0</v>
      </c>
      <c r="M199" s="17">
        <f t="shared" si="268"/>
        <v>0</v>
      </c>
      <c r="N199" s="11"/>
      <c r="Q199" s="13"/>
      <c r="T199" s="13"/>
      <c r="U199" s="1105" t="s">
        <v>184</v>
      </c>
      <c r="V199" s="1105"/>
      <c r="AB199">
        <f t="shared" ref="AB199:AN199" si="269">AB109</f>
        <v>0</v>
      </c>
      <c r="AC199">
        <f t="shared" si="269"/>
        <v>0</v>
      </c>
      <c r="AD199">
        <f t="shared" si="269"/>
        <v>0</v>
      </c>
      <c r="AE199">
        <f t="shared" si="269"/>
        <v>0</v>
      </c>
      <c r="AF199">
        <f t="shared" si="269"/>
        <v>0</v>
      </c>
      <c r="AG199">
        <f t="shared" si="269"/>
        <v>0</v>
      </c>
      <c r="AH199">
        <f t="shared" si="269"/>
        <v>0</v>
      </c>
      <c r="AI199">
        <f t="shared" si="269"/>
        <v>0</v>
      </c>
      <c r="AJ199">
        <f t="shared" si="269"/>
        <v>0</v>
      </c>
      <c r="AK199">
        <f t="shared" si="269"/>
        <v>0</v>
      </c>
      <c r="AL199" s="16" t="str">
        <f t="shared" si="269"/>
        <v>sum p5a-c</v>
      </c>
      <c r="AM199" s="68">
        <f t="shared" si="269"/>
        <v>0</v>
      </c>
      <c r="AN199" s="17">
        <f t="shared" si="269"/>
        <v>0</v>
      </c>
      <c r="AO199" s="11"/>
      <c r="AR199" s="13"/>
      <c r="AU199" s="13"/>
      <c r="AV199" s="1105" t="s">
        <v>184</v>
      </c>
      <c r="AW199" s="1105"/>
    </row>
    <row r="200" spans="1:49" x14ac:dyDescent="0.3">
      <c r="A200">
        <f t="shared" ref="A200:M200" si="270">A110</f>
        <v>0</v>
      </c>
      <c r="B200">
        <f t="shared" si="270"/>
        <v>0</v>
      </c>
      <c r="C200">
        <f t="shared" si="270"/>
        <v>0</v>
      </c>
      <c r="D200">
        <f t="shared" si="270"/>
        <v>0</v>
      </c>
      <c r="E200">
        <f t="shared" si="270"/>
        <v>0</v>
      </c>
      <c r="F200">
        <f t="shared" si="270"/>
        <v>0</v>
      </c>
      <c r="G200">
        <f t="shared" si="270"/>
        <v>0</v>
      </c>
      <c r="H200">
        <f t="shared" si="270"/>
        <v>0</v>
      </c>
      <c r="I200">
        <f t="shared" si="270"/>
        <v>0</v>
      </c>
      <c r="J200">
        <f t="shared" si="270"/>
        <v>0</v>
      </c>
      <c r="K200" s="59"/>
      <c r="L200" s="68"/>
      <c r="M200">
        <f t="shared" si="270"/>
        <v>0</v>
      </c>
      <c r="N200" s="11"/>
      <c r="O200" s="13"/>
      <c r="P200" s="13"/>
      <c r="Q200" s="13"/>
      <c r="T200" s="237" t="s">
        <v>160</v>
      </c>
      <c r="U200" s="237" t="s">
        <v>161</v>
      </c>
      <c r="V200" s="237" t="s">
        <v>162</v>
      </c>
      <c r="AB200">
        <f t="shared" ref="AB200:AK200" si="271">AB110</f>
        <v>0</v>
      </c>
      <c r="AC200">
        <f t="shared" si="271"/>
        <v>0</v>
      </c>
      <c r="AD200">
        <f t="shared" si="271"/>
        <v>0</v>
      </c>
      <c r="AE200">
        <f t="shared" si="271"/>
        <v>0</v>
      </c>
      <c r="AF200">
        <f t="shared" si="271"/>
        <v>0</v>
      </c>
      <c r="AG200">
        <f t="shared" si="271"/>
        <v>0</v>
      </c>
      <c r="AH200">
        <f t="shared" si="271"/>
        <v>0</v>
      </c>
      <c r="AI200">
        <f t="shared" si="271"/>
        <v>0</v>
      </c>
      <c r="AJ200">
        <f t="shared" si="271"/>
        <v>0</v>
      </c>
      <c r="AK200">
        <f t="shared" si="271"/>
        <v>0</v>
      </c>
      <c r="AL200" s="59"/>
      <c r="AM200" s="68"/>
      <c r="AN200">
        <f t="shared" ref="AN200" si="272">AN110</f>
        <v>0</v>
      </c>
      <c r="AO200" s="11"/>
      <c r="AP200" s="13"/>
      <c r="AQ200" s="13"/>
      <c r="AR200" s="13"/>
      <c r="AU200" s="589" t="s">
        <v>160</v>
      </c>
      <c r="AV200" s="589" t="s">
        <v>161</v>
      </c>
      <c r="AW200" s="589" t="s">
        <v>162</v>
      </c>
    </row>
    <row r="201" spans="1:49" x14ac:dyDescent="0.3">
      <c r="A201">
        <f t="shared" ref="A201:M201" si="273">A111</f>
        <v>0</v>
      </c>
      <c r="B201">
        <f t="shared" si="273"/>
        <v>0</v>
      </c>
      <c r="C201">
        <f t="shared" si="273"/>
        <v>0</v>
      </c>
      <c r="D201">
        <f t="shared" si="273"/>
        <v>0</v>
      </c>
      <c r="E201">
        <f t="shared" si="273"/>
        <v>0</v>
      </c>
      <c r="F201">
        <f t="shared" si="273"/>
        <v>0</v>
      </c>
      <c r="G201">
        <f t="shared" si="273"/>
        <v>0</v>
      </c>
      <c r="H201">
        <f t="shared" si="273"/>
        <v>0</v>
      </c>
      <c r="I201">
        <f t="shared" si="273"/>
        <v>0</v>
      </c>
      <c r="J201">
        <f t="shared" si="273"/>
        <v>0</v>
      </c>
      <c r="K201" s="238"/>
      <c r="L201" s="68"/>
      <c r="M201">
        <f t="shared" si="273"/>
        <v>0</v>
      </c>
      <c r="N201" s="11"/>
      <c r="O201" s="13"/>
      <c r="S201" s="517" t="s">
        <v>6</v>
      </c>
      <c r="T201" s="518">
        <f>($I$204*O204*T190)+($I$204*T202)</f>
        <v>67896.153825525078</v>
      </c>
      <c r="U201" s="518">
        <f>($I$204*P204*U190)+($I$204*U202)</f>
        <v>77639.552472040465</v>
      </c>
      <c r="V201" s="518">
        <f>($I$204*Q204*V190)+($I$204*V202)</f>
        <v>60936.583363728372</v>
      </c>
      <c r="AB201">
        <f t="shared" ref="AB201:AK201" si="274">AB111</f>
        <v>0</v>
      </c>
      <c r="AC201">
        <f t="shared" si="274"/>
        <v>0</v>
      </c>
      <c r="AD201">
        <f t="shared" si="274"/>
        <v>0</v>
      </c>
      <c r="AE201">
        <f t="shared" si="274"/>
        <v>0</v>
      </c>
      <c r="AF201">
        <f t="shared" si="274"/>
        <v>0</v>
      </c>
      <c r="AG201">
        <f t="shared" si="274"/>
        <v>0</v>
      </c>
      <c r="AH201">
        <f t="shared" si="274"/>
        <v>0</v>
      </c>
      <c r="AI201">
        <f t="shared" si="274"/>
        <v>0</v>
      </c>
      <c r="AJ201">
        <f t="shared" si="274"/>
        <v>0</v>
      </c>
      <c r="AK201">
        <f t="shared" si="274"/>
        <v>0</v>
      </c>
      <c r="AL201" s="238"/>
      <c r="AM201" s="68"/>
      <c r="AN201">
        <f t="shared" ref="AN201" si="275">AN111</f>
        <v>0</v>
      </c>
      <c r="AO201" s="11"/>
      <c r="AP201" s="13"/>
      <c r="AT201" s="517" t="s">
        <v>6</v>
      </c>
      <c r="AU201" s="518">
        <f>($AJ$204*AP204*AU190)+($AJ$204*AU202)</f>
        <v>15700.963926304579</v>
      </c>
      <c r="AV201" s="518">
        <f t="shared" ref="AV201:AW201" si="276">($AJ$204*AQ204*AV190)+($AJ$204*AV202)</f>
        <v>20705.375824703817</v>
      </c>
      <c r="AW201" s="518">
        <f t="shared" si="276"/>
        <v>12126.383998876559</v>
      </c>
    </row>
    <row r="202" spans="1:49" x14ac:dyDescent="0.3">
      <c r="A202">
        <f t="shared" ref="A202:M202" si="277">A112</f>
        <v>0</v>
      </c>
      <c r="B202">
        <f t="shared" si="277"/>
        <v>0</v>
      </c>
      <c r="C202">
        <f t="shared" si="277"/>
        <v>0</v>
      </c>
      <c r="D202">
        <f t="shared" si="277"/>
        <v>0</v>
      </c>
      <c r="E202">
        <f t="shared" si="277"/>
        <v>0</v>
      </c>
      <c r="F202">
        <f t="shared" si="277"/>
        <v>0</v>
      </c>
      <c r="G202">
        <f t="shared" si="277"/>
        <v>0</v>
      </c>
      <c r="H202" s="2"/>
      <c r="I202" s="88"/>
      <c r="J202">
        <f t="shared" si="277"/>
        <v>0</v>
      </c>
      <c r="K202" s="11">
        <f t="shared" si="277"/>
        <v>0</v>
      </c>
      <c r="L202">
        <f t="shared" si="277"/>
        <v>0</v>
      </c>
      <c r="M202">
        <f t="shared" si="277"/>
        <v>0</v>
      </c>
      <c r="N202" s="11"/>
      <c r="O202" s="13"/>
      <c r="R202" s="16"/>
      <c r="S202" s="15" t="s">
        <v>43</v>
      </c>
      <c r="T202" s="27">
        <f>'WiS percent RSV_base'!$BV$74</f>
        <v>2.8879739793901179E-2</v>
      </c>
      <c r="U202" s="61">
        <f>T202</f>
        <v>2.8879739793901179E-2</v>
      </c>
      <c r="V202" s="61">
        <f>T202</f>
        <v>2.8879739793901179E-2</v>
      </c>
      <c r="AB202">
        <f t="shared" ref="AB202:AH202" si="278">AB112</f>
        <v>0</v>
      </c>
      <c r="AC202">
        <f t="shared" si="278"/>
        <v>0</v>
      </c>
      <c r="AD202">
        <f t="shared" si="278"/>
        <v>0</v>
      </c>
      <c r="AE202">
        <f t="shared" si="278"/>
        <v>0</v>
      </c>
      <c r="AF202">
        <f t="shared" si="278"/>
        <v>0</v>
      </c>
      <c r="AG202">
        <f t="shared" si="278"/>
        <v>0</v>
      </c>
      <c r="AH202">
        <f t="shared" si="278"/>
        <v>0</v>
      </c>
      <c r="AI202" s="2"/>
      <c r="AJ202" s="88"/>
      <c r="AK202">
        <f t="shared" ref="AK202:AN202" si="279">AK112</f>
        <v>0</v>
      </c>
      <c r="AL202" s="11">
        <f t="shared" si="279"/>
        <v>0</v>
      </c>
      <c r="AM202">
        <f t="shared" si="279"/>
        <v>0</v>
      </c>
      <c r="AN202">
        <f t="shared" si="279"/>
        <v>0</v>
      </c>
      <c r="AO202" s="11"/>
      <c r="AP202" s="13"/>
      <c r="AS202" s="16"/>
      <c r="AT202" s="15" t="s">
        <v>43</v>
      </c>
      <c r="AU202" s="27">
        <f>AV22</f>
        <v>1.0112369429039231E-3</v>
      </c>
      <c r="AV202" s="20">
        <f>AU202</f>
        <v>1.0112369429039231E-3</v>
      </c>
      <c r="AW202" s="20">
        <f>AU202</f>
        <v>1.0112369429039231E-3</v>
      </c>
    </row>
    <row r="203" spans="1:49" x14ac:dyDescent="0.3">
      <c r="A203">
        <f t="shared" ref="A203:M203" si="280">A113</f>
        <v>0</v>
      </c>
      <c r="B203">
        <f t="shared" si="280"/>
        <v>0</v>
      </c>
      <c r="C203">
        <f t="shared" si="280"/>
        <v>0</v>
      </c>
      <c r="D203">
        <f t="shared" si="280"/>
        <v>0</v>
      </c>
      <c r="E203">
        <f t="shared" si="280"/>
        <v>0</v>
      </c>
      <c r="F203">
        <f t="shared" si="280"/>
        <v>0</v>
      </c>
      <c r="G203">
        <f t="shared" si="280"/>
        <v>0</v>
      </c>
      <c r="H203" s="2"/>
      <c r="I203" s="88"/>
      <c r="J203">
        <f t="shared" si="280"/>
        <v>0</v>
      </c>
      <c r="K203" s="11">
        <f t="shared" si="280"/>
        <v>0</v>
      </c>
      <c r="L203" s="13">
        <f t="shared" si="280"/>
        <v>0</v>
      </c>
      <c r="M203" s="13">
        <f t="shared" si="280"/>
        <v>0</v>
      </c>
      <c r="N203" s="11"/>
      <c r="O203" s="13"/>
      <c r="R203" s="11"/>
      <c r="S203" s="2"/>
      <c r="AB203">
        <f t="shared" ref="AB203:AH203" si="281">AB113</f>
        <v>0</v>
      </c>
      <c r="AC203">
        <f t="shared" si="281"/>
        <v>0</v>
      </c>
      <c r="AD203">
        <f t="shared" si="281"/>
        <v>0</v>
      </c>
      <c r="AE203">
        <f t="shared" si="281"/>
        <v>0</v>
      </c>
      <c r="AF203">
        <f t="shared" si="281"/>
        <v>0</v>
      </c>
      <c r="AG203">
        <f t="shared" si="281"/>
        <v>0</v>
      </c>
      <c r="AH203">
        <f t="shared" si="281"/>
        <v>0</v>
      </c>
      <c r="AI203" s="2"/>
      <c r="AJ203" s="88"/>
      <c r="AK203">
        <f t="shared" ref="AK203:AN203" si="282">AK113</f>
        <v>0</v>
      </c>
      <c r="AL203" s="11">
        <f t="shared" si="282"/>
        <v>0</v>
      </c>
      <c r="AM203" s="13">
        <f t="shared" si="282"/>
        <v>0</v>
      </c>
      <c r="AN203" s="13">
        <f t="shared" si="282"/>
        <v>0</v>
      </c>
      <c r="AO203" s="11"/>
      <c r="AP203" s="13"/>
      <c r="AS203" s="11"/>
      <c r="AT203" s="2"/>
    </row>
    <row r="204" spans="1:49" x14ac:dyDescent="0.3">
      <c r="A204">
        <f t="shared" ref="A204:M204" si="283">A114</f>
        <v>0</v>
      </c>
      <c r="B204">
        <f t="shared" si="283"/>
        <v>0</v>
      </c>
      <c r="C204">
        <f t="shared" si="283"/>
        <v>0</v>
      </c>
      <c r="D204">
        <f t="shared" si="283"/>
        <v>0</v>
      </c>
      <c r="E204">
        <f t="shared" si="283"/>
        <v>0</v>
      </c>
      <c r="H204" s="12" t="str">
        <f t="shared" si="283"/>
        <v>obtain NEW Antibody Candidate product</v>
      </c>
      <c r="I204" s="30">
        <f>F211*I205</f>
        <v>1387057.925875</v>
      </c>
      <c r="J204" s="10">
        <f t="shared" si="283"/>
        <v>0</v>
      </c>
      <c r="K204" s="11">
        <f t="shared" si="283"/>
        <v>0</v>
      </c>
      <c r="L204" s="13">
        <f t="shared" si="283"/>
        <v>0</v>
      </c>
      <c r="M204">
        <f t="shared" si="283"/>
        <v>0</v>
      </c>
      <c r="N204" s="65" t="s">
        <v>76</v>
      </c>
      <c r="O204" s="67">
        <f>1-'Input 6_Product Efficacy'!$K$12</f>
        <v>0.19999999999999996</v>
      </c>
      <c r="P204" s="324">
        <f>1-P193</f>
        <v>0.27</v>
      </c>
      <c r="Q204" s="324">
        <f>1-Q193</f>
        <v>0.15000000000000002</v>
      </c>
      <c r="R204" s="18"/>
      <c r="S204" s="359" t="s">
        <v>7</v>
      </c>
      <c r="T204" s="518">
        <f>($I$204*O204*T193)+($I$204*T205)</f>
        <v>20330.893668673896</v>
      </c>
      <c r="U204" s="518">
        <f>($I$204*P204*U193)+($I$204*U205)</f>
        <v>23990.122098562351</v>
      </c>
      <c r="V204" s="518">
        <f>($I$204*Q204*V193)+($I$204*V205)</f>
        <v>17717.15907589643</v>
      </c>
      <c r="AB204">
        <f t="shared" ref="AB204:AF204" si="284">AB114</f>
        <v>0</v>
      </c>
      <c r="AC204">
        <f t="shared" si="284"/>
        <v>0</v>
      </c>
      <c r="AD204">
        <f t="shared" si="284"/>
        <v>0</v>
      </c>
      <c r="AE204">
        <f t="shared" si="284"/>
        <v>0</v>
      </c>
      <c r="AF204">
        <f t="shared" si="284"/>
        <v>0</v>
      </c>
      <c r="AI204" s="12" t="str">
        <f t="shared" ref="AI204" si="285">AI114</f>
        <v>obtain NEW Antibody Candidate product</v>
      </c>
      <c r="AJ204" s="30">
        <f>AG211*AJ205</f>
        <v>1387057.925875</v>
      </c>
      <c r="AK204" s="500">
        <f t="shared" ref="AK204:AN204" si="286">AK114</f>
        <v>0</v>
      </c>
      <c r="AL204" s="11">
        <f t="shared" si="286"/>
        <v>0</v>
      </c>
      <c r="AM204" s="13">
        <f t="shared" si="286"/>
        <v>0</v>
      </c>
      <c r="AN204">
        <f t="shared" si="286"/>
        <v>0</v>
      </c>
      <c r="AO204" s="65" t="s">
        <v>76</v>
      </c>
      <c r="AP204" s="67">
        <f>1-'Input 6_Product Efficacy'!$K$12</f>
        <v>0.19999999999999996</v>
      </c>
      <c r="AQ204" s="324">
        <f>1-AQ193</f>
        <v>0.27</v>
      </c>
      <c r="AR204" s="324">
        <f>1-AR193</f>
        <v>0.15000000000000002</v>
      </c>
      <c r="AS204" s="18"/>
      <c r="AT204" s="359" t="s">
        <v>7</v>
      </c>
      <c r="AU204" s="518">
        <f>($AJ$204*AP204*AU193)+($AJ$204*AU205)</f>
        <v>6256.6676865421023</v>
      </c>
      <c r="AV204" s="518">
        <f t="shared" ref="AV204:AW204" si="287">($AJ$204*AQ204*AV193)+($AJ$204*AV205)</f>
        <v>8245.712159871031</v>
      </c>
      <c r="AW204" s="518">
        <f t="shared" si="287"/>
        <v>4835.9216341642987</v>
      </c>
    </row>
    <row r="205" spans="1:49" x14ac:dyDescent="0.3">
      <c r="A205">
        <f t="shared" ref="A205:J205" si="288">A115</f>
        <v>0</v>
      </c>
      <c r="B205">
        <f t="shared" si="288"/>
        <v>0</v>
      </c>
      <c r="C205">
        <f t="shared" si="288"/>
        <v>0</v>
      </c>
      <c r="D205">
        <f t="shared" si="288"/>
        <v>0</v>
      </c>
      <c r="E205">
        <f t="shared" si="288"/>
        <v>0</v>
      </c>
      <c r="F205">
        <f t="shared" si="288"/>
        <v>0</v>
      </c>
      <c r="G205">
        <f t="shared" si="288"/>
        <v>0</v>
      </c>
      <c r="H205" s="59" t="str">
        <f t="shared" si="288"/>
        <v>p3</v>
      </c>
      <c r="I205" s="60">
        <f t="shared" si="288"/>
        <v>0.71</v>
      </c>
      <c r="J205">
        <f t="shared" si="288"/>
        <v>0</v>
      </c>
      <c r="K205" s="11"/>
      <c r="L205" s="13"/>
      <c r="N205" s="514" t="s">
        <v>297</v>
      </c>
      <c r="O205" s="71">
        <f>$L$198*O204</f>
        <v>0</v>
      </c>
      <c r="P205" s="71">
        <f t="shared" ref="P205:Q205" si="289">$L$198*P204</f>
        <v>0</v>
      </c>
      <c r="Q205" s="71">
        <f t="shared" si="289"/>
        <v>0</v>
      </c>
      <c r="R205" s="11"/>
      <c r="S205" s="2" t="s">
        <v>44</v>
      </c>
      <c r="T205" s="27">
        <f>'WiS percent RSV_base'!$BV$50</f>
        <v>7.1200741608062031E-3</v>
      </c>
      <c r="U205" s="61">
        <f>T205</f>
        <v>7.1200741608062031E-3</v>
      </c>
      <c r="V205" s="61">
        <f>T205</f>
        <v>7.1200741608062031E-3</v>
      </c>
      <c r="AB205">
        <f t="shared" ref="AB205:AK205" si="290">AB115</f>
        <v>0</v>
      </c>
      <c r="AC205">
        <f t="shared" si="290"/>
        <v>0</v>
      </c>
      <c r="AD205">
        <f t="shared" si="290"/>
        <v>0</v>
      </c>
      <c r="AE205">
        <f t="shared" si="290"/>
        <v>0</v>
      </c>
      <c r="AF205">
        <f t="shared" si="290"/>
        <v>0</v>
      </c>
      <c r="AG205">
        <f t="shared" si="290"/>
        <v>0</v>
      </c>
      <c r="AH205">
        <f t="shared" si="290"/>
        <v>0</v>
      </c>
      <c r="AI205" s="59" t="str">
        <f t="shared" si="290"/>
        <v>p3</v>
      </c>
      <c r="AJ205" s="60">
        <f t="shared" si="290"/>
        <v>0.71</v>
      </c>
      <c r="AK205">
        <f t="shared" si="290"/>
        <v>0</v>
      </c>
      <c r="AL205" s="11"/>
      <c r="AM205" s="13"/>
      <c r="AO205" s="514" t="s">
        <v>297</v>
      </c>
      <c r="AP205" s="71">
        <f>$L$198*AP204</f>
        <v>0</v>
      </c>
      <c r="AQ205" s="71">
        <f t="shared" ref="AQ205:AR205" si="291">$L$198*AQ204</f>
        <v>0</v>
      </c>
      <c r="AR205" s="71">
        <f t="shared" si="291"/>
        <v>0</v>
      </c>
      <c r="AS205" s="11"/>
      <c r="AT205" s="2" t="s">
        <v>44</v>
      </c>
      <c r="AU205" s="27">
        <f>AV25</f>
        <v>4.1359734610145265E-4</v>
      </c>
      <c r="AV205" s="20">
        <f>AU205</f>
        <v>4.1359734610145265E-4</v>
      </c>
      <c r="AW205" s="20">
        <f>AU205</f>
        <v>4.1359734610145265E-4</v>
      </c>
    </row>
    <row r="206" spans="1:49" x14ac:dyDescent="0.3">
      <c r="A206">
        <f t="shared" ref="A206:K206" si="292">A116</f>
        <v>0</v>
      </c>
      <c r="B206">
        <f t="shared" si="292"/>
        <v>0</v>
      </c>
      <c r="C206">
        <f t="shared" si="292"/>
        <v>0</v>
      </c>
      <c r="D206">
        <f t="shared" si="292"/>
        <v>0</v>
      </c>
      <c r="E206">
        <f t="shared" si="292"/>
        <v>0</v>
      </c>
      <c r="F206">
        <f t="shared" si="292"/>
        <v>0</v>
      </c>
      <c r="G206">
        <f t="shared" si="292"/>
        <v>0</v>
      </c>
      <c r="H206" s="59"/>
      <c r="I206" s="60"/>
      <c r="J206">
        <f t="shared" si="292"/>
        <v>0</v>
      </c>
      <c r="K206" s="11">
        <f t="shared" si="292"/>
        <v>0</v>
      </c>
      <c r="L206" s="13"/>
      <c r="N206" s="2" t="s">
        <v>298</v>
      </c>
      <c r="O206" s="307" t="s">
        <v>185</v>
      </c>
      <c r="P206" s="306" t="s">
        <v>178</v>
      </c>
      <c r="Q206" s="306" t="s">
        <v>179</v>
      </c>
      <c r="R206" s="11"/>
      <c r="S206" s="2"/>
      <c r="AB206">
        <f t="shared" ref="AB206:AH206" si="293">AB116</f>
        <v>0</v>
      </c>
      <c r="AC206">
        <f t="shared" si="293"/>
        <v>0</v>
      </c>
      <c r="AD206">
        <f t="shared" si="293"/>
        <v>0</v>
      </c>
      <c r="AE206">
        <f t="shared" si="293"/>
        <v>0</v>
      </c>
      <c r="AF206">
        <f t="shared" si="293"/>
        <v>0</v>
      </c>
      <c r="AG206">
        <f t="shared" si="293"/>
        <v>0</v>
      </c>
      <c r="AH206">
        <f t="shared" si="293"/>
        <v>0</v>
      </c>
      <c r="AI206" s="59"/>
      <c r="AJ206" s="60"/>
      <c r="AK206">
        <f t="shared" ref="AK206:AL206" si="294">AK116</f>
        <v>0</v>
      </c>
      <c r="AL206" s="11">
        <f t="shared" si="294"/>
        <v>0</v>
      </c>
      <c r="AM206" s="13"/>
      <c r="AO206" s="2" t="s">
        <v>298</v>
      </c>
      <c r="AP206" s="584" t="s">
        <v>185</v>
      </c>
      <c r="AQ206" s="583" t="s">
        <v>178</v>
      </c>
      <c r="AR206" s="583" t="s">
        <v>179</v>
      </c>
      <c r="AS206" s="11"/>
      <c r="AT206" s="2"/>
    </row>
    <row r="207" spans="1:49" x14ac:dyDescent="0.3">
      <c r="A207">
        <f t="shared" ref="A207:M207" si="295">A117</f>
        <v>0</v>
      </c>
      <c r="B207">
        <f t="shared" si="295"/>
        <v>0</v>
      </c>
      <c r="C207">
        <f t="shared" si="295"/>
        <v>0</v>
      </c>
      <c r="D207">
        <f t="shared" si="295"/>
        <v>0</v>
      </c>
      <c r="E207">
        <f t="shared" si="295"/>
        <v>0</v>
      </c>
      <c r="F207">
        <f t="shared" si="295"/>
        <v>0</v>
      </c>
      <c r="G207">
        <f t="shared" si="295"/>
        <v>0</v>
      </c>
      <c r="H207" s="59"/>
      <c r="I207" s="60"/>
      <c r="J207">
        <f t="shared" si="295"/>
        <v>0</v>
      </c>
      <c r="K207" s="11">
        <f t="shared" si="295"/>
        <v>0</v>
      </c>
      <c r="L207">
        <f t="shared" si="295"/>
        <v>0</v>
      </c>
      <c r="M207">
        <f t="shared" si="295"/>
        <v>0</v>
      </c>
      <c r="P207" s="1105" t="s">
        <v>184</v>
      </c>
      <c r="Q207" s="1105"/>
      <c r="R207" s="18"/>
      <c r="S207" s="359" t="s">
        <v>8</v>
      </c>
      <c r="T207" s="518">
        <f>($I$204*O204*T196)+($I$204*T208)</f>
        <v>4129.8093357814423</v>
      </c>
      <c r="U207" s="518">
        <f>($I$204*P204*U196)+($I$204*U208)</f>
        <v>5217.2405556211079</v>
      </c>
      <c r="V207" s="518">
        <f>($I$204*Q204*V196)+($I$204*V208)</f>
        <v>3353.0727501816827</v>
      </c>
      <c r="AB207">
        <f t="shared" ref="AB207:AH207" si="296">AB117</f>
        <v>0</v>
      </c>
      <c r="AC207">
        <f t="shared" si="296"/>
        <v>0</v>
      </c>
      <c r="AD207">
        <f t="shared" si="296"/>
        <v>0</v>
      </c>
      <c r="AE207">
        <f t="shared" si="296"/>
        <v>0</v>
      </c>
      <c r="AF207">
        <f t="shared" si="296"/>
        <v>0</v>
      </c>
      <c r="AG207">
        <f t="shared" si="296"/>
        <v>0</v>
      </c>
      <c r="AH207">
        <f t="shared" si="296"/>
        <v>0</v>
      </c>
      <c r="AI207" s="59"/>
      <c r="AJ207" s="60"/>
      <c r="AK207">
        <f t="shared" ref="AK207:AN207" si="297">AK117</f>
        <v>0</v>
      </c>
      <c r="AL207" s="11">
        <f t="shared" si="297"/>
        <v>0</v>
      </c>
      <c r="AM207">
        <f t="shared" si="297"/>
        <v>0</v>
      </c>
      <c r="AN207">
        <f t="shared" si="297"/>
        <v>0</v>
      </c>
      <c r="AQ207" s="1105" t="s">
        <v>184</v>
      </c>
      <c r="AR207" s="1105"/>
      <c r="AS207" s="18"/>
      <c r="AT207" s="359" t="s">
        <v>8</v>
      </c>
      <c r="AU207" s="518">
        <f>($AJ$204*AP204*AU196)+($AJ$204*AU208)</f>
        <v>858.71983804024876</v>
      </c>
      <c r="AV207" s="518">
        <f t="shared" ref="AV207:AW207" si="298">($AJ$204*AQ204*AV196)+($AJ$204*AV208)</f>
        <v>1133.0608979016536</v>
      </c>
      <c r="AW207" s="518">
        <f t="shared" si="298"/>
        <v>662.76193813924533</v>
      </c>
    </row>
    <row r="208" spans="1:49" x14ac:dyDescent="0.3">
      <c r="A208">
        <f t="shared" ref="A208:M208" si="299">A118</f>
        <v>0</v>
      </c>
      <c r="B208">
        <f t="shared" si="299"/>
        <v>0</v>
      </c>
      <c r="C208">
        <f t="shared" si="299"/>
        <v>0</v>
      </c>
      <c r="D208">
        <f t="shared" si="299"/>
        <v>0</v>
      </c>
      <c r="E208">
        <f t="shared" si="299"/>
        <v>0</v>
      </c>
      <c r="F208">
        <f t="shared" si="299"/>
        <v>0</v>
      </c>
      <c r="G208">
        <f t="shared" si="299"/>
        <v>0</v>
      </c>
      <c r="H208" s="11">
        <f t="shared" si="299"/>
        <v>0</v>
      </c>
      <c r="I208">
        <f t="shared" si="299"/>
        <v>0</v>
      </c>
      <c r="J208">
        <f t="shared" si="299"/>
        <v>0</v>
      </c>
      <c r="K208" s="11">
        <f t="shared" si="299"/>
        <v>0</v>
      </c>
      <c r="L208">
        <f t="shared" si="299"/>
        <v>0</v>
      </c>
      <c r="M208">
        <f t="shared" si="299"/>
        <v>0</v>
      </c>
      <c r="S208" s="2" t="s">
        <v>45</v>
      </c>
      <c r="T208" s="61">
        <f>'WiS percent RSV_base'!$BV$25</f>
        <v>7.3743350894098128E-4</v>
      </c>
      <c r="U208" s="61">
        <f>T208</f>
        <v>7.3743350894098128E-4</v>
      </c>
      <c r="V208" s="61">
        <f>T208</f>
        <v>7.3743350894098128E-4</v>
      </c>
      <c r="AB208">
        <f t="shared" ref="AB208:AN208" si="300">AB118</f>
        <v>0</v>
      </c>
      <c r="AC208">
        <f t="shared" si="300"/>
        <v>0</v>
      </c>
      <c r="AD208">
        <f t="shared" si="300"/>
        <v>0</v>
      </c>
      <c r="AE208">
        <f t="shared" si="300"/>
        <v>0</v>
      </c>
      <c r="AF208">
        <f t="shared" si="300"/>
        <v>0</v>
      </c>
      <c r="AG208">
        <f t="shared" si="300"/>
        <v>0</v>
      </c>
      <c r="AH208">
        <f t="shared" si="300"/>
        <v>0</v>
      </c>
      <c r="AI208" s="11">
        <f t="shared" si="300"/>
        <v>0</v>
      </c>
      <c r="AJ208">
        <f t="shared" si="300"/>
        <v>0</v>
      </c>
      <c r="AK208">
        <f t="shared" si="300"/>
        <v>0</v>
      </c>
      <c r="AL208" s="11">
        <f t="shared" si="300"/>
        <v>0</v>
      </c>
      <c r="AM208">
        <f t="shared" si="300"/>
        <v>0</v>
      </c>
      <c r="AN208">
        <f t="shared" si="300"/>
        <v>0</v>
      </c>
      <c r="AT208" s="2" t="s">
        <v>45</v>
      </c>
      <c r="AU208" s="20">
        <f>AV28</f>
        <v>5.3990707265519015E-5</v>
      </c>
      <c r="AV208" s="20">
        <f>AU208</f>
        <v>5.3990707265519015E-5</v>
      </c>
      <c r="AW208" s="20">
        <f>AU208</f>
        <v>5.3990707265519015E-5</v>
      </c>
    </row>
    <row r="209" spans="1:49" x14ac:dyDescent="0.3">
      <c r="A209">
        <f t="shared" ref="A209:S209" si="301">A119</f>
        <v>0</v>
      </c>
      <c r="B209">
        <f t="shared" si="301"/>
        <v>0</v>
      </c>
      <c r="C209">
        <f t="shared" si="301"/>
        <v>0</v>
      </c>
      <c r="D209">
        <f t="shared" si="301"/>
        <v>0</v>
      </c>
      <c r="E209">
        <f t="shared" si="301"/>
        <v>0</v>
      </c>
      <c r="F209">
        <f t="shared" si="301"/>
        <v>0</v>
      </c>
      <c r="G209">
        <f t="shared" si="301"/>
        <v>0</v>
      </c>
      <c r="H209" s="11">
        <f t="shared" si="301"/>
        <v>0</v>
      </c>
      <c r="I209">
        <f t="shared" si="301"/>
        <v>0</v>
      </c>
      <c r="J209">
        <f t="shared" si="301"/>
        <v>0</v>
      </c>
      <c r="K209" s="18">
        <f t="shared" si="301"/>
        <v>0</v>
      </c>
      <c r="L209" s="10">
        <f t="shared" si="301"/>
        <v>0</v>
      </c>
      <c r="M209" s="10">
        <f t="shared" si="301"/>
        <v>0</v>
      </c>
      <c r="N209">
        <f t="shared" si="301"/>
        <v>0</v>
      </c>
      <c r="O209">
        <f t="shared" si="301"/>
        <v>0</v>
      </c>
      <c r="P209">
        <f t="shared" si="301"/>
        <v>0</v>
      </c>
      <c r="Q209">
        <f t="shared" si="301"/>
        <v>0</v>
      </c>
      <c r="R209">
        <f t="shared" si="301"/>
        <v>0</v>
      </c>
      <c r="S209" s="2">
        <f t="shared" si="301"/>
        <v>0</v>
      </c>
      <c r="AB209">
        <f t="shared" ref="AB209:AT209" si="302">AB119</f>
        <v>0</v>
      </c>
      <c r="AC209">
        <f t="shared" si="302"/>
        <v>0</v>
      </c>
      <c r="AD209">
        <f t="shared" si="302"/>
        <v>0</v>
      </c>
      <c r="AE209">
        <f t="shared" si="302"/>
        <v>0</v>
      </c>
      <c r="AF209">
        <f t="shared" si="302"/>
        <v>0</v>
      </c>
      <c r="AG209">
        <f t="shared" si="302"/>
        <v>0</v>
      </c>
      <c r="AH209">
        <f t="shared" si="302"/>
        <v>0</v>
      </c>
      <c r="AI209" s="11">
        <f t="shared" si="302"/>
        <v>0</v>
      </c>
      <c r="AJ209">
        <f t="shared" si="302"/>
        <v>0</v>
      </c>
      <c r="AK209">
        <f t="shared" si="302"/>
        <v>0</v>
      </c>
      <c r="AL209" s="18">
        <f t="shared" si="302"/>
        <v>0</v>
      </c>
      <c r="AM209" s="500">
        <f t="shared" si="302"/>
        <v>0</v>
      </c>
      <c r="AN209" s="500">
        <f t="shared" si="302"/>
        <v>0</v>
      </c>
      <c r="AO209">
        <f t="shared" si="302"/>
        <v>0</v>
      </c>
      <c r="AP209">
        <f t="shared" si="302"/>
        <v>0</v>
      </c>
      <c r="AQ209">
        <f t="shared" si="302"/>
        <v>0</v>
      </c>
      <c r="AR209">
        <f t="shared" si="302"/>
        <v>0</v>
      </c>
      <c r="AS209">
        <f t="shared" si="302"/>
        <v>0</v>
      </c>
      <c r="AT209" s="2">
        <f t="shared" si="302"/>
        <v>0</v>
      </c>
    </row>
    <row r="210" spans="1:49" x14ac:dyDescent="0.3">
      <c r="A210">
        <f t="shared" ref="A210:V210" si="303">A120</f>
        <v>0</v>
      </c>
      <c r="B210">
        <f t="shared" si="303"/>
        <v>0</v>
      </c>
      <c r="C210">
        <f t="shared" si="303"/>
        <v>0</v>
      </c>
      <c r="D210">
        <f t="shared" si="303"/>
        <v>0</v>
      </c>
      <c r="E210">
        <f t="shared" si="303"/>
        <v>0</v>
      </c>
      <c r="F210">
        <f t="shared" si="303"/>
        <v>0</v>
      </c>
      <c r="G210">
        <f t="shared" si="303"/>
        <v>0</v>
      </c>
      <c r="H210" s="11">
        <f t="shared" si="303"/>
        <v>0</v>
      </c>
      <c r="I210">
        <f t="shared" si="303"/>
        <v>0</v>
      </c>
      <c r="J210">
        <f t="shared" si="303"/>
        <v>0</v>
      </c>
      <c r="K210" s="2" t="str">
        <f t="shared" si="303"/>
        <v>Not MA for RSV</v>
      </c>
      <c r="L210" s="63" t="str">
        <f t="shared" si="303"/>
        <v>unknown</v>
      </c>
      <c r="M210" s="13">
        <f t="shared" si="303"/>
        <v>0</v>
      </c>
      <c r="N210">
        <f t="shared" si="303"/>
        <v>0</v>
      </c>
      <c r="O210">
        <f t="shared" si="303"/>
        <v>0</v>
      </c>
      <c r="P210">
        <f t="shared" si="303"/>
        <v>0</v>
      </c>
      <c r="Q210">
        <f t="shared" si="303"/>
        <v>0</v>
      </c>
      <c r="R210">
        <f t="shared" si="303"/>
        <v>0</v>
      </c>
      <c r="S210">
        <f t="shared" si="303"/>
        <v>0</v>
      </c>
      <c r="T210">
        <f t="shared" si="303"/>
        <v>0</v>
      </c>
      <c r="U210">
        <f t="shared" si="303"/>
        <v>0</v>
      </c>
      <c r="V210">
        <f t="shared" si="303"/>
        <v>0</v>
      </c>
      <c r="AB210">
        <f t="shared" ref="AB210:AW210" si="304">AB120</f>
        <v>0</v>
      </c>
      <c r="AC210">
        <f t="shared" si="304"/>
        <v>0</v>
      </c>
      <c r="AD210">
        <f t="shared" si="304"/>
        <v>0</v>
      </c>
      <c r="AE210">
        <f t="shared" si="304"/>
        <v>0</v>
      </c>
      <c r="AF210">
        <f t="shared" si="304"/>
        <v>0</v>
      </c>
      <c r="AG210">
        <f t="shared" si="304"/>
        <v>0</v>
      </c>
      <c r="AH210">
        <f t="shared" si="304"/>
        <v>0</v>
      </c>
      <c r="AI210" s="11">
        <f t="shared" si="304"/>
        <v>0</v>
      </c>
      <c r="AJ210">
        <f t="shared" si="304"/>
        <v>0</v>
      </c>
      <c r="AK210">
        <f t="shared" si="304"/>
        <v>0</v>
      </c>
      <c r="AL210" s="2" t="str">
        <f t="shared" si="304"/>
        <v>Not MA for RSV</v>
      </c>
      <c r="AM210" s="63" t="str">
        <f t="shared" si="304"/>
        <v>unknown</v>
      </c>
      <c r="AN210" s="13">
        <f t="shared" si="304"/>
        <v>0</v>
      </c>
      <c r="AO210">
        <f t="shared" si="304"/>
        <v>0</v>
      </c>
      <c r="AP210">
        <f t="shared" si="304"/>
        <v>0</v>
      </c>
      <c r="AQ210">
        <f t="shared" si="304"/>
        <v>0</v>
      </c>
      <c r="AR210">
        <f t="shared" si="304"/>
        <v>0</v>
      </c>
      <c r="AS210">
        <f t="shared" si="304"/>
        <v>0</v>
      </c>
      <c r="AT210">
        <f t="shared" si="304"/>
        <v>0</v>
      </c>
      <c r="AU210">
        <f t="shared" si="304"/>
        <v>0</v>
      </c>
      <c r="AV210">
        <f t="shared" si="304"/>
        <v>0</v>
      </c>
      <c r="AW210">
        <f t="shared" si="304"/>
        <v>0</v>
      </c>
    </row>
    <row r="211" spans="1:49" x14ac:dyDescent="0.3">
      <c r="A211">
        <f t="shared" ref="A211:V211" si="305">A121</f>
        <v>0</v>
      </c>
      <c r="B211">
        <f t="shared" si="305"/>
        <v>0</v>
      </c>
      <c r="C211">
        <f t="shared" si="305"/>
        <v>0</v>
      </c>
      <c r="D211" s="10" t="str">
        <f t="shared" si="305"/>
        <v># Low Risk Newborns</v>
      </c>
      <c r="E211" s="10"/>
      <c r="F211" s="33">
        <f t="shared" si="305"/>
        <v>1953602.7124999999</v>
      </c>
      <c r="G211" s="10">
        <f t="shared" si="305"/>
        <v>0</v>
      </c>
      <c r="H211" s="11">
        <f t="shared" si="305"/>
        <v>0</v>
      </c>
      <c r="I211">
        <f t="shared" si="305"/>
        <v>0</v>
      </c>
      <c r="J211">
        <f t="shared" si="305"/>
        <v>0</v>
      </c>
      <c r="K211">
        <f t="shared" si="305"/>
        <v>0</v>
      </c>
      <c r="L211">
        <f t="shared" si="305"/>
        <v>0</v>
      </c>
      <c r="M211">
        <f t="shared" si="305"/>
        <v>0</v>
      </c>
      <c r="N211">
        <f t="shared" si="305"/>
        <v>0</v>
      </c>
      <c r="O211">
        <f t="shared" si="305"/>
        <v>0</v>
      </c>
      <c r="P211">
        <f t="shared" si="305"/>
        <v>0</v>
      </c>
      <c r="Q211">
        <f t="shared" si="305"/>
        <v>0</v>
      </c>
      <c r="R211">
        <f t="shared" si="305"/>
        <v>0</v>
      </c>
      <c r="S211">
        <f t="shared" si="305"/>
        <v>0</v>
      </c>
      <c r="T211">
        <f t="shared" si="305"/>
        <v>0</v>
      </c>
      <c r="U211">
        <f t="shared" si="305"/>
        <v>0</v>
      </c>
      <c r="V211">
        <f t="shared" si="305"/>
        <v>0</v>
      </c>
      <c r="AB211">
        <f t="shared" ref="AB211:AE211" si="306">AB121</f>
        <v>0</v>
      </c>
      <c r="AC211">
        <f t="shared" si="306"/>
        <v>0</v>
      </c>
      <c r="AD211">
        <f t="shared" si="306"/>
        <v>0</v>
      </c>
      <c r="AE211" s="500" t="str">
        <f t="shared" si="306"/>
        <v># Low Risk Newborns</v>
      </c>
      <c r="AF211" s="500"/>
      <c r="AG211" s="33">
        <f t="shared" ref="AG211:AW211" si="307">AG121</f>
        <v>1953602.7124999999</v>
      </c>
      <c r="AH211" s="500">
        <f t="shared" si="307"/>
        <v>0</v>
      </c>
      <c r="AI211" s="11">
        <f t="shared" si="307"/>
        <v>0</v>
      </c>
      <c r="AJ211">
        <f t="shared" si="307"/>
        <v>0</v>
      </c>
      <c r="AK211">
        <f t="shared" si="307"/>
        <v>0</v>
      </c>
      <c r="AL211">
        <f t="shared" si="307"/>
        <v>0</v>
      </c>
      <c r="AM211">
        <f t="shared" si="307"/>
        <v>0</v>
      </c>
      <c r="AN211">
        <f t="shared" si="307"/>
        <v>0</v>
      </c>
      <c r="AO211">
        <f t="shared" si="307"/>
        <v>0</v>
      </c>
      <c r="AP211">
        <f t="shared" si="307"/>
        <v>0</v>
      </c>
      <c r="AQ211">
        <f t="shared" si="307"/>
        <v>0</v>
      </c>
      <c r="AR211">
        <f t="shared" si="307"/>
        <v>0</v>
      </c>
      <c r="AS211">
        <f t="shared" si="307"/>
        <v>0</v>
      </c>
      <c r="AT211">
        <f t="shared" si="307"/>
        <v>0</v>
      </c>
      <c r="AU211">
        <f t="shared" si="307"/>
        <v>0</v>
      </c>
      <c r="AV211">
        <f t="shared" si="307"/>
        <v>0</v>
      </c>
      <c r="AW211">
        <f t="shared" si="307"/>
        <v>0</v>
      </c>
    </row>
    <row r="212" spans="1:49" x14ac:dyDescent="0.3">
      <c r="A212">
        <f t="shared" ref="A212:V212" si="308">A122</f>
        <v>0</v>
      </c>
      <c r="B212">
        <f t="shared" si="308"/>
        <v>0</v>
      </c>
      <c r="C212">
        <f t="shared" si="308"/>
        <v>0</v>
      </c>
      <c r="D212" s="11" t="str">
        <f t="shared" si="308"/>
        <v>in 1 season</v>
      </c>
      <c r="F212">
        <f t="shared" si="308"/>
        <v>0</v>
      </c>
      <c r="G212" s="52">
        <f t="shared" si="308"/>
        <v>0</v>
      </c>
      <c r="H212" s="11">
        <f t="shared" si="308"/>
        <v>0</v>
      </c>
      <c r="I212">
        <f t="shared" si="308"/>
        <v>0</v>
      </c>
      <c r="J212">
        <f t="shared" si="308"/>
        <v>0</v>
      </c>
      <c r="K212">
        <f t="shared" si="308"/>
        <v>0</v>
      </c>
      <c r="L212">
        <f t="shared" si="308"/>
        <v>0</v>
      </c>
      <c r="M212">
        <f t="shared" si="308"/>
        <v>0</v>
      </c>
      <c r="N212">
        <f t="shared" si="308"/>
        <v>0</v>
      </c>
      <c r="O212">
        <f t="shared" si="308"/>
        <v>0</v>
      </c>
      <c r="P212">
        <f t="shared" si="308"/>
        <v>0</v>
      </c>
      <c r="Q212">
        <f t="shared" si="308"/>
        <v>0</v>
      </c>
      <c r="R212">
        <f t="shared" si="308"/>
        <v>0</v>
      </c>
      <c r="S212">
        <f t="shared" si="308"/>
        <v>0</v>
      </c>
      <c r="T212">
        <f t="shared" si="308"/>
        <v>0</v>
      </c>
      <c r="U212">
        <f t="shared" si="308"/>
        <v>0</v>
      </c>
      <c r="V212">
        <f t="shared" si="308"/>
        <v>0</v>
      </c>
      <c r="AB212">
        <f t="shared" ref="AB212:AE212" si="309">AB122</f>
        <v>0</v>
      </c>
      <c r="AC212">
        <f t="shared" si="309"/>
        <v>0</v>
      </c>
      <c r="AD212">
        <f t="shared" si="309"/>
        <v>0</v>
      </c>
      <c r="AE212" s="11" t="str">
        <f t="shared" si="309"/>
        <v>in 1 season</v>
      </c>
      <c r="AG212">
        <f t="shared" ref="AG212:AW212" si="310">AG122</f>
        <v>0</v>
      </c>
      <c r="AH212" s="52">
        <f t="shared" si="310"/>
        <v>0</v>
      </c>
      <c r="AI212" s="11">
        <f t="shared" si="310"/>
        <v>0</v>
      </c>
      <c r="AJ212">
        <f t="shared" si="310"/>
        <v>0</v>
      </c>
      <c r="AK212">
        <f t="shared" si="310"/>
        <v>0</v>
      </c>
      <c r="AL212">
        <f t="shared" si="310"/>
        <v>0</v>
      </c>
      <c r="AM212">
        <f t="shared" si="310"/>
        <v>0</v>
      </c>
      <c r="AN212">
        <f t="shared" si="310"/>
        <v>0</v>
      </c>
      <c r="AO212">
        <f t="shared" si="310"/>
        <v>0</v>
      </c>
      <c r="AP212">
        <f t="shared" si="310"/>
        <v>0</v>
      </c>
      <c r="AQ212">
        <f t="shared" si="310"/>
        <v>0</v>
      </c>
      <c r="AR212">
        <f t="shared" si="310"/>
        <v>0</v>
      </c>
      <c r="AS212">
        <f t="shared" si="310"/>
        <v>0</v>
      </c>
      <c r="AT212">
        <f t="shared" si="310"/>
        <v>0</v>
      </c>
      <c r="AU212">
        <f t="shared" si="310"/>
        <v>0</v>
      </c>
      <c r="AV212">
        <f t="shared" si="310"/>
        <v>0</v>
      </c>
      <c r="AW212">
        <f t="shared" si="310"/>
        <v>0</v>
      </c>
    </row>
    <row r="213" spans="1:49" x14ac:dyDescent="0.3">
      <c r="A213">
        <f t="shared" ref="A213:V213" si="311">A123</f>
        <v>0</v>
      </c>
      <c r="B213">
        <f t="shared" si="311"/>
        <v>0</v>
      </c>
      <c r="C213">
        <f t="shared" si="311"/>
        <v>0</v>
      </c>
      <c r="D213" s="11">
        <f t="shared" si="311"/>
        <v>0</v>
      </c>
      <c r="E213" s="14" t="str">
        <f t="shared" si="311"/>
        <v>1-p1</v>
      </c>
      <c r="F213" s="27">
        <f t="shared" si="311"/>
        <v>0.99019999999999997</v>
      </c>
      <c r="G213">
        <f t="shared" si="311"/>
        <v>0</v>
      </c>
      <c r="H213" s="11">
        <f t="shared" si="311"/>
        <v>0</v>
      </c>
      <c r="I213">
        <f t="shared" si="311"/>
        <v>0</v>
      </c>
      <c r="K213" s="2" t="str">
        <f t="shared" si="311"/>
        <v>Not MA for RSV</v>
      </c>
      <c r="L213" s="62" t="str">
        <f t="shared" si="311"/>
        <v>unknown</v>
      </c>
      <c r="M213">
        <f t="shared" si="311"/>
        <v>0</v>
      </c>
      <c r="N213">
        <f t="shared" si="311"/>
        <v>0</v>
      </c>
      <c r="O213">
        <f t="shared" si="311"/>
        <v>0</v>
      </c>
      <c r="P213">
        <f t="shared" si="311"/>
        <v>0</v>
      </c>
      <c r="Q213">
        <f t="shared" si="311"/>
        <v>0</v>
      </c>
      <c r="R213">
        <f t="shared" si="311"/>
        <v>0</v>
      </c>
      <c r="S213">
        <f t="shared" si="311"/>
        <v>0</v>
      </c>
      <c r="T213">
        <f t="shared" si="311"/>
        <v>0</v>
      </c>
      <c r="U213">
        <f t="shared" si="311"/>
        <v>0</v>
      </c>
      <c r="V213">
        <f t="shared" si="311"/>
        <v>0</v>
      </c>
      <c r="AB213">
        <f t="shared" ref="AB213:AJ213" si="312">AB123</f>
        <v>0</v>
      </c>
      <c r="AC213">
        <f t="shared" si="312"/>
        <v>0</v>
      </c>
      <c r="AD213">
        <f t="shared" si="312"/>
        <v>0</v>
      </c>
      <c r="AE213" s="11">
        <f t="shared" si="312"/>
        <v>0</v>
      </c>
      <c r="AF213" s="14" t="str">
        <f t="shared" si="312"/>
        <v>1-p1</v>
      </c>
      <c r="AG213" s="27">
        <f t="shared" si="312"/>
        <v>0.99019999999999997</v>
      </c>
      <c r="AH213">
        <f t="shared" si="312"/>
        <v>0</v>
      </c>
      <c r="AI213" s="11">
        <f t="shared" si="312"/>
        <v>0</v>
      </c>
      <c r="AJ213">
        <f t="shared" si="312"/>
        <v>0</v>
      </c>
      <c r="AL213" s="2" t="str">
        <f t="shared" ref="AL213:AW213" si="313">AL123</f>
        <v>Not MA for RSV</v>
      </c>
      <c r="AM213" s="62" t="str">
        <f t="shared" si="313"/>
        <v>unknown</v>
      </c>
      <c r="AN213">
        <f t="shared" si="313"/>
        <v>0</v>
      </c>
      <c r="AO213">
        <f t="shared" si="313"/>
        <v>0</v>
      </c>
      <c r="AP213">
        <f t="shared" si="313"/>
        <v>0</v>
      </c>
      <c r="AQ213">
        <f t="shared" si="313"/>
        <v>0</v>
      </c>
      <c r="AR213">
        <f t="shared" si="313"/>
        <v>0</v>
      </c>
      <c r="AS213">
        <f t="shared" si="313"/>
        <v>0</v>
      </c>
      <c r="AT213">
        <f t="shared" si="313"/>
        <v>0</v>
      </c>
      <c r="AU213">
        <f t="shared" si="313"/>
        <v>0</v>
      </c>
      <c r="AV213">
        <f t="shared" si="313"/>
        <v>0</v>
      </c>
      <c r="AW213">
        <f t="shared" si="313"/>
        <v>0</v>
      </c>
    </row>
    <row r="214" spans="1:49" x14ac:dyDescent="0.3">
      <c r="A214">
        <f t="shared" ref="A214:V214" si="314">A124</f>
        <v>0</v>
      </c>
      <c r="B214">
        <f t="shared" si="314"/>
        <v>0</v>
      </c>
      <c r="C214">
        <f t="shared" si="314"/>
        <v>0</v>
      </c>
      <c r="D214" s="11">
        <f t="shared" si="314"/>
        <v>0</v>
      </c>
      <c r="E214">
        <f t="shared" si="314"/>
        <v>0</v>
      </c>
      <c r="F214">
        <f t="shared" si="314"/>
        <v>0</v>
      </c>
      <c r="G214">
        <f t="shared" si="314"/>
        <v>0</v>
      </c>
      <c r="H214" s="59"/>
      <c r="I214" s="318"/>
      <c r="J214">
        <f t="shared" si="314"/>
        <v>0</v>
      </c>
      <c r="K214" s="16">
        <f t="shared" si="314"/>
        <v>0</v>
      </c>
      <c r="L214">
        <f t="shared" si="314"/>
        <v>0</v>
      </c>
      <c r="M214" s="17">
        <f t="shared" si="314"/>
        <v>0</v>
      </c>
      <c r="N214">
        <f t="shared" si="314"/>
        <v>0</v>
      </c>
      <c r="O214">
        <f t="shared" si="314"/>
        <v>0</v>
      </c>
      <c r="P214">
        <f t="shared" si="314"/>
        <v>0</v>
      </c>
      <c r="Q214" s="1096"/>
      <c r="R214" s="1096"/>
      <c r="S214">
        <f t="shared" si="314"/>
        <v>0</v>
      </c>
      <c r="T214">
        <f t="shared" si="314"/>
        <v>0</v>
      </c>
      <c r="U214" s="29">
        <f t="shared" si="314"/>
        <v>0</v>
      </c>
      <c r="V214">
        <f t="shared" si="314"/>
        <v>0</v>
      </c>
      <c r="AB214">
        <f t="shared" ref="AB214:AH214" si="315">AB124</f>
        <v>0</v>
      </c>
      <c r="AC214">
        <f t="shared" si="315"/>
        <v>0</v>
      </c>
      <c r="AD214">
        <f t="shared" si="315"/>
        <v>0</v>
      </c>
      <c r="AE214" s="11">
        <f t="shared" si="315"/>
        <v>0</v>
      </c>
      <c r="AF214">
        <f t="shared" si="315"/>
        <v>0</v>
      </c>
      <c r="AG214">
        <f t="shared" si="315"/>
        <v>0</v>
      </c>
      <c r="AH214">
        <f t="shared" si="315"/>
        <v>0</v>
      </c>
      <c r="AI214" s="59"/>
      <c r="AJ214" s="318"/>
      <c r="AK214">
        <f t="shared" ref="AK214:AQ214" si="316">AK124</f>
        <v>0</v>
      </c>
      <c r="AL214" s="16">
        <f t="shared" si="316"/>
        <v>0</v>
      </c>
      <c r="AM214">
        <f t="shared" si="316"/>
        <v>0</v>
      </c>
      <c r="AN214" s="17">
        <f t="shared" si="316"/>
        <v>0</v>
      </c>
      <c r="AO214">
        <f t="shared" si="316"/>
        <v>0</v>
      </c>
      <c r="AP214">
        <f t="shared" si="316"/>
        <v>0</v>
      </c>
      <c r="AQ214">
        <f t="shared" si="316"/>
        <v>0</v>
      </c>
      <c r="AR214" s="1096"/>
      <c r="AS214" s="1096"/>
      <c r="AT214">
        <f t="shared" ref="AT214:AW214" si="317">AT124</f>
        <v>0</v>
      </c>
      <c r="AU214">
        <f t="shared" si="317"/>
        <v>0</v>
      </c>
      <c r="AV214" s="29">
        <f t="shared" si="317"/>
        <v>0</v>
      </c>
      <c r="AW214">
        <f t="shared" si="317"/>
        <v>0</v>
      </c>
    </row>
    <row r="215" spans="1:49" x14ac:dyDescent="0.3">
      <c r="A215">
        <f t="shared" ref="A215:V215" si="318">A125</f>
        <v>0</v>
      </c>
      <c r="B215">
        <f t="shared" si="318"/>
        <v>0</v>
      </c>
      <c r="C215">
        <f t="shared" si="318"/>
        <v>0</v>
      </c>
      <c r="D215" s="11">
        <f t="shared" si="318"/>
        <v>0</v>
      </c>
      <c r="E215">
        <f t="shared" si="318"/>
        <v>0</v>
      </c>
      <c r="F215">
        <f t="shared" si="318"/>
        <v>0</v>
      </c>
      <c r="G215">
        <f t="shared" si="318"/>
        <v>0</v>
      </c>
      <c r="H215" s="59"/>
      <c r="I215" s="318"/>
      <c r="J215">
        <f t="shared" si="318"/>
        <v>0</v>
      </c>
      <c r="K215" s="11">
        <f t="shared" si="318"/>
        <v>0</v>
      </c>
      <c r="L215" s="13">
        <f t="shared" si="318"/>
        <v>0</v>
      </c>
      <c r="M215" s="13">
        <f t="shared" si="318"/>
        <v>0</v>
      </c>
      <c r="N215">
        <f t="shared" si="318"/>
        <v>0</v>
      </c>
      <c r="O215">
        <f t="shared" si="318"/>
        <v>0</v>
      </c>
      <c r="P215" s="237" t="str">
        <f t="shared" si="318"/>
        <v>base</v>
      </c>
      <c r="Q215" s="319" t="str">
        <f t="shared" si="318"/>
        <v>low</v>
      </c>
      <c r="R215" s="319" t="str">
        <f t="shared" si="318"/>
        <v>high</v>
      </c>
      <c r="S215">
        <f t="shared" si="318"/>
        <v>0</v>
      </c>
      <c r="T215" s="37">
        <f t="shared" si="318"/>
        <v>0</v>
      </c>
      <c r="U215" s="20">
        <f t="shared" si="318"/>
        <v>0</v>
      </c>
      <c r="V215">
        <f t="shared" si="318"/>
        <v>0</v>
      </c>
      <c r="AB215">
        <f t="shared" ref="AB215:AH215" si="319">AB125</f>
        <v>0</v>
      </c>
      <c r="AC215">
        <f t="shared" si="319"/>
        <v>0</v>
      </c>
      <c r="AD215">
        <f t="shared" si="319"/>
        <v>0</v>
      </c>
      <c r="AE215" s="11">
        <f t="shared" si="319"/>
        <v>0</v>
      </c>
      <c r="AF215">
        <f t="shared" si="319"/>
        <v>0</v>
      </c>
      <c r="AG215">
        <f t="shared" si="319"/>
        <v>0</v>
      </c>
      <c r="AH215">
        <f t="shared" si="319"/>
        <v>0</v>
      </c>
      <c r="AI215" s="59"/>
      <c r="AJ215" s="318"/>
      <c r="AK215">
        <f t="shared" ref="AK215:AW215" si="320">AK125</f>
        <v>0</v>
      </c>
      <c r="AL215" s="11">
        <f t="shared" si="320"/>
        <v>0</v>
      </c>
      <c r="AM215" s="13">
        <f t="shared" si="320"/>
        <v>0</v>
      </c>
      <c r="AN215" s="13">
        <f t="shared" si="320"/>
        <v>0</v>
      </c>
      <c r="AO215">
        <f t="shared" si="320"/>
        <v>0</v>
      </c>
      <c r="AP215">
        <f t="shared" si="320"/>
        <v>0</v>
      </c>
      <c r="AQ215" s="589" t="str">
        <f t="shared" si="320"/>
        <v>base</v>
      </c>
      <c r="AR215" s="319" t="str">
        <f t="shared" si="320"/>
        <v>low</v>
      </c>
      <c r="AS215" s="319" t="str">
        <f t="shared" si="320"/>
        <v>high</v>
      </c>
      <c r="AT215">
        <f t="shared" si="320"/>
        <v>0</v>
      </c>
      <c r="AU215" s="37">
        <f t="shared" si="320"/>
        <v>0</v>
      </c>
      <c r="AV215" s="20">
        <f t="shared" si="320"/>
        <v>0</v>
      </c>
      <c r="AW215">
        <f t="shared" si="320"/>
        <v>0</v>
      </c>
    </row>
    <row r="216" spans="1:49" x14ac:dyDescent="0.3">
      <c r="A216">
        <f t="shared" ref="A216:V216" si="321">A126</f>
        <v>0</v>
      </c>
      <c r="B216">
        <f t="shared" si="321"/>
        <v>0</v>
      </c>
      <c r="C216">
        <f t="shared" si="321"/>
        <v>0</v>
      </c>
      <c r="D216" s="11">
        <f t="shared" si="321"/>
        <v>0</v>
      </c>
      <c r="E216">
        <f t="shared" si="321"/>
        <v>0</v>
      </c>
      <c r="F216">
        <f t="shared" si="321"/>
        <v>0</v>
      </c>
      <c r="G216">
        <f t="shared" si="321"/>
        <v>0</v>
      </c>
      <c r="H216" s="59" t="str">
        <f t="shared" si="321"/>
        <v>1-p3</v>
      </c>
      <c r="I216" s="67">
        <f t="shared" si="321"/>
        <v>0.29000000000000004</v>
      </c>
      <c r="J216" s="10">
        <f t="shared" si="321"/>
        <v>0</v>
      </c>
      <c r="K216" s="11">
        <f t="shared" si="321"/>
        <v>0</v>
      </c>
      <c r="L216">
        <f t="shared" si="321"/>
        <v>0</v>
      </c>
      <c r="M216">
        <f t="shared" si="321"/>
        <v>0</v>
      </c>
      <c r="N216">
        <f t="shared" si="321"/>
        <v>0</v>
      </c>
      <c r="O216" s="12" t="str">
        <f t="shared" si="321"/>
        <v>Outpatient</v>
      </c>
      <c r="P216" s="30">
        <f>I217*P217</f>
        <v>73214.495143857712</v>
      </c>
      <c r="Q216" s="320">
        <f t="shared" si="321"/>
        <v>85837.683961764196</v>
      </c>
      <c r="R216" s="320">
        <f t="shared" si="321"/>
        <v>60591.306325951191</v>
      </c>
      <c r="S216">
        <f t="shared" si="321"/>
        <v>0</v>
      </c>
      <c r="T216" s="69">
        <f t="shared" si="321"/>
        <v>0</v>
      </c>
      <c r="U216">
        <f t="shared" si="321"/>
        <v>0</v>
      </c>
      <c r="V216">
        <f t="shared" si="321"/>
        <v>0</v>
      </c>
      <c r="AB216">
        <f t="shared" ref="AB216:AP216" si="322">AB126</f>
        <v>0</v>
      </c>
      <c r="AC216">
        <f t="shared" si="322"/>
        <v>0</v>
      </c>
      <c r="AD216">
        <f t="shared" si="322"/>
        <v>0</v>
      </c>
      <c r="AE216" s="11">
        <f t="shared" si="322"/>
        <v>0</v>
      </c>
      <c r="AF216">
        <f t="shared" si="322"/>
        <v>0</v>
      </c>
      <c r="AG216">
        <f t="shared" si="322"/>
        <v>0</v>
      </c>
      <c r="AH216">
        <f t="shared" si="322"/>
        <v>0</v>
      </c>
      <c r="AI216" s="59" t="str">
        <f t="shared" si="322"/>
        <v>1-p3</v>
      </c>
      <c r="AJ216" s="67">
        <f t="shared" si="322"/>
        <v>0.29000000000000004</v>
      </c>
      <c r="AK216" s="500">
        <f t="shared" si="322"/>
        <v>0</v>
      </c>
      <c r="AL216" s="11">
        <f t="shared" si="322"/>
        <v>0</v>
      </c>
      <c r="AM216">
        <f t="shared" si="322"/>
        <v>0</v>
      </c>
      <c r="AN216">
        <f t="shared" si="322"/>
        <v>0</v>
      </c>
      <c r="AO216">
        <f t="shared" si="322"/>
        <v>0</v>
      </c>
      <c r="AP216" s="12" t="str">
        <f t="shared" si="322"/>
        <v>Outpatient</v>
      </c>
      <c r="AQ216" s="30">
        <f>AJ217*AQ217</f>
        <v>29773.704791400502</v>
      </c>
      <c r="AR216" s="320">
        <f t="shared" ref="AR216:AW216" si="323">AR126</f>
        <v>34907.102169228165</v>
      </c>
      <c r="AS216" s="320">
        <f t="shared" si="323"/>
        <v>24640.307413572824</v>
      </c>
      <c r="AT216">
        <f t="shared" si="323"/>
        <v>0</v>
      </c>
      <c r="AU216" s="69">
        <f t="shared" si="323"/>
        <v>0</v>
      </c>
      <c r="AV216">
        <f t="shared" si="323"/>
        <v>0</v>
      </c>
      <c r="AW216">
        <f t="shared" si="323"/>
        <v>0</v>
      </c>
    </row>
    <row r="217" spans="1:49" x14ac:dyDescent="0.3">
      <c r="A217">
        <f t="shared" ref="A217:V217" si="324">A127</f>
        <v>0</v>
      </c>
      <c r="B217">
        <f t="shared" si="324"/>
        <v>0</v>
      </c>
      <c r="C217">
        <f t="shared" si="324"/>
        <v>0</v>
      </c>
      <c r="D217" s="11">
        <f t="shared" si="324"/>
        <v>0</v>
      </c>
      <c r="E217">
        <f t="shared" si="324"/>
        <v>0</v>
      </c>
      <c r="F217">
        <f t="shared" si="324"/>
        <v>0</v>
      </c>
      <c r="H217" s="15" t="str">
        <f t="shared" si="324"/>
        <v>DON'T OBTAIN</v>
      </c>
      <c r="I217" s="28">
        <f t="shared" si="324"/>
        <v>566544.78662500007</v>
      </c>
      <c r="J217">
        <f t="shared" si="324"/>
        <v>0</v>
      </c>
      <c r="K217" s="59"/>
      <c r="L217" s="50"/>
      <c r="M217">
        <f t="shared" si="324"/>
        <v>0</v>
      </c>
      <c r="N217" s="16">
        <f t="shared" si="324"/>
        <v>0</v>
      </c>
      <c r="O217" s="2" t="str">
        <f t="shared" si="324"/>
        <v>p5c</v>
      </c>
      <c r="P217" s="61">
        <f t="shared" si="324"/>
        <v>0.12922984532257092</v>
      </c>
      <c r="Q217" s="321">
        <f t="shared" si="324"/>
        <v>0.12922984532257092</v>
      </c>
      <c r="R217" s="321">
        <f t="shared" si="324"/>
        <v>0.12922984532257092</v>
      </c>
      <c r="S217">
        <f t="shared" si="324"/>
        <v>0</v>
      </c>
      <c r="T217">
        <f t="shared" si="324"/>
        <v>0</v>
      </c>
      <c r="U217">
        <f t="shared" si="324"/>
        <v>0</v>
      </c>
      <c r="V217">
        <f t="shared" si="324"/>
        <v>0</v>
      </c>
      <c r="AB217">
        <f t="shared" ref="AB217:AG217" si="325">AB127</f>
        <v>0</v>
      </c>
      <c r="AC217">
        <f t="shared" si="325"/>
        <v>0</v>
      </c>
      <c r="AD217">
        <f t="shared" si="325"/>
        <v>0</v>
      </c>
      <c r="AE217" s="11">
        <f t="shared" si="325"/>
        <v>0</v>
      </c>
      <c r="AF217">
        <f t="shared" si="325"/>
        <v>0</v>
      </c>
      <c r="AG217">
        <f t="shared" si="325"/>
        <v>0</v>
      </c>
      <c r="AI217" s="15" t="str">
        <f t="shared" ref="AI217:AK217" si="326">AI127</f>
        <v>DON'T OBTAIN</v>
      </c>
      <c r="AJ217" s="28">
        <f t="shared" si="326"/>
        <v>566544.78662500007</v>
      </c>
      <c r="AK217">
        <f t="shared" si="326"/>
        <v>0</v>
      </c>
      <c r="AL217" s="59"/>
      <c r="AM217" s="50"/>
      <c r="AN217">
        <f t="shared" ref="AN217:AW217" si="327">AN127</f>
        <v>0</v>
      </c>
      <c r="AO217" s="16">
        <f t="shared" si="327"/>
        <v>0</v>
      </c>
      <c r="AP217" s="2" t="str">
        <f t="shared" si="327"/>
        <v>p5c</v>
      </c>
      <c r="AQ217" s="61">
        <f t="shared" si="327"/>
        <v>5.2553135240670609E-2</v>
      </c>
      <c r="AR217" s="321">
        <f t="shared" si="327"/>
        <v>5.2553135240670609E-2</v>
      </c>
      <c r="AS217" s="321">
        <f t="shared" si="327"/>
        <v>5.2553135240670609E-2</v>
      </c>
      <c r="AT217">
        <f t="shared" si="327"/>
        <v>0</v>
      </c>
      <c r="AU217">
        <f t="shared" si="327"/>
        <v>0</v>
      </c>
      <c r="AV217">
        <f t="shared" si="327"/>
        <v>0</v>
      </c>
      <c r="AW217">
        <f t="shared" si="327"/>
        <v>0</v>
      </c>
    </row>
    <row r="218" spans="1:49" x14ac:dyDescent="0.3">
      <c r="A218">
        <f t="shared" ref="A218:V218" si="328">A128</f>
        <v>0</v>
      </c>
      <c r="B218">
        <f t="shared" si="328"/>
        <v>0</v>
      </c>
      <c r="C218">
        <f t="shared" si="328"/>
        <v>0</v>
      </c>
      <c r="D218" s="11">
        <f t="shared" si="328"/>
        <v>0</v>
      </c>
      <c r="E218">
        <f t="shared" si="328"/>
        <v>0</v>
      </c>
      <c r="F218">
        <f t="shared" si="328"/>
        <v>0</v>
      </c>
      <c r="G218">
        <f t="shared" si="328"/>
        <v>0</v>
      </c>
      <c r="H218" s="2"/>
      <c r="I218" s="28"/>
      <c r="J218">
        <f t="shared" si="328"/>
        <v>0</v>
      </c>
      <c r="K218" s="238"/>
      <c r="L218" s="50"/>
      <c r="M218">
        <f t="shared" si="328"/>
        <v>0</v>
      </c>
      <c r="N218" s="11">
        <f t="shared" si="328"/>
        <v>0</v>
      </c>
      <c r="O218" s="2">
        <f t="shared" si="328"/>
        <v>0</v>
      </c>
      <c r="P218">
        <f t="shared" si="328"/>
        <v>0</v>
      </c>
      <c r="Q218" s="322">
        <f t="shared" si="328"/>
        <v>0</v>
      </c>
      <c r="R218" s="322">
        <f t="shared" si="328"/>
        <v>0</v>
      </c>
      <c r="S218">
        <f t="shared" si="328"/>
        <v>0</v>
      </c>
      <c r="T218">
        <f t="shared" si="328"/>
        <v>0</v>
      </c>
      <c r="U218">
        <f t="shared" si="328"/>
        <v>0</v>
      </c>
      <c r="V218">
        <f t="shared" si="328"/>
        <v>0</v>
      </c>
      <c r="AB218">
        <f t="shared" ref="AB218:AH218" si="329">AB128</f>
        <v>0</v>
      </c>
      <c r="AC218">
        <f t="shared" si="329"/>
        <v>0</v>
      </c>
      <c r="AD218">
        <f t="shared" si="329"/>
        <v>0</v>
      </c>
      <c r="AE218" s="11">
        <f t="shared" si="329"/>
        <v>0</v>
      </c>
      <c r="AF218">
        <f t="shared" si="329"/>
        <v>0</v>
      </c>
      <c r="AG218">
        <f t="shared" si="329"/>
        <v>0</v>
      </c>
      <c r="AH218">
        <f t="shared" si="329"/>
        <v>0</v>
      </c>
      <c r="AI218" s="2"/>
      <c r="AJ218" s="28"/>
      <c r="AK218">
        <f t="shared" ref="AK218" si="330">AK128</f>
        <v>0</v>
      </c>
      <c r="AL218" s="238"/>
      <c r="AM218" s="50"/>
      <c r="AN218">
        <f t="shared" ref="AN218:AW218" si="331">AN128</f>
        <v>0</v>
      </c>
      <c r="AO218" s="11">
        <f t="shared" si="331"/>
        <v>0</v>
      </c>
      <c r="AP218" s="2">
        <f t="shared" si="331"/>
        <v>0</v>
      </c>
      <c r="AQ218">
        <f t="shared" si="331"/>
        <v>0</v>
      </c>
      <c r="AR218" s="322">
        <f t="shared" si="331"/>
        <v>0</v>
      </c>
      <c r="AS218" s="322">
        <f t="shared" si="331"/>
        <v>0</v>
      </c>
      <c r="AT218">
        <f t="shared" si="331"/>
        <v>0</v>
      </c>
      <c r="AU218">
        <f t="shared" si="331"/>
        <v>0</v>
      </c>
      <c r="AV218">
        <f t="shared" si="331"/>
        <v>0</v>
      </c>
      <c r="AW218">
        <f t="shared" si="331"/>
        <v>0</v>
      </c>
    </row>
    <row r="219" spans="1:49" x14ac:dyDescent="0.3">
      <c r="A219">
        <f t="shared" ref="A219:V219" si="332">A129</f>
        <v>0</v>
      </c>
      <c r="B219">
        <f t="shared" si="332"/>
        <v>0</v>
      </c>
      <c r="C219">
        <f t="shared" si="332"/>
        <v>0</v>
      </c>
      <c r="D219" s="11">
        <f t="shared" si="332"/>
        <v>0</v>
      </c>
      <c r="E219">
        <f t="shared" si="332"/>
        <v>0</v>
      </c>
      <c r="F219">
        <f t="shared" si="332"/>
        <v>0</v>
      </c>
      <c r="G219">
        <f t="shared" si="332"/>
        <v>0</v>
      </c>
      <c r="H219" s="2"/>
      <c r="I219" s="28"/>
      <c r="J219">
        <f t="shared" si="332"/>
        <v>0</v>
      </c>
      <c r="K219" s="18" t="str">
        <f t="shared" si="332"/>
        <v>sum p5a-c</v>
      </c>
      <c r="L219" s="50">
        <f t="shared" si="332"/>
        <v>0.18597458567567429</v>
      </c>
      <c r="M219" s="10">
        <f t="shared" si="332"/>
        <v>0</v>
      </c>
      <c r="N219" s="18">
        <f t="shared" si="332"/>
        <v>0</v>
      </c>
      <c r="O219" s="12" t="str">
        <f t="shared" si="332"/>
        <v>ED</v>
      </c>
      <c r="P219" s="30">
        <f>I217*P220</f>
        <v>25385.475597750534</v>
      </c>
      <c r="Q219" s="320">
        <f t="shared" si="332"/>
        <v>29762.28173529372</v>
      </c>
      <c r="R219" s="320">
        <f t="shared" si="332"/>
        <v>21008.669460207333</v>
      </c>
      <c r="S219">
        <f t="shared" si="332"/>
        <v>0</v>
      </c>
      <c r="T219">
        <f t="shared" si="332"/>
        <v>0</v>
      </c>
      <c r="U219">
        <f t="shared" si="332"/>
        <v>0</v>
      </c>
      <c r="V219">
        <f t="shared" si="332"/>
        <v>0</v>
      </c>
      <c r="AB219">
        <f t="shared" ref="AB219:AH219" si="333">AB129</f>
        <v>0</v>
      </c>
      <c r="AC219">
        <f t="shared" si="333"/>
        <v>0</v>
      </c>
      <c r="AD219">
        <f t="shared" si="333"/>
        <v>0</v>
      </c>
      <c r="AE219" s="11">
        <f t="shared" si="333"/>
        <v>0</v>
      </c>
      <c r="AF219">
        <f t="shared" si="333"/>
        <v>0</v>
      </c>
      <c r="AG219">
        <f t="shared" si="333"/>
        <v>0</v>
      </c>
      <c r="AH219">
        <f t="shared" si="333"/>
        <v>0</v>
      </c>
      <c r="AI219" s="2"/>
      <c r="AJ219" s="28"/>
      <c r="AK219">
        <f t="shared" ref="AK219:AP219" si="334">AK129</f>
        <v>0</v>
      </c>
      <c r="AL219" s="18" t="str">
        <f t="shared" si="334"/>
        <v>sum p5a-c</v>
      </c>
      <c r="AM219" s="50">
        <f t="shared" si="334"/>
        <v>7.633199129690689E-2</v>
      </c>
      <c r="AN219" s="500">
        <f t="shared" si="334"/>
        <v>0</v>
      </c>
      <c r="AO219" s="18">
        <f t="shared" si="334"/>
        <v>0</v>
      </c>
      <c r="AP219" s="12" t="str">
        <f t="shared" si="334"/>
        <v>ED</v>
      </c>
      <c r="AQ219" s="30">
        <f>AJ217*AQ220</f>
        <v>11840.41593257778</v>
      </c>
      <c r="AR219" s="320">
        <f t="shared" ref="AR219:AW219" si="335">AR129</f>
        <v>13881.866955436015</v>
      </c>
      <c r="AS219" s="320">
        <f t="shared" si="335"/>
        <v>9798.9649097195397</v>
      </c>
      <c r="AT219">
        <f t="shared" si="335"/>
        <v>0</v>
      </c>
      <c r="AU219">
        <f t="shared" si="335"/>
        <v>0</v>
      </c>
      <c r="AV219">
        <f t="shared" si="335"/>
        <v>0</v>
      </c>
      <c r="AW219">
        <f t="shared" si="335"/>
        <v>0</v>
      </c>
    </row>
    <row r="220" spans="1:49" x14ac:dyDescent="0.3">
      <c r="A220">
        <f t="shared" ref="A220:V220" si="336">A130</f>
        <v>0</v>
      </c>
      <c r="B220">
        <f t="shared" si="336"/>
        <v>0</v>
      </c>
      <c r="C220">
        <f t="shared" si="336"/>
        <v>0</v>
      </c>
      <c r="D220" s="11">
        <f t="shared" si="336"/>
        <v>0</v>
      </c>
      <c r="E220">
        <f t="shared" si="336"/>
        <v>0</v>
      </c>
      <c r="F220">
        <f t="shared" si="336"/>
        <v>0</v>
      </c>
      <c r="G220">
        <f t="shared" si="336"/>
        <v>0</v>
      </c>
      <c r="H220">
        <f t="shared" si="336"/>
        <v>0</v>
      </c>
      <c r="K220" s="2" t="str">
        <f t="shared" si="336"/>
        <v>Medically Attended for RSV</v>
      </c>
      <c r="L220" s="54">
        <f>I217*L219</f>
        <v>105362.93195929768</v>
      </c>
      <c r="M220">
        <f t="shared" si="336"/>
        <v>0</v>
      </c>
      <c r="N220" s="11">
        <f t="shared" si="336"/>
        <v>0</v>
      </c>
      <c r="O220" s="2" t="str">
        <f t="shared" si="336"/>
        <v>p5b</v>
      </c>
      <c r="P220" s="61">
        <f t="shared" si="336"/>
        <v>4.4807535427121237E-2</v>
      </c>
      <c r="Q220" s="321">
        <f t="shared" si="336"/>
        <v>4.4807535427121237E-2</v>
      </c>
      <c r="R220" s="321">
        <f t="shared" si="336"/>
        <v>4.4807535427121237E-2</v>
      </c>
      <c r="S220">
        <f t="shared" si="336"/>
        <v>0</v>
      </c>
      <c r="T220">
        <f t="shared" si="336"/>
        <v>0</v>
      </c>
      <c r="U220">
        <f t="shared" si="336"/>
        <v>0</v>
      </c>
      <c r="V220">
        <f t="shared" si="336"/>
        <v>0</v>
      </c>
      <c r="AB220">
        <f t="shared" ref="AB220:AI220" si="337">AB130</f>
        <v>0</v>
      </c>
      <c r="AC220">
        <f t="shared" si="337"/>
        <v>0</v>
      </c>
      <c r="AD220">
        <f t="shared" si="337"/>
        <v>0</v>
      </c>
      <c r="AE220" s="11">
        <f t="shared" si="337"/>
        <v>0</v>
      </c>
      <c r="AF220">
        <f t="shared" si="337"/>
        <v>0</v>
      </c>
      <c r="AG220">
        <f t="shared" si="337"/>
        <v>0</v>
      </c>
      <c r="AH220">
        <f t="shared" si="337"/>
        <v>0</v>
      </c>
      <c r="AI220">
        <f t="shared" si="337"/>
        <v>0</v>
      </c>
      <c r="AL220" s="2" t="str">
        <f t="shared" ref="AL220" si="338">AL130</f>
        <v>Medically Attended for RSV</v>
      </c>
      <c r="AM220" s="54">
        <f>AJ217*AM219</f>
        <v>43245.491721967475</v>
      </c>
      <c r="AN220">
        <f t="shared" ref="AN220:AW220" si="339">AN130</f>
        <v>0</v>
      </c>
      <c r="AO220" s="11">
        <f t="shared" si="339"/>
        <v>0</v>
      </c>
      <c r="AP220" s="2" t="str">
        <f t="shared" si="339"/>
        <v>p5b</v>
      </c>
      <c r="AQ220" s="61">
        <f t="shared" si="339"/>
        <v>2.0899346727931385E-2</v>
      </c>
      <c r="AR220" s="321">
        <f t="shared" si="339"/>
        <v>2.0899346727931385E-2</v>
      </c>
      <c r="AS220" s="321">
        <f t="shared" si="339"/>
        <v>2.0899346727931385E-2</v>
      </c>
      <c r="AT220">
        <f t="shared" si="339"/>
        <v>0</v>
      </c>
      <c r="AU220">
        <f t="shared" si="339"/>
        <v>0</v>
      </c>
      <c r="AV220">
        <f t="shared" si="339"/>
        <v>0</v>
      </c>
      <c r="AW220">
        <f t="shared" si="339"/>
        <v>0</v>
      </c>
    </row>
    <row r="221" spans="1:49" x14ac:dyDescent="0.3">
      <c r="A221">
        <f t="shared" ref="A221:V221" si="340">A131</f>
        <v>0</v>
      </c>
      <c r="B221">
        <f t="shared" si="340"/>
        <v>0</v>
      </c>
      <c r="C221">
        <f t="shared" si="340"/>
        <v>0</v>
      </c>
      <c r="D221" s="11">
        <f t="shared" si="340"/>
        <v>0</v>
      </c>
      <c r="E221">
        <f t="shared" si="340"/>
        <v>0</v>
      </c>
      <c r="F221">
        <f t="shared" si="340"/>
        <v>0</v>
      </c>
      <c r="G221">
        <f t="shared" si="340"/>
        <v>0</v>
      </c>
      <c r="H221">
        <f t="shared" si="340"/>
        <v>0</v>
      </c>
      <c r="I221">
        <f t="shared" si="340"/>
        <v>0</v>
      </c>
      <c r="J221">
        <f t="shared" si="340"/>
        <v>0</v>
      </c>
      <c r="K221" s="14"/>
      <c r="L221" s="28"/>
      <c r="M221">
        <f t="shared" si="340"/>
        <v>0</v>
      </c>
      <c r="N221" s="11">
        <f t="shared" si="340"/>
        <v>0</v>
      </c>
      <c r="O221" s="2">
        <f t="shared" si="340"/>
        <v>0</v>
      </c>
      <c r="P221">
        <f t="shared" si="340"/>
        <v>0</v>
      </c>
      <c r="Q221" s="322">
        <f t="shared" si="340"/>
        <v>0</v>
      </c>
      <c r="R221" s="322">
        <f t="shared" si="340"/>
        <v>0</v>
      </c>
      <c r="S221">
        <f t="shared" si="340"/>
        <v>0</v>
      </c>
      <c r="T221">
        <f t="shared" si="340"/>
        <v>0</v>
      </c>
      <c r="U221">
        <f t="shared" si="340"/>
        <v>0</v>
      </c>
      <c r="V221">
        <f t="shared" si="340"/>
        <v>0</v>
      </c>
      <c r="AB221">
        <f t="shared" ref="AB221:AK221" si="341">AB131</f>
        <v>0</v>
      </c>
      <c r="AC221">
        <f t="shared" si="341"/>
        <v>0</v>
      </c>
      <c r="AD221">
        <f t="shared" si="341"/>
        <v>0</v>
      </c>
      <c r="AE221" s="11">
        <f t="shared" si="341"/>
        <v>0</v>
      </c>
      <c r="AF221">
        <f t="shared" si="341"/>
        <v>0</v>
      </c>
      <c r="AG221">
        <f t="shared" si="341"/>
        <v>0</v>
      </c>
      <c r="AH221">
        <f t="shared" si="341"/>
        <v>0</v>
      </c>
      <c r="AI221">
        <f t="shared" si="341"/>
        <v>0</v>
      </c>
      <c r="AJ221">
        <f t="shared" si="341"/>
        <v>0</v>
      </c>
      <c r="AK221">
        <f t="shared" si="341"/>
        <v>0</v>
      </c>
      <c r="AL221" s="14"/>
      <c r="AM221" s="28"/>
      <c r="AN221">
        <f t="shared" ref="AN221:AW221" si="342">AN131</f>
        <v>0</v>
      </c>
      <c r="AO221" s="11">
        <f t="shared" si="342"/>
        <v>0</v>
      </c>
      <c r="AP221" s="2">
        <f t="shared" si="342"/>
        <v>0</v>
      </c>
      <c r="AQ221">
        <f t="shared" si="342"/>
        <v>0</v>
      </c>
      <c r="AR221" s="322">
        <f t="shared" si="342"/>
        <v>0</v>
      </c>
      <c r="AS221" s="322">
        <f t="shared" si="342"/>
        <v>0</v>
      </c>
      <c r="AT221">
        <f t="shared" si="342"/>
        <v>0</v>
      </c>
      <c r="AU221">
        <f t="shared" si="342"/>
        <v>0</v>
      </c>
      <c r="AV221">
        <f t="shared" si="342"/>
        <v>0</v>
      </c>
      <c r="AW221">
        <f t="shared" si="342"/>
        <v>0</v>
      </c>
    </row>
    <row r="222" spans="1:49" x14ac:dyDescent="0.3">
      <c r="A222">
        <f t="shared" ref="A222:V222" si="343">A132</f>
        <v>0</v>
      </c>
      <c r="B222">
        <f t="shared" si="343"/>
        <v>0</v>
      </c>
      <c r="C222">
        <f t="shared" si="343"/>
        <v>0</v>
      </c>
      <c r="D222" s="11">
        <f t="shared" si="343"/>
        <v>0</v>
      </c>
      <c r="E222">
        <f t="shared" si="343"/>
        <v>0</v>
      </c>
      <c r="F222">
        <f t="shared" si="343"/>
        <v>0</v>
      </c>
      <c r="G222">
        <f t="shared" si="343"/>
        <v>0</v>
      </c>
      <c r="H222">
        <f t="shared" si="343"/>
        <v>0</v>
      </c>
      <c r="I222">
        <f t="shared" si="343"/>
        <v>0</v>
      </c>
      <c r="J222">
        <f t="shared" si="343"/>
        <v>0</v>
      </c>
      <c r="K222" s="285"/>
      <c r="L222" s="28"/>
      <c r="M222">
        <f t="shared" si="343"/>
        <v>0</v>
      </c>
      <c r="N222" s="18">
        <f t="shared" si="343"/>
        <v>0</v>
      </c>
      <c r="O222" s="12" t="str">
        <f t="shared" si="343"/>
        <v>Hospitalized</v>
      </c>
      <c r="P222" s="30">
        <f>I217*P223</f>
        <v>6762.961217689447</v>
      </c>
      <c r="Q222" s="320">
        <f t="shared" si="343"/>
        <v>7928.9890138427982</v>
      </c>
      <c r="R222" s="320">
        <f t="shared" si="343"/>
        <v>5596.9334215360932</v>
      </c>
      <c r="S222">
        <f t="shared" si="343"/>
        <v>0</v>
      </c>
      <c r="T222">
        <f t="shared" si="343"/>
        <v>0</v>
      </c>
      <c r="U222">
        <f t="shared" si="343"/>
        <v>0</v>
      </c>
      <c r="V222">
        <f t="shared" si="343"/>
        <v>0</v>
      </c>
      <c r="AB222">
        <f t="shared" ref="AB222:AK222" si="344">AB132</f>
        <v>0</v>
      </c>
      <c r="AC222">
        <f t="shared" si="344"/>
        <v>0</v>
      </c>
      <c r="AD222">
        <f t="shared" si="344"/>
        <v>0</v>
      </c>
      <c r="AE222" s="11">
        <f t="shared" si="344"/>
        <v>0</v>
      </c>
      <c r="AF222">
        <f t="shared" si="344"/>
        <v>0</v>
      </c>
      <c r="AG222">
        <f t="shared" si="344"/>
        <v>0</v>
      </c>
      <c r="AH222">
        <f t="shared" si="344"/>
        <v>0</v>
      </c>
      <c r="AI222">
        <f t="shared" si="344"/>
        <v>0</v>
      </c>
      <c r="AJ222">
        <f t="shared" si="344"/>
        <v>0</v>
      </c>
      <c r="AK222">
        <f t="shared" si="344"/>
        <v>0</v>
      </c>
      <c r="AL222" s="285"/>
      <c r="AM222" s="28"/>
      <c r="AN222">
        <f t="shared" ref="AN222:AP222" si="345">AN132</f>
        <v>0</v>
      </c>
      <c r="AO222" s="18">
        <f t="shared" si="345"/>
        <v>0</v>
      </c>
      <c r="AP222" s="12" t="str">
        <f t="shared" si="345"/>
        <v>Hospitalized</v>
      </c>
      <c r="AQ222" s="30">
        <f>AJ217*AQ223</f>
        <v>1631.3709979891946</v>
      </c>
      <c r="AR222" s="320">
        <f t="shared" ref="AR222:AW222" si="346">AR132</f>
        <v>1912.6418597114691</v>
      </c>
      <c r="AS222" s="320">
        <f t="shared" si="346"/>
        <v>1350.1001362669194</v>
      </c>
      <c r="AT222">
        <f t="shared" si="346"/>
        <v>0</v>
      </c>
      <c r="AU222">
        <f t="shared" si="346"/>
        <v>0</v>
      </c>
      <c r="AV222">
        <f t="shared" si="346"/>
        <v>0</v>
      </c>
      <c r="AW222">
        <f t="shared" si="346"/>
        <v>0</v>
      </c>
    </row>
    <row r="223" spans="1:49" x14ac:dyDescent="0.3">
      <c r="A223">
        <f t="shared" ref="A223:V223" si="347">A133</f>
        <v>0</v>
      </c>
      <c r="B223">
        <f t="shared" si="347"/>
        <v>0</v>
      </c>
      <c r="C223">
        <f t="shared" si="347"/>
        <v>0</v>
      </c>
      <c r="D223" s="11">
        <f t="shared" si="347"/>
        <v>0</v>
      </c>
      <c r="E223">
        <f t="shared" si="347"/>
        <v>0</v>
      </c>
      <c r="F223">
        <f t="shared" si="347"/>
        <v>0</v>
      </c>
      <c r="G223">
        <f t="shared" si="347"/>
        <v>0</v>
      </c>
      <c r="H223">
        <f t="shared" si="347"/>
        <v>0</v>
      </c>
      <c r="I223" s="22">
        <f t="shared" si="347"/>
        <v>0</v>
      </c>
      <c r="J223">
        <f t="shared" si="347"/>
        <v>0</v>
      </c>
      <c r="K223" s="13">
        <f t="shared" si="347"/>
        <v>0</v>
      </c>
      <c r="L223">
        <f t="shared" si="347"/>
        <v>0</v>
      </c>
      <c r="M223">
        <f t="shared" si="347"/>
        <v>0</v>
      </c>
      <c r="N223">
        <f t="shared" si="347"/>
        <v>0</v>
      </c>
      <c r="O223" s="2" t="str">
        <f t="shared" si="347"/>
        <v>p5a</v>
      </c>
      <c r="P223" s="61">
        <f t="shared" si="347"/>
        <v>1.1937204925982133E-2</v>
      </c>
      <c r="Q223" s="321">
        <f t="shared" si="347"/>
        <v>1.1937204925982133E-2</v>
      </c>
      <c r="R223" s="321">
        <f t="shared" si="347"/>
        <v>1.1937204925982133E-2</v>
      </c>
      <c r="S223">
        <f t="shared" si="347"/>
        <v>0</v>
      </c>
      <c r="T223">
        <f t="shared" si="347"/>
        <v>0</v>
      </c>
      <c r="U223">
        <f t="shared" si="347"/>
        <v>0</v>
      </c>
      <c r="V223">
        <f t="shared" si="347"/>
        <v>0</v>
      </c>
      <c r="AB223">
        <f t="shared" ref="AB223:AW223" si="348">AB133</f>
        <v>0</v>
      </c>
      <c r="AC223">
        <f t="shared" si="348"/>
        <v>0</v>
      </c>
      <c r="AD223">
        <f t="shared" si="348"/>
        <v>0</v>
      </c>
      <c r="AE223" s="11">
        <f t="shared" si="348"/>
        <v>0</v>
      </c>
      <c r="AF223">
        <f t="shared" si="348"/>
        <v>0</v>
      </c>
      <c r="AG223">
        <f t="shared" si="348"/>
        <v>0</v>
      </c>
      <c r="AH223">
        <f t="shared" si="348"/>
        <v>0</v>
      </c>
      <c r="AI223">
        <f t="shared" si="348"/>
        <v>0</v>
      </c>
      <c r="AJ223" s="22">
        <f t="shared" si="348"/>
        <v>0</v>
      </c>
      <c r="AK223">
        <f t="shared" si="348"/>
        <v>0</v>
      </c>
      <c r="AL223" s="13">
        <f t="shared" si="348"/>
        <v>0</v>
      </c>
      <c r="AM223">
        <f t="shared" si="348"/>
        <v>0</v>
      </c>
      <c r="AN223">
        <f t="shared" si="348"/>
        <v>0</v>
      </c>
      <c r="AO223">
        <f t="shared" si="348"/>
        <v>0</v>
      </c>
      <c r="AP223" s="2" t="str">
        <f t="shared" si="348"/>
        <v>p5a</v>
      </c>
      <c r="AQ223" s="61">
        <f t="shared" si="348"/>
        <v>2.879509328304896E-3</v>
      </c>
      <c r="AR223" s="321">
        <f t="shared" si="348"/>
        <v>2.879509328304896E-3</v>
      </c>
      <c r="AS223" s="321">
        <f t="shared" si="348"/>
        <v>2.879509328304896E-3</v>
      </c>
      <c r="AT223">
        <f t="shared" si="348"/>
        <v>0</v>
      </c>
      <c r="AU223">
        <f t="shared" si="348"/>
        <v>0</v>
      </c>
      <c r="AV223">
        <f t="shared" si="348"/>
        <v>0</v>
      </c>
      <c r="AW223">
        <f t="shared" si="348"/>
        <v>0</v>
      </c>
    </row>
    <row r="224" spans="1:49" x14ac:dyDescent="0.3">
      <c r="A224">
        <f t="shared" ref="A224:V224" si="349">A134</f>
        <v>0</v>
      </c>
      <c r="B224">
        <f t="shared" si="349"/>
        <v>0</v>
      </c>
      <c r="C224">
        <f t="shared" si="349"/>
        <v>0</v>
      </c>
      <c r="D224" s="11">
        <f t="shared" si="349"/>
        <v>0</v>
      </c>
      <c r="E224">
        <f t="shared" si="349"/>
        <v>0</v>
      </c>
      <c r="F224">
        <f t="shared" si="349"/>
        <v>0</v>
      </c>
      <c r="G224">
        <f t="shared" si="349"/>
        <v>0</v>
      </c>
      <c r="H224">
        <f t="shared" si="349"/>
        <v>0</v>
      </c>
      <c r="I224">
        <f t="shared" si="349"/>
        <v>0</v>
      </c>
      <c r="J224">
        <f t="shared" si="349"/>
        <v>0</v>
      </c>
      <c r="K224">
        <f t="shared" si="349"/>
        <v>0</v>
      </c>
      <c r="L224">
        <f t="shared" si="349"/>
        <v>0</v>
      </c>
      <c r="M224">
        <f t="shared" si="349"/>
        <v>0</v>
      </c>
      <c r="N224">
        <f t="shared" si="349"/>
        <v>0</v>
      </c>
      <c r="O224">
        <f t="shared" si="349"/>
        <v>0</v>
      </c>
      <c r="P224">
        <f t="shared" si="349"/>
        <v>0</v>
      </c>
      <c r="Q224">
        <f t="shared" si="349"/>
        <v>0</v>
      </c>
      <c r="R224">
        <f t="shared" si="349"/>
        <v>0</v>
      </c>
      <c r="S224">
        <f t="shared" si="349"/>
        <v>0</v>
      </c>
      <c r="T224">
        <f t="shared" si="349"/>
        <v>0</v>
      </c>
      <c r="U224">
        <f t="shared" si="349"/>
        <v>0</v>
      </c>
      <c r="V224">
        <f t="shared" si="349"/>
        <v>0</v>
      </c>
      <c r="AB224">
        <f t="shared" ref="AB224:AW224" si="350">AB134</f>
        <v>0</v>
      </c>
      <c r="AC224">
        <f t="shared" si="350"/>
        <v>0</v>
      </c>
      <c r="AD224">
        <f t="shared" si="350"/>
        <v>0</v>
      </c>
      <c r="AE224" s="11">
        <f t="shared" si="350"/>
        <v>0</v>
      </c>
      <c r="AF224">
        <f t="shared" si="350"/>
        <v>0</v>
      </c>
      <c r="AG224">
        <f t="shared" si="350"/>
        <v>0</v>
      </c>
      <c r="AH224">
        <f t="shared" si="350"/>
        <v>0</v>
      </c>
      <c r="AI224">
        <f t="shared" si="350"/>
        <v>0</v>
      </c>
      <c r="AJ224">
        <f t="shared" si="350"/>
        <v>0</v>
      </c>
      <c r="AK224">
        <f t="shared" si="350"/>
        <v>0</v>
      </c>
      <c r="AL224">
        <f t="shared" si="350"/>
        <v>0</v>
      </c>
      <c r="AM224">
        <f t="shared" si="350"/>
        <v>0</v>
      </c>
      <c r="AN224">
        <f t="shared" si="350"/>
        <v>0</v>
      </c>
      <c r="AO224">
        <f t="shared" si="350"/>
        <v>0</v>
      </c>
      <c r="AP224">
        <f t="shared" si="350"/>
        <v>0</v>
      </c>
      <c r="AQ224">
        <f t="shared" si="350"/>
        <v>0</v>
      </c>
      <c r="AR224">
        <f t="shared" si="350"/>
        <v>0</v>
      </c>
      <c r="AS224">
        <f t="shared" si="350"/>
        <v>0</v>
      </c>
      <c r="AT224">
        <f t="shared" si="350"/>
        <v>0</v>
      </c>
      <c r="AU224">
        <f t="shared" si="350"/>
        <v>0</v>
      </c>
      <c r="AV224">
        <f t="shared" si="350"/>
        <v>0</v>
      </c>
      <c r="AW224">
        <f t="shared" si="350"/>
        <v>0</v>
      </c>
    </row>
    <row r="225" spans="1:49" x14ac:dyDescent="0.3">
      <c r="A225" t="str">
        <f t="shared" ref="A225:V225" si="351">A135</f>
        <v>sum check row</v>
      </c>
      <c r="B225">
        <f t="shared" si="351"/>
        <v>0</v>
      </c>
      <c r="C225">
        <f t="shared" si="351"/>
        <v>0</v>
      </c>
      <c r="D225" s="11">
        <f t="shared" si="351"/>
        <v>0</v>
      </c>
      <c r="E225">
        <f t="shared" si="351"/>
        <v>0</v>
      </c>
      <c r="F225" t="str">
        <f t="shared" si="351"/>
        <v>Bottom Branch:</v>
      </c>
      <c r="G225">
        <f t="shared" si="351"/>
        <v>0</v>
      </c>
      <c r="H225" s="2" t="str">
        <f t="shared" si="351"/>
        <v>sum check</v>
      </c>
      <c r="I225" s="21">
        <f t="shared" si="351"/>
        <v>1953602.7124999999</v>
      </c>
      <c r="J225" s="28">
        <f t="shared" si="351"/>
        <v>0</v>
      </c>
      <c r="K225" s="55">
        <f t="shared" si="351"/>
        <v>0</v>
      </c>
      <c r="L225" s="21">
        <f t="shared" si="351"/>
        <v>0</v>
      </c>
      <c r="M225" s="28">
        <f t="shared" si="351"/>
        <v>0</v>
      </c>
      <c r="N225" s="28">
        <f t="shared" si="351"/>
        <v>0</v>
      </c>
      <c r="O225" s="55" t="str">
        <f t="shared" si="351"/>
        <v>sum check</v>
      </c>
      <c r="P225" s="56">
        <f t="shared" si="351"/>
        <v>105362.93195929768</v>
      </c>
      <c r="Q225" s="56">
        <f t="shared" si="351"/>
        <v>0</v>
      </c>
      <c r="R225">
        <f t="shared" si="351"/>
        <v>0</v>
      </c>
      <c r="S225" s="55" t="str">
        <f t="shared" si="351"/>
        <v>sum check</v>
      </c>
      <c r="T225" s="56">
        <f t="shared" si="351"/>
        <v>92356.856829980417</v>
      </c>
      <c r="U225">
        <f t="shared" si="351"/>
        <v>0</v>
      </c>
      <c r="V225">
        <f t="shared" si="351"/>
        <v>0</v>
      </c>
      <c r="AB225" t="str">
        <f t="shared" ref="AB225:AW225" si="352">AB135</f>
        <v>sum check row</v>
      </c>
      <c r="AC225">
        <f t="shared" si="352"/>
        <v>0</v>
      </c>
      <c r="AD225">
        <f t="shared" si="352"/>
        <v>0</v>
      </c>
      <c r="AE225" s="11">
        <f t="shared" si="352"/>
        <v>0</v>
      </c>
      <c r="AF225">
        <f t="shared" si="352"/>
        <v>0</v>
      </c>
      <c r="AG225" t="str">
        <f t="shared" si="352"/>
        <v>Bottom Branch:</v>
      </c>
      <c r="AH225">
        <f t="shared" si="352"/>
        <v>0</v>
      </c>
      <c r="AI225" s="2" t="str">
        <f t="shared" si="352"/>
        <v>sum check</v>
      </c>
      <c r="AJ225" s="21">
        <f t="shared" si="352"/>
        <v>1953602.7124999999</v>
      </c>
      <c r="AK225" s="28">
        <f t="shared" si="352"/>
        <v>0</v>
      </c>
      <c r="AL225" s="55">
        <f t="shared" si="352"/>
        <v>0</v>
      </c>
      <c r="AM225" s="21">
        <f t="shared" si="352"/>
        <v>0</v>
      </c>
      <c r="AN225" s="28">
        <f t="shared" si="352"/>
        <v>0</v>
      </c>
      <c r="AO225" s="28">
        <f t="shared" si="352"/>
        <v>0</v>
      </c>
      <c r="AP225" s="55" t="str">
        <f t="shared" si="352"/>
        <v>sum check</v>
      </c>
      <c r="AQ225" s="56">
        <f t="shared" si="352"/>
        <v>43245.491721967475</v>
      </c>
      <c r="AR225" s="56">
        <f t="shared" si="352"/>
        <v>0</v>
      </c>
      <c r="AS225">
        <f t="shared" si="352"/>
        <v>0</v>
      </c>
      <c r="AT225" s="55" t="str">
        <f t="shared" si="352"/>
        <v>sum check</v>
      </c>
      <c r="AU225" s="56">
        <f t="shared" si="352"/>
        <v>22816.35145088693</v>
      </c>
      <c r="AV225">
        <f t="shared" si="352"/>
        <v>0</v>
      </c>
      <c r="AW225">
        <f t="shared" si="352"/>
        <v>0</v>
      </c>
    </row>
    <row r="226" spans="1:49" x14ac:dyDescent="0.3">
      <c r="A226">
        <f t="shared" ref="A226:V226" si="353">A136</f>
        <v>0</v>
      </c>
      <c r="B226">
        <f t="shared" si="353"/>
        <v>0</v>
      </c>
      <c r="C226">
        <f t="shared" si="353"/>
        <v>0</v>
      </c>
      <c r="D226" s="11">
        <f t="shared" si="353"/>
        <v>0</v>
      </c>
      <c r="E226">
        <f t="shared" si="353"/>
        <v>0</v>
      </c>
      <c r="F226">
        <f t="shared" si="353"/>
        <v>0</v>
      </c>
      <c r="G226">
        <f t="shared" si="353"/>
        <v>0</v>
      </c>
      <c r="H226">
        <f t="shared" si="353"/>
        <v>0</v>
      </c>
      <c r="I226">
        <f t="shared" si="353"/>
        <v>0</v>
      </c>
      <c r="J226">
        <f t="shared" si="353"/>
        <v>0</v>
      </c>
      <c r="K226">
        <f t="shared" si="353"/>
        <v>0</v>
      </c>
      <c r="L226">
        <f t="shared" si="353"/>
        <v>0</v>
      </c>
      <c r="M226">
        <f t="shared" si="353"/>
        <v>0</v>
      </c>
      <c r="N226">
        <f t="shared" si="353"/>
        <v>0</v>
      </c>
      <c r="O226">
        <f t="shared" si="353"/>
        <v>0</v>
      </c>
      <c r="P226">
        <f t="shared" si="353"/>
        <v>0</v>
      </c>
      <c r="Q226">
        <f t="shared" si="353"/>
        <v>0</v>
      </c>
      <c r="R226">
        <f t="shared" si="353"/>
        <v>0</v>
      </c>
      <c r="S226">
        <f t="shared" si="353"/>
        <v>0</v>
      </c>
      <c r="T226">
        <f t="shared" si="353"/>
        <v>0</v>
      </c>
      <c r="U226">
        <f t="shared" si="353"/>
        <v>0</v>
      </c>
      <c r="V226">
        <f t="shared" si="353"/>
        <v>0</v>
      </c>
      <c r="AB226">
        <f t="shared" ref="AB226:AW226" si="354">AB136</f>
        <v>0</v>
      </c>
      <c r="AC226">
        <f t="shared" si="354"/>
        <v>0</v>
      </c>
      <c r="AD226">
        <f t="shared" si="354"/>
        <v>0</v>
      </c>
      <c r="AE226" s="11">
        <f t="shared" si="354"/>
        <v>0</v>
      </c>
      <c r="AF226">
        <f t="shared" si="354"/>
        <v>0</v>
      </c>
      <c r="AG226">
        <f t="shared" si="354"/>
        <v>0</v>
      </c>
      <c r="AH226">
        <f t="shared" si="354"/>
        <v>0</v>
      </c>
      <c r="AI226">
        <f t="shared" si="354"/>
        <v>0</v>
      </c>
      <c r="AJ226">
        <f t="shared" si="354"/>
        <v>0</v>
      </c>
      <c r="AK226">
        <f t="shared" si="354"/>
        <v>0</v>
      </c>
      <c r="AL226">
        <f t="shared" si="354"/>
        <v>0</v>
      </c>
      <c r="AM226">
        <f t="shared" si="354"/>
        <v>0</v>
      </c>
      <c r="AN226">
        <f t="shared" si="354"/>
        <v>0</v>
      </c>
      <c r="AO226">
        <f t="shared" si="354"/>
        <v>0</v>
      </c>
      <c r="AP226">
        <f t="shared" si="354"/>
        <v>0</v>
      </c>
      <c r="AQ226">
        <f t="shared" si="354"/>
        <v>0</v>
      </c>
      <c r="AR226">
        <f t="shared" si="354"/>
        <v>0</v>
      </c>
      <c r="AS226">
        <f t="shared" si="354"/>
        <v>0</v>
      </c>
      <c r="AT226">
        <f t="shared" si="354"/>
        <v>0</v>
      </c>
      <c r="AU226">
        <f t="shared" si="354"/>
        <v>0</v>
      </c>
      <c r="AV226">
        <f t="shared" si="354"/>
        <v>0</v>
      </c>
      <c r="AW226">
        <f t="shared" si="354"/>
        <v>0</v>
      </c>
    </row>
    <row r="227" spans="1:49" x14ac:dyDescent="0.3">
      <c r="A227">
        <f t="shared" ref="A227:V227" si="355">A137</f>
        <v>0</v>
      </c>
      <c r="B227">
        <f t="shared" si="355"/>
        <v>0</v>
      </c>
      <c r="C227">
        <f t="shared" si="355"/>
        <v>0</v>
      </c>
      <c r="D227" s="11">
        <f t="shared" si="355"/>
        <v>0</v>
      </c>
      <c r="E227">
        <f t="shared" si="355"/>
        <v>0</v>
      </c>
      <c r="F227">
        <f t="shared" si="355"/>
        <v>0</v>
      </c>
      <c r="G227">
        <f t="shared" si="355"/>
        <v>0</v>
      </c>
      <c r="H227">
        <f t="shared" si="355"/>
        <v>0</v>
      </c>
      <c r="I227">
        <f t="shared" si="355"/>
        <v>0</v>
      </c>
      <c r="J227">
        <f t="shared" si="355"/>
        <v>0</v>
      </c>
      <c r="K227">
        <f t="shared" si="355"/>
        <v>0</v>
      </c>
      <c r="L227">
        <f t="shared" si="355"/>
        <v>0</v>
      </c>
      <c r="M227">
        <f t="shared" si="355"/>
        <v>0</v>
      </c>
      <c r="N227">
        <f t="shared" si="355"/>
        <v>0</v>
      </c>
      <c r="O227">
        <f t="shared" si="355"/>
        <v>0</v>
      </c>
      <c r="P227">
        <f t="shared" si="355"/>
        <v>0</v>
      </c>
      <c r="Q227">
        <f t="shared" si="355"/>
        <v>0</v>
      </c>
      <c r="R227">
        <f t="shared" si="355"/>
        <v>0</v>
      </c>
      <c r="S227">
        <f t="shared" si="355"/>
        <v>0</v>
      </c>
      <c r="T227">
        <f t="shared" si="355"/>
        <v>0</v>
      </c>
      <c r="U227">
        <f t="shared" si="355"/>
        <v>0</v>
      </c>
      <c r="V227">
        <f t="shared" si="355"/>
        <v>0</v>
      </c>
      <c r="AB227">
        <f t="shared" ref="AB227:AW227" si="356">AB137</f>
        <v>0</v>
      </c>
      <c r="AC227">
        <f t="shared" si="356"/>
        <v>0</v>
      </c>
      <c r="AD227">
        <f t="shared" si="356"/>
        <v>0</v>
      </c>
      <c r="AE227" s="11">
        <f t="shared" si="356"/>
        <v>0</v>
      </c>
      <c r="AF227">
        <f t="shared" si="356"/>
        <v>0</v>
      </c>
      <c r="AG227">
        <f t="shared" si="356"/>
        <v>0</v>
      </c>
      <c r="AH227">
        <f t="shared" si="356"/>
        <v>0</v>
      </c>
      <c r="AI227">
        <f t="shared" si="356"/>
        <v>0</v>
      </c>
      <c r="AJ227">
        <f t="shared" si="356"/>
        <v>0</v>
      </c>
      <c r="AK227">
        <f t="shared" si="356"/>
        <v>0</v>
      </c>
      <c r="AL227">
        <f t="shared" si="356"/>
        <v>0</v>
      </c>
      <c r="AM227">
        <f t="shared" si="356"/>
        <v>0</v>
      </c>
      <c r="AN227">
        <f t="shared" si="356"/>
        <v>0</v>
      </c>
      <c r="AO227">
        <f t="shared" si="356"/>
        <v>0</v>
      </c>
      <c r="AP227">
        <f t="shared" si="356"/>
        <v>0</v>
      </c>
      <c r="AQ227">
        <f t="shared" si="356"/>
        <v>0</v>
      </c>
      <c r="AR227">
        <f t="shared" si="356"/>
        <v>0</v>
      </c>
      <c r="AS227">
        <f t="shared" si="356"/>
        <v>0</v>
      </c>
      <c r="AT227">
        <f t="shared" si="356"/>
        <v>0</v>
      </c>
      <c r="AU227">
        <f t="shared" si="356"/>
        <v>0</v>
      </c>
      <c r="AV227">
        <f t="shared" si="356"/>
        <v>0</v>
      </c>
      <c r="AW227">
        <f t="shared" si="356"/>
        <v>0</v>
      </c>
    </row>
    <row r="228" spans="1:49" ht="28.8" x14ac:dyDescent="0.3">
      <c r="A228" s="325" t="str">
        <f t="shared" ref="A228:V228" si="357">A138</f>
        <v>WiS Birth cohort</v>
      </c>
      <c r="B228" s="10">
        <f t="shared" si="357"/>
        <v>0</v>
      </c>
      <c r="C228" s="90">
        <f>C138</f>
        <v>1972937.5</v>
      </c>
      <c r="D228" s="11">
        <f t="shared" si="357"/>
        <v>0</v>
      </c>
      <c r="E228">
        <f t="shared" si="357"/>
        <v>0</v>
      </c>
      <c r="F228">
        <f t="shared" si="357"/>
        <v>0</v>
      </c>
      <c r="G228">
        <f t="shared" si="357"/>
        <v>0</v>
      </c>
      <c r="H228">
        <f t="shared" si="357"/>
        <v>0</v>
      </c>
      <c r="I228">
        <f t="shared" si="357"/>
        <v>0</v>
      </c>
      <c r="J228">
        <f t="shared" si="357"/>
        <v>0</v>
      </c>
      <c r="K228">
        <f t="shared" si="357"/>
        <v>0</v>
      </c>
      <c r="L228">
        <f t="shared" si="357"/>
        <v>0</v>
      </c>
      <c r="M228">
        <f t="shared" si="357"/>
        <v>0</v>
      </c>
      <c r="N228">
        <f t="shared" si="357"/>
        <v>0</v>
      </c>
      <c r="O228">
        <f t="shared" si="357"/>
        <v>0</v>
      </c>
      <c r="P228">
        <f t="shared" si="357"/>
        <v>0</v>
      </c>
      <c r="Q228">
        <f t="shared" si="357"/>
        <v>0</v>
      </c>
      <c r="R228">
        <f t="shared" si="357"/>
        <v>0</v>
      </c>
      <c r="S228">
        <f t="shared" si="357"/>
        <v>0</v>
      </c>
      <c r="T228">
        <f t="shared" si="357"/>
        <v>0</v>
      </c>
      <c r="U228">
        <f t="shared" si="357"/>
        <v>0</v>
      </c>
      <c r="V228">
        <f t="shared" si="357"/>
        <v>0</v>
      </c>
      <c r="AB228" s="325" t="str">
        <f t="shared" ref="AB228:AW228" si="358">AB138</f>
        <v>OoS Birth cohort</v>
      </c>
      <c r="AC228" s="500">
        <f t="shared" si="358"/>
        <v>0</v>
      </c>
      <c r="AD228" s="90">
        <f t="shared" si="358"/>
        <v>1972937.5</v>
      </c>
      <c r="AE228" s="11">
        <f t="shared" si="358"/>
        <v>0</v>
      </c>
      <c r="AF228">
        <f t="shared" si="358"/>
        <v>0</v>
      </c>
      <c r="AG228">
        <f t="shared" si="358"/>
        <v>0</v>
      </c>
      <c r="AH228">
        <f t="shared" si="358"/>
        <v>0</v>
      </c>
      <c r="AI228">
        <f t="shared" si="358"/>
        <v>0</v>
      </c>
      <c r="AJ228">
        <f t="shared" si="358"/>
        <v>0</v>
      </c>
      <c r="AK228">
        <f t="shared" si="358"/>
        <v>0</v>
      </c>
      <c r="AL228">
        <f t="shared" si="358"/>
        <v>0</v>
      </c>
      <c r="AM228">
        <f t="shared" si="358"/>
        <v>0</v>
      </c>
      <c r="AN228">
        <f t="shared" si="358"/>
        <v>0</v>
      </c>
      <c r="AO228">
        <f t="shared" si="358"/>
        <v>0</v>
      </c>
      <c r="AP228">
        <f t="shared" si="358"/>
        <v>0</v>
      </c>
      <c r="AQ228">
        <f t="shared" si="358"/>
        <v>0</v>
      </c>
      <c r="AR228">
        <f t="shared" si="358"/>
        <v>0</v>
      </c>
      <c r="AS228">
        <f t="shared" si="358"/>
        <v>0</v>
      </c>
      <c r="AT228">
        <f t="shared" si="358"/>
        <v>0</v>
      </c>
      <c r="AU228">
        <f t="shared" si="358"/>
        <v>0</v>
      </c>
      <c r="AV228">
        <f t="shared" si="358"/>
        <v>0</v>
      </c>
      <c r="AW228">
        <f t="shared" si="358"/>
        <v>0</v>
      </c>
    </row>
    <row r="229" spans="1:49" x14ac:dyDescent="0.3">
      <c r="A229">
        <f t="shared" ref="A229:V229" si="359">A139</f>
        <v>0</v>
      </c>
      <c r="B229" s="8">
        <f t="shared" si="359"/>
        <v>0</v>
      </c>
      <c r="C229">
        <f t="shared" si="359"/>
        <v>0</v>
      </c>
      <c r="D229" s="11">
        <f t="shared" si="359"/>
        <v>0</v>
      </c>
      <c r="E229">
        <f t="shared" si="359"/>
        <v>0</v>
      </c>
      <c r="F229">
        <f t="shared" si="359"/>
        <v>0</v>
      </c>
      <c r="G229">
        <f t="shared" si="359"/>
        <v>0</v>
      </c>
      <c r="H229">
        <f t="shared" si="359"/>
        <v>0</v>
      </c>
      <c r="I229">
        <f t="shared" si="359"/>
        <v>0</v>
      </c>
      <c r="J229">
        <f t="shared" si="359"/>
        <v>0</v>
      </c>
      <c r="K229">
        <f t="shared" si="359"/>
        <v>0</v>
      </c>
      <c r="L229">
        <f t="shared" si="359"/>
        <v>0</v>
      </c>
      <c r="M229">
        <f t="shared" si="359"/>
        <v>0</v>
      </c>
      <c r="N229">
        <f t="shared" si="359"/>
        <v>0</v>
      </c>
      <c r="O229">
        <f t="shared" si="359"/>
        <v>0</v>
      </c>
      <c r="P229">
        <f t="shared" si="359"/>
        <v>0</v>
      </c>
      <c r="Q229">
        <f t="shared" si="359"/>
        <v>0</v>
      </c>
      <c r="R229">
        <f t="shared" si="359"/>
        <v>0</v>
      </c>
      <c r="S229">
        <f t="shared" si="359"/>
        <v>0</v>
      </c>
      <c r="T229">
        <f t="shared" si="359"/>
        <v>0</v>
      </c>
      <c r="U229">
        <f t="shared" si="359"/>
        <v>0</v>
      </c>
      <c r="V229">
        <f t="shared" si="359"/>
        <v>0</v>
      </c>
      <c r="AB229">
        <f t="shared" ref="AB229:AW229" si="360">AB139</f>
        <v>0</v>
      </c>
      <c r="AC229" s="8">
        <f t="shared" si="360"/>
        <v>0</v>
      </c>
      <c r="AD229">
        <f t="shared" si="360"/>
        <v>0</v>
      </c>
      <c r="AE229" s="11">
        <f t="shared" si="360"/>
        <v>0</v>
      </c>
      <c r="AF229">
        <f t="shared" si="360"/>
        <v>0</v>
      </c>
      <c r="AG229">
        <f t="shared" si="360"/>
        <v>0</v>
      </c>
      <c r="AH229">
        <f t="shared" si="360"/>
        <v>0</v>
      </c>
      <c r="AI229">
        <f t="shared" si="360"/>
        <v>0</v>
      </c>
      <c r="AJ229">
        <f t="shared" si="360"/>
        <v>0</v>
      </c>
      <c r="AK229">
        <f t="shared" si="360"/>
        <v>0</v>
      </c>
      <c r="AL229">
        <f t="shared" si="360"/>
        <v>0</v>
      </c>
      <c r="AM229">
        <f t="shared" si="360"/>
        <v>0</v>
      </c>
      <c r="AN229">
        <f t="shared" si="360"/>
        <v>0</v>
      </c>
      <c r="AO229">
        <f t="shared" si="360"/>
        <v>0</v>
      </c>
      <c r="AP229">
        <f t="shared" si="360"/>
        <v>0</v>
      </c>
      <c r="AQ229">
        <f t="shared" si="360"/>
        <v>0</v>
      </c>
      <c r="AR229">
        <f t="shared" si="360"/>
        <v>0</v>
      </c>
      <c r="AS229">
        <f t="shared" si="360"/>
        <v>0</v>
      </c>
      <c r="AT229">
        <f t="shared" si="360"/>
        <v>0</v>
      </c>
      <c r="AU229">
        <f t="shared" si="360"/>
        <v>0</v>
      </c>
      <c r="AV229">
        <f t="shared" si="360"/>
        <v>0</v>
      </c>
      <c r="AW229">
        <f t="shared" si="360"/>
        <v>0</v>
      </c>
    </row>
    <row r="230" spans="1:49" x14ac:dyDescent="0.3">
      <c r="A230">
        <f t="shared" ref="A230:V230" si="361">A140</f>
        <v>0</v>
      </c>
      <c r="B230">
        <f t="shared" si="361"/>
        <v>0</v>
      </c>
      <c r="C230">
        <f t="shared" si="361"/>
        <v>0</v>
      </c>
      <c r="D230" s="11">
        <f t="shared" si="361"/>
        <v>0</v>
      </c>
      <c r="E230">
        <f t="shared" si="361"/>
        <v>0</v>
      </c>
      <c r="F230">
        <f t="shared" si="361"/>
        <v>0</v>
      </c>
      <c r="G230">
        <f t="shared" si="361"/>
        <v>0</v>
      </c>
      <c r="H230">
        <f t="shared" si="361"/>
        <v>0</v>
      </c>
      <c r="I230">
        <f t="shared" si="361"/>
        <v>0</v>
      </c>
      <c r="J230">
        <f t="shared" si="361"/>
        <v>0</v>
      </c>
      <c r="K230">
        <f t="shared" si="361"/>
        <v>0</v>
      </c>
      <c r="L230">
        <f t="shared" si="361"/>
        <v>0</v>
      </c>
      <c r="M230">
        <f t="shared" si="361"/>
        <v>0</v>
      </c>
      <c r="N230">
        <f t="shared" si="361"/>
        <v>0</v>
      </c>
      <c r="O230">
        <f t="shared" si="361"/>
        <v>0</v>
      </c>
      <c r="P230">
        <f t="shared" si="361"/>
        <v>0</v>
      </c>
      <c r="Q230">
        <f t="shared" si="361"/>
        <v>0</v>
      </c>
      <c r="R230">
        <f t="shared" si="361"/>
        <v>0</v>
      </c>
      <c r="S230">
        <f t="shared" si="361"/>
        <v>0</v>
      </c>
      <c r="T230">
        <f t="shared" si="361"/>
        <v>0</v>
      </c>
      <c r="U230">
        <f t="shared" si="361"/>
        <v>0</v>
      </c>
      <c r="V230">
        <f t="shared" si="361"/>
        <v>0</v>
      </c>
      <c r="AB230">
        <f t="shared" ref="AB230:AW230" si="362">AB140</f>
        <v>0</v>
      </c>
      <c r="AC230">
        <f t="shared" si="362"/>
        <v>0</v>
      </c>
      <c r="AD230">
        <f t="shared" si="362"/>
        <v>0</v>
      </c>
      <c r="AE230" s="11">
        <f t="shared" si="362"/>
        <v>0</v>
      </c>
      <c r="AF230">
        <f t="shared" si="362"/>
        <v>0</v>
      </c>
      <c r="AG230">
        <f t="shared" si="362"/>
        <v>0</v>
      </c>
      <c r="AH230">
        <f t="shared" si="362"/>
        <v>0</v>
      </c>
      <c r="AI230">
        <f t="shared" si="362"/>
        <v>0</v>
      </c>
      <c r="AJ230">
        <f t="shared" si="362"/>
        <v>0</v>
      </c>
      <c r="AK230">
        <f t="shared" si="362"/>
        <v>0</v>
      </c>
      <c r="AL230">
        <f t="shared" si="362"/>
        <v>0</v>
      </c>
      <c r="AM230">
        <f t="shared" si="362"/>
        <v>0</v>
      </c>
      <c r="AN230">
        <f t="shared" si="362"/>
        <v>0</v>
      </c>
      <c r="AO230">
        <f t="shared" si="362"/>
        <v>0</v>
      </c>
      <c r="AP230">
        <f t="shared" si="362"/>
        <v>0</v>
      </c>
      <c r="AQ230">
        <f t="shared" si="362"/>
        <v>0</v>
      </c>
      <c r="AR230">
        <f t="shared" si="362"/>
        <v>0</v>
      </c>
      <c r="AS230">
        <f t="shared" si="362"/>
        <v>0</v>
      </c>
      <c r="AT230">
        <f t="shared" si="362"/>
        <v>0</v>
      </c>
      <c r="AU230">
        <f t="shared" si="362"/>
        <v>0</v>
      </c>
      <c r="AV230">
        <f t="shared" si="362"/>
        <v>0</v>
      </c>
      <c r="AW230">
        <f t="shared" si="362"/>
        <v>0</v>
      </c>
    </row>
    <row r="231" spans="1:49" x14ac:dyDescent="0.3">
      <c r="A231" t="str">
        <f t="shared" ref="A231:V231" si="363">A141</f>
        <v>sum check row</v>
      </c>
      <c r="B231">
        <f t="shared" si="363"/>
        <v>0</v>
      </c>
      <c r="C231">
        <f t="shared" si="363"/>
        <v>0</v>
      </c>
      <c r="D231" s="11">
        <f t="shared" si="363"/>
        <v>0</v>
      </c>
      <c r="E231">
        <f t="shared" si="363"/>
        <v>0</v>
      </c>
      <c r="F231" t="str">
        <f t="shared" si="363"/>
        <v>Top Branch:</v>
      </c>
      <c r="G231">
        <f t="shared" si="363"/>
        <v>0</v>
      </c>
      <c r="H231" t="str">
        <f t="shared" si="363"/>
        <v>sum check</v>
      </c>
      <c r="I231" s="8">
        <f t="shared" si="363"/>
        <v>19334.787499999999</v>
      </c>
      <c r="J231">
        <f t="shared" si="363"/>
        <v>0</v>
      </c>
      <c r="K231">
        <f t="shared" si="363"/>
        <v>0</v>
      </c>
      <c r="L231" s="28">
        <f t="shared" si="363"/>
        <v>0</v>
      </c>
      <c r="M231">
        <f t="shared" si="363"/>
        <v>0</v>
      </c>
      <c r="N231" s="2" t="str">
        <f t="shared" si="363"/>
        <v>sum check</v>
      </c>
      <c r="O231" s="28">
        <f t="shared" si="363"/>
        <v>0</v>
      </c>
      <c r="P231" s="19">
        <f t="shared" si="363"/>
        <v>0</v>
      </c>
      <c r="Q231" s="19">
        <f t="shared" si="363"/>
        <v>0</v>
      </c>
      <c r="R231">
        <f t="shared" si="363"/>
        <v>0</v>
      </c>
      <c r="S231" s="2" t="str">
        <f t="shared" si="363"/>
        <v>sum check</v>
      </c>
      <c r="T231" s="21">
        <f t="shared" si="363"/>
        <v>27439.507939613261</v>
      </c>
      <c r="U231">
        <f t="shared" si="363"/>
        <v>0</v>
      </c>
      <c r="V231">
        <f t="shared" si="363"/>
        <v>0</v>
      </c>
      <c r="AB231" t="str">
        <f t="shared" ref="AB231:AW231" si="364">AB141</f>
        <v>sum check row</v>
      </c>
      <c r="AC231">
        <f t="shared" si="364"/>
        <v>0</v>
      </c>
      <c r="AD231">
        <f t="shared" si="364"/>
        <v>0</v>
      </c>
      <c r="AE231" s="11">
        <f t="shared" si="364"/>
        <v>0</v>
      </c>
      <c r="AF231">
        <f t="shared" si="364"/>
        <v>0</v>
      </c>
      <c r="AG231" t="str">
        <f t="shared" si="364"/>
        <v>Top Branch:</v>
      </c>
      <c r="AH231">
        <f t="shared" si="364"/>
        <v>0</v>
      </c>
      <c r="AI231" t="str">
        <f t="shared" si="364"/>
        <v>sum check</v>
      </c>
      <c r="AJ231" s="8">
        <f t="shared" si="364"/>
        <v>19334.787499999999</v>
      </c>
      <c r="AK231">
        <f t="shared" si="364"/>
        <v>0</v>
      </c>
      <c r="AL231">
        <f t="shared" si="364"/>
        <v>0</v>
      </c>
      <c r="AM231" s="28">
        <f t="shared" si="364"/>
        <v>0</v>
      </c>
      <c r="AN231">
        <f t="shared" si="364"/>
        <v>0</v>
      </c>
      <c r="AO231" s="2" t="str">
        <f t="shared" si="364"/>
        <v>sum check</v>
      </c>
      <c r="AP231" s="28">
        <f t="shared" si="364"/>
        <v>0</v>
      </c>
      <c r="AQ231" s="19">
        <f t="shared" si="364"/>
        <v>0</v>
      </c>
      <c r="AR231" s="19">
        <f t="shared" si="364"/>
        <v>0</v>
      </c>
      <c r="AS231">
        <f t="shared" si="364"/>
        <v>0</v>
      </c>
      <c r="AT231" s="2" t="str">
        <f t="shared" si="364"/>
        <v>sum check</v>
      </c>
      <c r="AU231" s="21">
        <f t="shared" si="364"/>
        <v>13762.869772532438</v>
      </c>
      <c r="AV231">
        <f t="shared" si="364"/>
        <v>0</v>
      </c>
      <c r="AW231">
        <f t="shared" si="364"/>
        <v>0</v>
      </c>
    </row>
    <row r="232" spans="1:49" x14ac:dyDescent="0.3">
      <c r="A232">
        <f t="shared" ref="A232:V232" si="365">A142</f>
        <v>0</v>
      </c>
      <c r="B232">
        <f t="shared" si="365"/>
        <v>0</v>
      </c>
      <c r="C232">
        <f t="shared" si="365"/>
        <v>0</v>
      </c>
      <c r="D232" s="11">
        <f t="shared" si="365"/>
        <v>0</v>
      </c>
      <c r="E232">
        <f t="shared" si="365"/>
        <v>0</v>
      </c>
      <c r="F232">
        <f t="shared" si="365"/>
        <v>0</v>
      </c>
      <c r="G232">
        <f t="shared" si="365"/>
        <v>0</v>
      </c>
      <c r="H232">
        <f t="shared" si="365"/>
        <v>0</v>
      </c>
      <c r="I232">
        <f t="shared" si="365"/>
        <v>0</v>
      </c>
      <c r="J232">
        <f t="shared" si="365"/>
        <v>0</v>
      </c>
      <c r="K232">
        <f t="shared" si="365"/>
        <v>0</v>
      </c>
      <c r="L232">
        <f t="shared" si="365"/>
        <v>0</v>
      </c>
      <c r="M232">
        <f t="shared" si="365"/>
        <v>0</v>
      </c>
      <c r="N232">
        <f t="shared" si="365"/>
        <v>0</v>
      </c>
      <c r="O232">
        <f t="shared" si="365"/>
        <v>0</v>
      </c>
      <c r="P232">
        <f t="shared" si="365"/>
        <v>0</v>
      </c>
      <c r="Q232">
        <f t="shared" si="365"/>
        <v>0</v>
      </c>
      <c r="R232">
        <f t="shared" si="365"/>
        <v>0</v>
      </c>
      <c r="S232">
        <f t="shared" si="365"/>
        <v>0</v>
      </c>
      <c r="T232">
        <f t="shared" si="365"/>
        <v>0</v>
      </c>
      <c r="U232">
        <f t="shared" si="365"/>
        <v>0</v>
      </c>
      <c r="V232">
        <f t="shared" si="365"/>
        <v>0</v>
      </c>
      <c r="AB232">
        <f t="shared" ref="AB232:AW232" si="366">AB142</f>
        <v>0</v>
      </c>
      <c r="AC232">
        <f t="shared" si="366"/>
        <v>0</v>
      </c>
      <c r="AD232">
        <f t="shared" si="366"/>
        <v>0</v>
      </c>
      <c r="AE232" s="11">
        <f t="shared" si="366"/>
        <v>0</v>
      </c>
      <c r="AF232">
        <f t="shared" si="366"/>
        <v>0</v>
      </c>
      <c r="AG232">
        <f t="shared" si="366"/>
        <v>0</v>
      </c>
      <c r="AH232">
        <f t="shared" si="366"/>
        <v>0</v>
      </c>
      <c r="AI232">
        <f t="shared" si="366"/>
        <v>0</v>
      </c>
      <c r="AJ232">
        <f t="shared" si="366"/>
        <v>0</v>
      </c>
      <c r="AK232">
        <f t="shared" si="366"/>
        <v>0</v>
      </c>
      <c r="AL232">
        <f t="shared" si="366"/>
        <v>0</v>
      </c>
      <c r="AM232">
        <f t="shared" si="366"/>
        <v>0</v>
      </c>
      <c r="AN232">
        <f t="shared" si="366"/>
        <v>0</v>
      </c>
      <c r="AO232">
        <f t="shared" si="366"/>
        <v>0</v>
      </c>
      <c r="AP232">
        <f t="shared" si="366"/>
        <v>0</v>
      </c>
      <c r="AQ232">
        <f t="shared" si="366"/>
        <v>0</v>
      </c>
      <c r="AR232">
        <f t="shared" si="366"/>
        <v>0</v>
      </c>
      <c r="AS232">
        <f t="shared" si="366"/>
        <v>0</v>
      </c>
      <c r="AT232">
        <f t="shared" si="366"/>
        <v>0</v>
      </c>
      <c r="AU232">
        <f t="shared" si="366"/>
        <v>0</v>
      </c>
      <c r="AV232">
        <f t="shared" si="366"/>
        <v>0</v>
      </c>
      <c r="AW232">
        <f t="shared" si="366"/>
        <v>0</v>
      </c>
    </row>
    <row r="233" spans="1:49" x14ac:dyDescent="0.3">
      <c r="A233">
        <f t="shared" ref="A233:V233" si="367">A143</f>
        <v>0</v>
      </c>
      <c r="B233">
        <f t="shared" si="367"/>
        <v>0</v>
      </c>
      <c r="C233">
        <f t="shared" si="367"/>
        <v>0</v>
      </c>
      <c r="D233" s="11">
        <f t="shared" si="367"/>
        <v>0</v>
      </c>
      <c r="E233">
        <f t="shared" si="367"/>
        <v>0</v>
      </c>
      <c r="F233">
        <f t="shared" si="367"/>
        <v>0</v>
      </c>
      <c r="G233">
        <f t="shared" si="367"/>
        <v>0</v>
      </c>
      <c r="H233">
        <f t="shared" si="367"/>
        <v>0</v>
      </c>
      <c r="I233">
        <f t="shared" si="367"/>
        <v>0</v>
      </c>
      <c r="J233">
        <f t="shared" si="367"/>
        <v>0</v>
      </c>
      <c r="K233">
        <f t="shared" si="367"/>
        <v>0</v>
      </c>
      <c r="L233">
        <f t="shared" si="367"/>
        <v>0</v>
      </c>
      <c r="M233">
        <f t="shared" si="367"/>
        <v>0</v>
      </c>
      <c r="N233">
        <f t="shared" si="367"/>
        <v>0</v>
      </c>
      <c r="O233">
        <f t="shared" si="367"/>
        <v>0</v>
      </c>
      <c r="P233">
        <f t="shared" si="367"/>
        <v>0</v>
      </c>
      <c r="Q233">
        <f t="shared" si="367"/>
        <v>0</v>
      </c>
      <c r="R233">
        <f t="shared" si="367"/>
        <v>0</v>
      </c>
      <c r="S233">
        <f t="shared" si="367"/>
        <v>0</v>
      </c>
      <c r="T233" s="237" t="str">
        <f t="shared" si="367"/>
        <v>base</v>
      </c>
      <c r="U233" s="445" t="str">
        <f t="shared" si="367"/>
        <v>low</v>
      </c>
      <c r="V233" s="445" t="str">
        <f t="shared" si="367"/>
        <v>high</v>
      </c>
      <c r="AB233">
        <f t="shared" ref="AB233:AW233" si="368">AB143</f>
        <v>0</v>
      </c>
      <c r="AC233">
        <f t="shared" si="368"/>
        <v>0</v>
      </c>
      <c r="AD233">
        <f t="shared" si="368"/>
        <v>0</v>
      </c>
      <c r="AE233" s="11">
        <f t="shared" si="368"/>
        <v>0</v>
      </c>
      <c r="AF233">
        <f t="shared" si="368"/>
        <v>0</v>
      </c>
      <c r="AG233">
        <f t="shared" si="368"/>
        <v>0</v>
      </c>
      <c r="AH233">
        <f t="shared" si="368"/>
        <v>0</v>
      </c>
      <c r="AI233">
        <f t="shared" si="368"/>
        <v>0</v>
      </c>
      <c r="AJ233">
        <f t="shared" si="368"/>
        <v>0</v>
      </c>
      <c r="AK233">
        <f t="shared" si="368"/>
        <v>0</v>
      </c>
      <c r="AL233">
        <f t="shared" si="368"/>
        <v>0</v>
      </c>
      <c r="AM233">
        <f t="shared" si="368"/>
        <v>0</v>
      </c>
      <c r="AN233">
        <f t="shared" si="368"/>
        <v>0</v>
      </c>
      <c r="AO233">
        <f t="shared" si="368"/>
        <v>0</v>
      </c>
      <c r="AP233">
        <f t="shared" si="368"/>
        <v>0</v>
      </c>
      <c r="AQ233">
        <f t="shared" si="368"/>
        <v>0</v>
      </c>
      <c r="AR233">
        <f t="shared" si="368"/>
        <v>0</v>
      </c>
      <c r="AS233">
        <f t="shared" si="368"/>
        <v>0</v>
      </c>
      <c r="AT233">
        <f t="shared" si="368"/>
        <v>0</v>
      </c>
      <c r="AU233" s="589" t="str">
        <f t="shared" si="368"/>
        <v>base</v>
      </c>
      <c r="AV233" s="445" t="str">
        <f t="shared" si="368"/>
        <v>low</v>
      </c>
      <c r="AW233" s="445" t="str">
        <f t="shared" si="368"/>
        <v>high</v>
      </c>
    </row>
    <row r="234" spans="1:49" x14ac:dyDescent="0.3">
      <c r="A234">
        <f t="shared" ref="A234:S234" si="369">A144</f>
        <v>0</v>
      </c>
      <c r="B234">
        <f t="shared" si="369"/>
        <v>0</v>
      </c>
      <c r="C234">
        <f t="shared" si="369"/>
        <v>0</v>
      </c>
      <c r="D234" s="11">
        <f t="shared" si="369"/>
        <v>0</v>
      </c>
      <c r="E234">
        <f t="shared" si="369"/>
        <v>0</v>
      </c>
      <c r="F234">
        <f t="shared" si="369"/>
        <v>0</v>
      </c>
      <c r="G234">
        <f t="shared" si="369"/>
        <v>0</v>
      </c>
      <c r="H234">
        <f t="shared" si="369"/>
        <v>0</v>
      </c>
      <c r="I234">
        <f t="shared" si="369"/>
        <v>0</v>
      </c>
      <c r="J234">
        <f t="shared" si="369"/>
        <v>0</v>
      </c>
      <c r="K234">
        <f t="shared" si="369"/>
        <v>0</v>
      </c>
      <c r="L234">
        <f t="shared" si="369"/>
        <v>0</v>
      </c>
      <c r="M234">
        <f t="shared" si="369"/>
        <v>0</v>
      </c>
      <c r="N234">
        <f t="shared" si="369"/>
        <v>0</v>
      </c>
      <c r="O234">
        <f t="shared" si="369"/>
        <v>0</v>
      </c>
      <c r="P234">
        <f t="shared" si="369"/>
        <v>0</v>
      </c>
      <c r="Q234">
        <f t="shared" si="369"/>
        <v>0</v>
      </c>
      <c r="S234" s="2" t="str">
        <f t="shared" si="369"/>
        <v>Outpatient visits prevented</v>
      </c>
      <c r="T234" s="33">
        <f>$I$247*O238*T235</f>
        <v>18450.861898132363</v>
      </c>
      <c r="U234" s="33">
        <f t="shared" ref="U234:V234" si="370">$I$247*P238*U235</f>
        <v>16836.41148204578</v>
      </c>
      <c r="V234" s="33">
        <f t="shared" si="370"/>
        <v>19604.040766765633</v>
      </c>
      <c r="AB234">
        <f t="shared" ref="AB234:AR234" si="371">AB144</f>
        <v>0</v>
      </c>
      <c r="AC234">
        <f t="shared" si="371"/>
        <v>0</v>
      </c>
      <c r="AD234">
        <f t="shared" si="371"/>
        <v>0</v>
      </c>
      <c r="AE234" s="11">
        <f t="shared" si="371"/>
        <v>0</v>
      </c>
      <c r="AF234">
        <f t="shared" si="371"/>
        <v>0</v>
      </c>
      <c r="AG234">
        <f t="shared" si="371"/>
        <v>0</v>
      </c>
      <c r="AH234">
        <f t="shared" si="371"/>
        <v>0</v>
      </c>
      <c r="AI234">
        <f t="shared" si="371"/>
        <v>0</v>
      </c>
      <c r="AJ234">
        <f t="shared" si="371"/>
        <v>0</v>
      </c>
      <c r="AK234">
        <f t="shared" si="371"/>
        <v>0</v>
      </c>
      <c r="AL234">
        <f t="shared" si="371"/>
        <v>0</v>
      </c>
      <c r="AM234">
        <f t="shared" si="371"/>
        <v>0</v>
      </c>
      <c r="AN234">
        <f t="shared" si="371"/>
        <v>0</v>
      </c>
      <c r="AO234">
        <f t="shared" si="371"/>
        <v>0</v>
      </c>
      <c r="AP234">
        <f t="shared" si="371"/>
        <v>0</v>
      </c>
      <c r="AQ234">
        <f t="shared" si="371"/>
        <v>0</v>
      </c>
      <c r="AR234">
        <f t="shared" si="371"/>
        <v>0</v>
      </c>
      <c r="AT234" s="2" t="str">
        <f t="shared" ref="AT234" si="372">AT144</f>
        <v>Outpatient visits prevented</v>
      </c>
      <c r="AU234" s="33">
        <f>$AJ$247*AP238*AU235</f>
        <v>9476.7458633910519</v>
      </c>
      <c r="AV234" s="33">
        <f t="shared" ref="AV234:AW234" si="373">$AJ$247*AQ238*AV235</f>
        <v>8647.5306003443347</v>
      </c>
      <c r="AW234" s="33">
        <f t="shared" si="373"/>
        <v>10069.042479852991</v>
      </c>
    </row>
    <row r="235" spans="1:49" x14ac:dyDescent="0.3">
      <c r="A235">
        <f t="shared" ref="A235:S235" si="374">A145</f>
        <v>0</v>
      </c>
      <c r="B235">
        <f t="shared" si="374"/>
        <v>0</v>
      </c>
      <c r="C235">
        <f t="shared" si="374"/>
        <v>0</v>
      </c>
      <c r="D235" s="11">
        <f t="shared" si="374"/>
        <v>0</v>
      </c>
      <c r="E235">
        <f t="shared" si="374"/>
        <v>0</v>
      </c>
      <c r="F235">
        <f t="shared" si="374"/>
        <v>0</v>
      </c>
      <c r="G235">
        <f t="shared" si="374"/>
        <v>0</v>
      </c>
      <c r="H235">
        <f t="shared" si="374"/>
        <v>0</v>
      </c>
      <c r="I235">
        <f t="shared" si="374"/>
        <v>0</v>
      </c>
      <c r="J235">
        <f t="shared" si="374"/>
        <v>0</v>
      </c>
      <c r="K235">
        <f t="shared" si="374"/>
        <v>0</v>
      </c>
      <c r="L235">
        <f t="shared" si="374"/>
        <v>0</v>
      </c>
      <c r="M235">
        <f t="shared" si="374"/>
        <v>0</v>
      </c>
      <c r="N235">
        <f t="shared" si="374"/>
        <v>0</v>
      </c>
      <c r="O235">
        <f t="shared" si="374"/>
        <v>0</v>
      </c>
      <c r="P235">
        <f t="shared" si="374"/>
        <v>0</v>
      </c>
      <c r="Q235">
        <f t="shared" si="374"/>
        <v>0</v>
      </c>
      <c r="R235" s="16">
        <f t="shared" si="374"/>
        <v>0</v>
      </c>
      <c r="S235" s="15" t="str">
        <f t="shared" si="374"/>
        <v>p4c</v>
      </c>
      <c r="T235" s="61">
        <f>$T$145</f>
        <v>1.4910674201012974</v>
      </c>
      <c r="U235" s="61">
        <f t="shared" ref="U235:V235" si="375">$T$145</f>
        <v>1.4910674201012974</v>
      </c>
      <c r="V235" s="61">
        <f t="shared" si="375"/>
        <v>1.4910674201012974</v>
      </c>
      <c r="AB235">
        <f t="shared" ref="AB235:AT235" si="376">AB145</f>
        <v>0</v>
      </c>
      <c r="AC235">
        <f t="shared" si="376"/>
        <v>0</v>
      </c>
      <c r="AD235">
        <f t="shared" si="376"/>
        <v>0</v>
      </c>
      <c r="AE235" s="11">
        <f t="shared" si="376"/>
        <v>0</v>
      </c>
      <c r="AF235">
        <f t="shared" si="376"/>
        <v>0</v>
      </c>
      <c r="AG235">
        <f t="shared" si="376"/>
        <v>0</v>
      </c>
      <c r="AH235">
        <f t="shared" si="376"/>
        <v>0</v>
      </c>
      <c r="AI235">
        <f t="shared" si="376"/>
        <v>0</v>
      </c>
      <c r="AJ235">
        <f t="shared" si="376"/>
        <v>0</v>
      </c>
      <c r="AK235">
        <f t="shared" si="376"/>
        <v>0</v>
      </c>
      <c r="AL235">
        <f t="shared" si="376"/>
        <v>0</v>
      </c>
      <c r="AM235">
        <f t="shared" si="376"/>
        <v>0</v>
      </c>
      <c r="AN235">
        <f t="shared" si="376"/>
        <v>0</v>
      </c>
      <c r="AO235">
        <f t="shared" si="376"/>
        <v>0</v>
      </c>
      <c r="AP235">
        <f t="shared" si="376"/>
        <v>0</v>
      </c>
      <c r="AQ235">
        <f t="shared" si="376"/>
        <v>0</v>
      </c>
      <c r="AR235">
        <f t="shared" si="376"/>
        <v>0</v>
      </c>
      <c r="AS235" s="16">
        <f t="shared" si="376"/>
        <v>0</v>
      </c>
      <c r="AT235" s="15" t="str">
        <f t="shared" si="376"/>
        <v>p4c</v>
      </c>
      <c r="AU235" s="61">
        <f>$AU$145</f>
        <v>0.76584319385710953</v>
      </c>
      <c r="AV235" s="61">
        <f t="shared" ref="AV235:AW235" si="377">$AU$145</f>
        <v>0.76584319385710953</v>
      </c>
      <c r="AW235" s="61">
        <f t="shared" si="377"/>
        <v>0.76584319385710953</v>
      </c>
    </row>
    <row r="236" spans="1:49" x14ac:dyDescent="0.3">
      <c r="A236">
        <f t="shared" ref="A236:V236" si="378">A146</f>
        <v>0</v>
      </c>
      <c r="B236">
        <f t="shared" si="378"/>
        <v>0</v>
      </c>
      <c r="C236">
        <f t="shared" si="378"/>
        <v>0</v>
      </c>
      <c r="D236" s="11">
        <f t="shared" si="378"/>
        <v>0</v>
      </c>
      <c r="E236">
        <f t="shared" si="378"/>
        <v>0</v>
      </c>
      <c r="F236">
        <f t="shared" si="378"/>
        <v>0</v>
      </c>
      <c r="G236">
        <f t="shared" si="378"/>
        <v>0</v>
      </c>
      <c r="H236">
        <f t="shared" si="378"/>
        <v>0</v>
      </c>
      <c r="I236">
        <f t="shared" si="378"/>
        <v>0</v>
      </c>
      <c r="J236">
        <f t="shared" si="378"/>
        <v>0</v>
      </c>
      <c r="K236">
        <f t="shared" si="378"/>
        <v>0</v>
      </c>
      <c r="L236">
        <f t="shared" si="378"/>
        <v>0</v>
      </c>
      <c r="M236">
        <f t="shared" si="378"/>
        <v>0</v>
      </c>
      <c r="N236">
        <f t="shared" si="378"/>
        <v>0</v>
      </c>
      <c r="O236">
        <f t="shared" si="378"/>
        <v>0</v>
      </c>
      <c r="P236" t="s">
        <v>184</v>
      </c>
      <c r="Q236">
        <f t="shared" si="378"/>
        <v>0</v>
      </c>
      <c r="R236" s="11">
        <f t="shared" si="378"/>
        <v>0</v>
      </c>
      <c r="S236" s="2">
        <f t="shared" si="378"/>
        <v>0</v>
      </c>
      <c r="T236">
        <f t="shared" si="378"/>
        <v>0</v>
      </c>
      <c r="U236" s="322">
        <f t="shared" si="378"/>
        <v>0</v>
      </c>
      <c r="V236" s="322">
        <f t="shared" si="378"/>
        <v>0</v>
      </c>
      <c r="AB236">
        <f t="shared" ref="AB236:AW236" si="379">AB146</f>
        <v>0</v>
      </c>
      <c r="AC236">
        <f t="shared" si="379"/>
        <v>0</v>
      </c>
      <c r="AD236">
        <f t="shared" si="379"/>
        <v>0</v>
      </c>
      <c r="AE236" s="11">
        <f t="shared" si="379"/>
        <v>0</v>
      </c>
      <c r="AF236">
        <f t="shared" si="379"/>
        <v>0</v>
      </c>
      <c r="AG236">
        <f t="shared" si="379"/>
        <v>0</v>
      </c>
      <c r="AH236">
        <f t="shared" si="379"/>
        <v>0</v>
      </c>
      <c r="AI236">
        <f t="shared" si="379"/>
        <v>0</v>
      </c>
      <c r="AJ236">
        <f t="shared" si="379"/>
        <v>0</v>
      </c>
      <c r="AK236">
        <f t="shared" si="379"/>
        <v>0</v>
      </c>
      <c r="AL236">
        <f t="shared" si="379"/>
        <v>0</v>
      </c>
      <c r="AM236">
        <f t="shared" si="379"/>
        <v>0</v>
      </c>
      <c r="AN236">
        <f t="shared" si="379"/>
        <v>0</v>
      </c>
      <c r="AO236">
        <f t="shared" si="379"/>
        <v>0</v>
      </c>
      <c r="AP236">
        <f t="shared" si="379"/>
        <v>0</v>
      </c>
      <c r="AQ236" t="s">
        <v>184</v>
      </c>
      <c r="AR236">
        <f t="shared" si="379"/>
        <v>0</v>
      </c>
      <c r="AS236" s="11">
        <f t="shared" si="379"/>
        <v>0</v>
      </c>
      <c r="AT236" s="2">
        <f t="shared" si="379"/>
        <v>0</v>
      </c>
      <c r="AU236">
        <f t="shared" si="379"/>
        <v>0</v>
      </c>
      <c r="AV236" s="322">
        <f t="shared" si="379"/>
        <v>0</v>
      </c>
      <c r="AW236" s="322">
        <f t="shared" si="379"/>
        <v>0</v>
      </c>
    </row>
    <row r="237" spans="1:49" x14ac:dyDescent="0.3">
      <c r="A237">
        <f t="shared" ref="A237:S237" si="380">A147</f>
        <v>0</v>
      </c>
      <c r="B237">
        <f t="shared" si="380"/>
        <v>0</v>
      </c>
      <c r="C237">
        <f t="shared" si="380"/>
        <v>0</v>
      </c>
      <c r="D237" s="11">
        <f t="shared" si="380"/>
        <v>0</v>
      </c>
      <c r="E237">
        <f t="shared" si="380"/>
        <v>0</v>
      </c>
      <c r="F237">
        <f t="shared" si="380"/>
        <v>0</v>
      </c>
      <c r="G237">
        <f t="shared" si="380"/>
        <v>0</v>
      </c>
      <c r="H237">
        <f t="shared" si="380"/>
        <v>0</v>
      </c>
      <c r="I237">
        <f t="shared" si="380"/>
        <v>0</v>
      </c>
      <c r="J237">
        <f t="shared" si="380"/>
        <v>0</v>
      </c>
      <c r="K237">
        <f t="shared" si="380"/>
        <v>0</v>
      </c>
      <c r="L237">
        <f t="shared" si="380"/>
        <v>0</v>
      </c>
      <c r="N237" s="514" t="str">
        <f t="shared" si="380"/>
        <v>Vaccine Effective</v>
      </c>
      <c r="O237" s="33" t="s">
        <v>160</v>
      </c>
      <c r="P237" t="s">
        <v>161</v>
      </c>
      <c r="Q237" s="51" t="s">
        <v>162</v>
      </c>
      <c r="R237" s="18"/>
      <c r="S237" s="12" t="str">
        <f t="shared" si="380"/>
        <v>ED visits prevented</v>
      </c>
      <c r="T237" s="33">
        <f>$I$247*O238*T238</f>
        <v>6929.4012144045719</v>
      </c>
      <c r="U237" s="33">
        <f t="shared" ref="U237:V237" si="381">$I$247*P238*U238</f>
        <v>6323.078608144172</v>
      </c>
      <c r="V237" s="33">
        <f t="shared" si="381"/>
        <v>7362.4887903048566</v>
      </c>
      <c r="AB237">
        <f t="shared" ref="AB237:AM237" si="382">AB147</f>
        <v>0</v>
      </c>
      <c r="AC237">
        <f t="shared" si="382"/>
        <v>0</v>
      </c>
      <c r="AD237">
        <f t="shared" si="382"/>
        <v>0</v>
      </c>
      <c r="AE237" s="11">
        <f t="shared" si="382"/>
        <v>0</v>
      </c>
      <c r="AF237">
        <f t="shared" si="382"/>
        <v>0</v>
      </c>
      <c r="AG237">
        <f t="shared" si="382"/>
        <v>0</v>
      </c>
      <c r="AH237">
        <f t="shared" si="382"/>
        <v>0</v>
      </c>
      <c r="AI237">
        <f t="shared" si="382"/>
        <v>0</v>
      </c>
      <c r="AJ237">
        <f t="shared" si="382"/>
        <v>0</v>
      </c>
      <c r="AK237">
        <f t="shared" si="382"/>
        <v>0</v>
      </c>
      <c r="AL237">
        <f t="shared" si="382"/>
        <v>0</v>
      </c>
      <c r="AM237">
        <f t="shared" si="382"/>
        <v>0</v>
      </c>
      <c r="AO237" s="514" t="str">
        <f t="shared" ref="AO237" si="383">AO147</f>
        <v>Vaccine Effective</v>
      </c>
      <c r="AP237" s="33" t="s">
        <v>160</v>
      </c>
      <c r="AQ237" t="s">
        <v>161</v>
      </c>
      <c r="AR237" s="51" t="s">
        <v>162</v>
      </c>
      <c r="AS237" s="18"/>
      <c r="AT237" s="12" t="str">
        <f t="shared" ref="AT237" si="384">AT147</f>
        <v>ED visits prevented</v>
      </c>
      <c r="AU237" s="33">
        <f>$AJ$247*AP238*AU238</f>
        <v>3766.6102166270866</v>
      </c>
      <c r="AV237" s="33">
        <f t="shared" ref="AV237:AW237" si="385">$AJ$247*AQ238*AV238</f>
        <v>3437.0318226722165</v>
      </c>
      <c r="AW237" s="33">
        <f t="shared" si="385"/>
        <v>4002.0233551662791</v>
      </c>
    </row>
    <row r="238" spans="1:49" x14ac:dyDescent="0.3">
      <c r="A238">
        <f t="shared" ref="A238:S238" si="386">A148</f>
        <v>0</v>
      </c>
      <c r="B238">
        <f t="shared" si="386"/>
        <v>0</v>
      </c>
      <c r="C238">
        <f t="shared" si="386"/>
        <v>0</v>
      </c>
      <c r="D238" s="11">
        <f t="shared" si="386"/>
        <v>0</v>
      </c>
      <c r="E238">
        <f t="shared" si="386"/>
        <v>0</v>
      </c>
      <c r="F238">
        <f t="shared" si="386"/>
        <v>0</v>
      </c>
      <c r="G238">
        <f t="shared" si="386"/>
        <v>0</v>
      </c>
      <c r="H238">
        <f t="shared" si="386"/>
        <v>0</v>
      </c>
      <c r="I238">
        <f t="shared" si="386"/>
        <v>0</v>
      </c>
      <c r="J238">
        <f t="shared" si="386"/>
        <v>0</v>
      </c>
      <c r="K238">
        <f t="shared" si="386"/>
        <v>0</v>
      </c>
      <c r="L238">
        <f t="shared" si="386"/>
        <v>0</v>
      </c>
      <c r="M238">
        <f t="shared" si="386"/>
        <v>0</v>
      </c>
      <c r="N238" s="64" t="str">
        <f t="shared" si="386"/>
        <v>p7</v>
      </c>
      <c r="O238" s="66">
        <f t="shared" si="386"/>
        <v>0.8</v>
      </c>
      <c r="P238" s="811">
        <f>P193</f>
        <v>0.73</v>
      </c>
      <c r="Q238" s="516">
        <f>Q193</f>
        <v>0.85</v>
      </c>
      <c r="R238" s="11">
        <f t="shared" si="386"/>
        <v>0</v>
      </c>
      <c r="S238" s="2" t="str">
        <f t="shared" si="386"/>
        <v>p4b</v>
      </c>
      <c r="T238" s="61">
        <f>$T$148</f>
        <v>0.55998491824682028</v>
      </c>
      <c r="U238" s="61">
        <f t="shared" ref="U238:V238" si="387">$T$148</f>
        <v>0.55998491824682028</v>
      </c>
      <c r="V238" s="61">
        <f t="shared" si="387"/>
        <v>0.55998491824682028</v>
      </c>
      <c r="AB238">
        <f t="shared" ref="AB238:AT238" si="388">AB148</f>
        <v>0</v>
      </c>
      <c r="AC238">
        <f t="shared" si="388"/>
        <v>0</v>
      </c>
      <c r="AD238">
        <f t="shared" si="388"/>
        <v>0</v>
      </c>
      <c r="AE238" s="11">
        <f t="shared" si="388"/>
        <v>0</v>
      </c>
      <c r="AF238">
        <f t="shared" si="388"/>
        <v>0</v>
      </c>
      <c r="AG238">
        <f t="shared" si="388"/>
        <v>0</v>
      </c>
      <c r="AH238">
        <f t="shared" si="388"/>
        <v>0</v>
      </c>
      <c r="AI238">
        <f t="shared" si="388"/>
        <v>0</v>
      </c>
      <c r="AJ238">
        <f t="shared" si="388"/>
        <v>0</v>
      </c>
      <c r="AK238">
        <f t="shared" si="388"/>
        <v>0</v>
      </c>
      <c r="AL238">
        <f t="shared" si="388"/>
        <v>0</v>
      </c>
      <c r="AM238">
        <f t="shared" si="388"/>
        <v>0</v>
      </c>
      <c r="AN238">
        <f t="shared" si="388"/>
        <v>0</v>
      </c>
      <c r="AO238" s="64" t="str">
        <f t="shared" si="388"/>
        <v>p7</v>
      </c>
      <c r="AP238" s="66">
        <f t="shared" si="388"/>
        <v>0.8</v>
      </c>
      <c r="AQ238" s="811">
        <f>AQ193</f>
        <v>0.73</v>
      </c>
      <c r="AR238" s="516">
        <f>AR193</f>
        <v>0.85</v>
      </c>
      <c r="AS238" s="11">
        <f t="shared" si="388"/>
        <v>0</v>
      </c>
      <c r="AT238" s="2" t="str">
        <f t="shared" si="388"/>
        <v>p4b</v>
      </c>
      <c r="AU238" s="61">
        <f>$AU$148</f>
        <v>0.30439064631456758</v>
      </c>
      <c r="AV238" s="61">
        <f t="shared" ref="AV238:AW238" si="389">$AU$148</f>
        <v>0.30439064631456758</v>
      </c>
      <c r="AW238" s="61">
        <f t="shared" si="389"/>
        <v>0.30439064631456758</v>
      </c>
    </row>
    <row r="239" spans="1:49" x14ac:dyDescent="0.3">
      <c r="A239">
        <f t="shared" ref="A239:V239" si="390">A149</f>
        <v>0</v>
      </c>
      <c r="B239">
        <f t="shared" si="390"/>
        <v>0</v>
      </c>
      <c r="C239">
        <f t="shared" si="390"/>
        <v>0</v>
      </c>
      <c r="D239" s="11">
        <f t="shared" si="390"/>
        <v>0</v>
      </c>
      <c r="E239">
        <f t="shared" si="390"/>
        <v>0</v>
      </c>
      <c r="F239">
        <f t="shared" si="390"/>
        <v>0</v>
      </c>
      <c r="G239">
        <f t="shared" si="390"/>
        <v>0</v>
      </c>
      <c r="H239">
        <f t="shared" si="390"/>
        <v>0</v>
      </c>
      <c r="I239">
        <f t="shared" si="390"/>
        <v>0</v>
      </c>
      <c r="J239">
        <f t="shared" si="390"/>
        <v>0</v>
      </c>
      <c r="K239" s="14" t="str">
        <f t="shared" si="390"/>
        <v>low:</v>
      </c>
      <c r="L239" s="28">
        <f t="shared" si="390"/>
        <v>0</v>
      </c>
      <c r="M239">
        <f t="shared" si="390"/>
        <v>0</v>
      </c>
      <c r="N239" s="11">
        <f t="shared" si="390"/>
        <v>0</v>
      </c>
      <c r="O239">
        <f t="shared" si="390"/>
        <v>0</v>
      </c>
      <c r="P239">
        <f t="shared" si="390"/>
        <v>0</v>
      </c>
      <c r="Q239">
        <f t="shared" si="390"/>
        <v>0</v>
      </c>
      <c r="R239" s="11">
        <f t="shared" si="390"/>
        <v>0</v>
      </c>
      <c r="S239" s="2">
        <f t="shared" si="390"/>
        <v>0</v>
      </c>
      <c r="T239">
        <f t="shared" si="390"/>
        <v>0</v>
      </c>
      <c r="U239" s="322">
        <f t="shared" si="390"/>
        <v>0</v>
      </c>
      <c r="V239" s="322">
        <f t="shared" si="390"/>
        <v>0</v>
      </c>
      <c r="AB239">
        <f t="shared" ref="AB239:AW239" si="391">AB149</f>
        <v>0</v>
      </c>
      <c r="AC239">
        <f t="shared" si="391"/>
        <v>0</v>
      </c>
      <c r="AD239">
        <f t="shared" si="391"/>
        <v>0</v>
      </c>
      <c r="AE239" s="11">
        <f t="shared" si="391"/>
        <v>0</v>
      </c>
      <c r="AF239">
        <f t="shared" si="391"/>
        <v>0</v>
      </c>
      <c r="AG239">
        <f t="shared" si="391"/>
        <v>0</v>
      </c>
      <c r="AH239">
        <f t="shared" si="391"/>
        <v>0</v>
      </c>
      <c r="AI239">
        <f t="shared" si="391"/>
        <v>0</v>
      </c>
      <c r="AJ239">
        <f t="shared" si="391"/>
        <v>0</v>
      </c>
      <c r="AK239">
        <f t="shared" si="391"/>
        <v>0</v>
      </c>
      <c r="AL239" s="14" t="str">
        <f t="shared" si="391"/>
        <v>low:</v>
      </c>
      <c r="AM239" s="28">
        <f t="shared" si="391"/>
        <v>0</v>
      </c>
      <c r="AN239">
        <f t="shared" si="391"/>
        <v>0</v>
      </c>
      <c r="AO239" s="11">
        <f t="shared" si="391"/>
        <v>0</v>
      </c>
      <c r="AP239">
        <f t="shared" si="391"/>
        <v>0</v>
      </c>
      <c r="AQ239">
        <f t="shared" si="391"/>
        <v>0</v>
      </c>
      <c r="AR239">
        <f t="shared" si="391"/>
        <v>0</v>
      </c>
      <c r="AS239" s="11">
        <f t="shared" si="391"/>
        <v>0</v>
      </c>
      <c r="AT239" s="2">
        <f t="shared" si="391"/>
        <v>0</v>
      </c>
      <c r="AU239">
        <f t="shared" si="391"/>
        <v>0</v>
      </c>
      <c r="AV239" s="322">
        <f t="shared" si="391"/>
        <v>0</v>
      </c>
      <c r="AW239" s="322">
        <f t="shared" si="391"/>
        <v>0</v>
      </c>
    </row>
    <row r="240" spans="1:49" x14ac:dyDescent="0.3">
      <c r="A240">
        <f t="shared" ref="A240:S240" si="392">A150</f>
        <v>0</v>
      </c>
      <c r="B240">
        <f t="shared" si="392"/>
        <v>0</v>
      </c>
      <c r="C240">
        <f t="shared" si="392"/>
        <v>0</v>
      </c>
      <c r="D240" s="11">
        <f t="shared" si="392"/>
        <v>0</v>
      </c>
      <c r="E240">
        <f t="shared" si="392"/>
        <v>0</v>
      </c>
      <c r="F240">
        <f t="shared" si="392"/>
        <v>0</v>
      </c>
      <c r="G240" s="13">
        <f t="shared" si="392"/>
        <v>0</v>
      </c>
      <c r="H240">
        <f t="shared" si="392"/>
        <v>0</v>
      </c>
      <c r="I240">
        <f t="shared" si="392"/>
        <v>0</v>
      </c>
      <c r="J240">
        <f t="shared" si="392"/>
        <v>0</v>
      </c>
      <c r="K240" s="285" t="str">
        <f t="shared" si="392"/>
        <v>high:</v>
      </c>
      <c r="L240" s="28">
        <f t="shared" si="392"/>
        <v>0</v>
      </c>
      <c r="M240">
        <f t="shared" si="392"/>
        <v>0</v>
      </c>
      <c r="N240" s="11">
        <f t="shared" si="392"/>
        <v>0</v>
      </c>
      <c r="O240" s="13">
        <f t="shared" si="392"/>
        <v>0</v>
      </c>
      <c r="P240">
        <f t="shared" si="392"/>
        <v>0</v>
      </c>
      <c r="Q240">
        <f t="shared" si="392"/>
        <v>0</v>
      </c>
      <c r="R240" s="18"/>
      <c r="S240" s="12" t="str">
        <f t="shared" si="392"/>
        <v>Hospitalizations prevented</v>
      </c>
      <c r="T240" s="30">
        <f>$I$247*O238*T241</f>
        <v>2059.2448270763248</v>
      </c>
      <c r="U240" s="30">
        <f t="shared" ref="U240:V240" si="393">$I$247*P238*U241</f>
        <v>1879.0609047071464</v>
      </c>
      <c r="V240" s="30">
        <f t="shared" si="393"/>
        <v>2187.9476287685948</v>
      </c>
      <c r="AB240">
        <f t="shared" ref="AB240:AR240" si="394">AB150</f>
        <v>0</v>
      </c>
      <c r="AC240">
        <f t="shared" si="394"/>
        <v>0</v>
      </c>
      <c r="AD240">
        <f t="shared" si="394"/>
        <v>0</v>
      </c>
      <c r="AE240" s="11">
        <f t="shared" si="394"/>
        <v>0</v>
      </c>
      <c r="AF240">
        <f t="shared" si="394"/>
        <v>0</v>
      </c>
      <c r="AG240">
        <f t="shared" si="394"/>
        <v>0</v>
      </c>
      <c r="AH240" s="13">
        <f t="shared" si="394"/>
        <v>0</v>
      </c>
      <c r="AI240">
        <f t="shared" si="394"/>
        <v>0</v>
      </c>
      <c r="AJ240">
        <f t="shared" si="394"/>
        <v>0</v>
      </c>
      <c r="AK240">
        <f t="shared" si="394"/>
        <v>0</v>
      </c>
      <c r="AL240" s="285" t="str">
        <f t="shared" si="394"/>
        <v>high:</v>
      </c>
      <c r="AM240" s="28">
        <f t="shared" si="394"/>
        <v>0</v>
      </c>
      <c r="AN240">
        <f t="shared" si="394"/>
        <v>0</v>
      </c>
      <c r="AO240" s="11">
        <f t="shared" si="394"/>
        <v>0</v>
      </c>
      <c r="AP240" s="13">
        <f t="shared" si="394"/>
        <v>0</v>
      </c>
      <c r="AQ240">
        <f t="shared" si="394"/>
        <v>0</v>
      </c>
      <c r="AR240">
        <f t="shared" si="394"/>
        <v>0</v>
      </c>
      <c r="AS240" s="18"/>
      <c r="AT240" s="12" t="str">
        <f t="shared" ref="AT240" si="395">AT150</f>
        <v>Hospitalizations prevented</v>
      </c>
      <c r="AU240" s="30">
        <f>$AJ$247*AP238*AU241</f>
        <v>519.51369251429946</v>
      </c>
      <c r="AV240" s="30">
        <f t="shared" ref="AV240:AW240" si="396">$AJ$247*AQ238*AV241</f>
        <v>474.0562444192982</v>
      </c>
      <c r="AW240" s="30">
        <f t="shared" si="396"/>
        <v>551.98329829644308</v>
      </c>
    </row>
    <row r="241" spans="1:49" x14ac:dyDescent="0.3">
      <c r="A241">
        <f t="shared" ref="A241:S241" si="397">A151</f>
        <v>0</v>
      </c>
      <c r="B241">
        <f t="shared" si="397"/>
        <v>0</v>
      </c>
      <c r="C241">
        <f t="shared" si="397"/>
        <v>0</v>
      </c>
      <c r="D241" s="11">
        <f t="shared" si="397"/>
        <v>0</v>
      </c>
      <c r="E241">
        <f t="shared" si="397"/>
        <v>0</v>
      </c>
      <c r="F241">
        <f t="shared" si="397"/>
        <v>0</v>
      </c>
      <c r="G241">
        <f t="shared" si="397"/>
        <v>0</v>
      </c>
      <c r="H241">
        <f t="shared" si="397"/>
        <v>0</v>
      </c>
      <c r="K241" s="2" t="str">
        <f t="shared" si="397"/>
        <v>Expected healthcare visits</v>
      </c>
      <c r="L241" s="13">
        <f t="shared" si="397"/>
        <v>0</v>
      </c>
      <c r="M241">
        <f t="shared" si="397"/>
        <v>0</v>
      </c>
      <c r="N241" s="11">
        <f t="shared" si="397"/>
        <v>0</v>
      </c>
      <c r="O241">
        <f t="shared" si="397"/>
        <v>0</v>
      </c>
      <c r="P241">
        <f t="shared" si="397"/>
        <v>0</v>
      </c>
      <c r="Q241">
        <f t="shared" si="397"/>
        <v>0</v>
      </c>
      <c r="R241">
        <f t="shared" si="397"/>
        <v>0</v>
      </c>
      <c r="S241" s="2" t="str">
        <f t="shared" si="397"/>
        <v>p4c</v>
      </c>
      <c r="T241" s="61">
        <f>$T$151</f>
        <v>0.16641351979207206</v>
      </c>
      <c r="U241" s="61">
        <f t="shared" ref="U241:V241" si="398">$T$151</f>
        <v>0.16641351979207206</v>
      </c>
      <c r="V241" s="61">
        <f t="shared" si="398"/>
        <v>0.16641351979207206</v>
      </c>
      <c r="AB241">
        <f t="shared" ref="AB241:AI241" si="399">AB151</f>
        <v>0</v>
      </c>
      <c r="AC241">
        <f t="shared" si="399"/>
        <v>0</v>
      </c>
      <c r="AD241">
        <f t="shared" si="399"/>
        <v>0</v>
      </c>
      <c r="AE241" s="11">
        <f t="shared" si="399"/>
        <v>0</v>
      </c>
      <c r="AF241">
        <f t="shared" si="399"/>
        <v>0</v>
      </c>
      <c r="AG241">
        <f t="shared" si="399"/>
        <v>0</v>
      </c>
      <c r="AH241">
        <f t="shared" si="399"/>
        <v>0</v>
      </c>
      <c r="AI241">
        <f t="shared" si="399"/>
        <v>0</v>
      </c>
      <c r="AL241" s="2" t="str">
        <f t="shared" ref="AL241:AT241" si="400">AL151</f>
        <v>Expected healthcare visits</v>
      </c>
      <c r="AM241" s="13">
        <f t="shared" si="400"/>
        <v>0</v>
      </c>
      <c r="AN241">
        <f t="shared" si="400"/>
        <v>0</v>
      </c>
      <c r="AO241" s="11">
        <f t="shared" si="400"/>
        <v>0</v>
      </c>
      <c r="AP241">
        <f t="shared" si="400"/>
        <v>0</v>
      </c>
      <c r="AQ241">
        <f t="shared" si="400"/>
        <v>0</v>
      </c>
      <c r="AR241">
        <f t="shared" si="400"/>
        <v>0</v>
      </c>
      <c r="AS241">
        <f t="shared" si="400"/>
        <v>0</v>
      </c>
      <c r="AT241" s="2" t="str">
        <f t="shared" si="400"/>
        <v>p4c</v>
      </c>
      <c r="AU241" s="61">
        <f>$AU$151</f>
        <v>4.1983401397796216E-2</v>
      </c>
      <c r="AV241" s="61">
        <f t="shared" ref="AV241:AW241" si="401">$AU$151</f>
        <v>4.1983401397796216E-2</v>
      </c>
      <c r="AW241" s="61">
        <f t="shared" si="401"/>
        <v>4.1983401397796216E-2</v>
      </c>
    </row>
    <row r="242" spans="1:49" x14ac:dyDescent="0.3">
      <c r="A242">
        <f t="shared" ref="A242:V242" si="402">A152</f>
        <v>0</v>
      </c>
      <c r="B242">
        <f t="shared" si="402"/>
        <v>0</v>
      </c>
      <c r="C242">
        <f t="shared" si="402"/>
        <v>0</v>
      </c>
      <c r="D242" s="11">
        <f t="shared" si="402"/>
        <v>0</v>
      </c>
      <c r="E242">
        <f t="shared" si="402"/>
        <v>0</v>
      </c>
      <c r="F242">
        <f t="shared" si="402"/>
        <v>0</v>
      </c>
      <c r="G242">
        <f t="shared" si="402"/>
        <v>0</v>
      </c>
      <c r="H242">
        <f t="shared" si="402"/>
        <v>0</v>
      </c>
      <c r="K242" s="2" t="str">
        <f t="shared" si="402"/>
        <v>had immunization not been obtained</v>
      </c>
      <c r="L242" s="33">
        <f t="shared" si="402"/>
        <v>0</v>
      </c>
      <c r="M242">
        <f t="shared" si="402"/>
        <v>0</v>
      </c>
      <c r="N242" s="11">
        <f t="shared" si="402"/>
        <v>0</v>
      </c>
      <c r="O242">
        <f t="shared" si="402"/>
        <v>0</v>
      </c>
      <c r="P242">
        <f t="shared" si="402"/>
        <v>0</v>
      </c>
      <c r="Q242">
        <f t="shared" si="402"/>
        <v>0</v>
      </c>
      <c r="R242">
        <f t="shared" si="402"/>
        <v>0</v>
      </c>
      <c r="S242">
        <f t="shared" si="402"/>
        <v>0</v>
      </c>
      <c r="T242" s="13">
        <f t="shared" si="402"/>
        <v>0</v>
      </c>
      <c r="U242" s="322">
        <f t="shared" si="402"/>
        <v>0</v>
      </c>
      <c r="V242" s="322">
        <f t="shared" si="402"/>
        <v>0</v>
      </c>
      <c r="AB242">
        <f t="shared" ref="AB242:AI242" si="403">AB152</f>
        <v>0</v>
      </c>
      <c r="AC242">
        <f t="shared" si="403"/>
        <v>0</v>
      </c>
      <c r="AD242">
        <f t="shared" si="403"/>
        <v>0</v>
      </c>
      <c r="AE242" s="11">
        <f t="shared" si="403"/>
        <v>0</v>
      </c>
      <c r="AF242">
        <f t="shared" si="403"/>
        <v>0</v>
      </c>
      <c r="AG242">
        <f t="shared" si="403"/>
        <v>0</v>
      </c>
      <c r="AH242">
        <f t="shared" si="403"/>
        <v>0</v>
      </c>
      <c r="AI242">
        <f t="shared" si="403"/>
        <v>0</v>
      </c>
      <c r="AL242" s="2" t="str">
        <f t="shared" ref="AL242:AW242" si="404">AL152</f>
        <v>had immunization not been obtained</v>
      </c>
      <c r="AM242" s="33">
        <f t="shared" si="404"/>
        <v>0</v>
      </c>
      <c r="AN242">
        <f t="shared" si="404"/>
        <v>0</v>
      </c>
      <c r="AO242" s="11">
        <f t="shared" si="404"/>
        <v>0</v>
      </c>
      <c r="AP242">
        <f t="shared" si="404"/>
        <v>0</v>
      </c>
      <c r="AQ242">
        <f t="shared" si="404"/>
        <v>0</v>
      </c>
      <c r="AR242">
        <f t="shared" si="404"/>
        <v>0</v>
      </c>
      <c r="AS242">
        <f t="shared" si="404"/>
        <v>0</v>
      </c>
      <c r="AT242">
        <f t="shared" si="404"/>
        <v>0</v>
      </c>
      <c r="AU242" s="13">
        <f t="shared" si="404"/>
        <v>0</v>
      </c>
      <c r="AV242" s="322">
        <f t="shared" si="404"/>
        <v>0</v>
      </c>
      <c r="AW242" s="322">
        <f t="shared" si="404"/>
        <v>0</v>
      </c>
    </row>
    <row r="243" spans="1:49" x14ac:dyDescent="0.3">
      <c r="A243">
        <f t="shared" ref="A243:V243" si="405">A153</f>
        <v>0</v>
      </c>
      <c r="B243">
        <f t="shared" si="405"/>
        <v>0</v>
      </c>
      <c r="C243">
        <f t="shared" si="405"/>
        <v>0</v>
      </c>
      <c r="D243" s="11">
        <f t="shared" si="405"/>
        <v>0</v>
      </c>
      <c r="E243">
        <f t="shared" si="405"/>
        <v>0</v>
      </c>
      <c r="F243">
        <f t="shared" si="405"/>
        <v>0</v>
      </c>
      <c r="G243">
        <f t="shared" si="405"/>
        <v>0</v>
      </c>
      <c r="H243">
        <f t="shared" si="405"/>
        <v>0</v>
      </c>
      <c r="I243">
        <f t="shared" si="405"/>
        <v>0</v>
      </c>
      <c r="J243">
        <f t="shared" si="405"/>
        <v>0</v>
      </c>
      <c r="K243" s="16" t="str">
        <f t="shared" si="405"/>
        <v>sum p4a-c</v>
      </c>
      <c r="L243" s="68">
        <f t="shared" si="405"/>
        <v>0</v>
      </c>
      <c r="M243" s="17">
        <f t="shared" si="405"/>
        <v>0</v>
      </c>
      <c r="N243" s="11">
        <f t="shared" si="405"/>
        <v>0</v>
      </c>
      <c r="O243" s="13">
        <f t="shared" si="405"/>
        <v>0</v>
      </c>
      <c r="P243" s="13">
        <f t="shared" si="405"/>
        <v>0</v>
      </c>
      <c r="Q243" s="13">
        <f t="shared" si="405"/>
        <v>0</v>
      </c>
      <c r="R243">
        <f t="shared" si="405"/>
        <v>0</v>
      </c>
      <c r="S243">
        <f t="shared" si="405"/>
        <v>0</v>
      </c>
      <c r="T243" s="237" t="str">
        <f t="shared" si="405"/>
        <v>base</v>
      </c>
      <c r="U243" s="319" t="str">
        <f t="shared" si="405"/>
        <v>low</v>
      </c>
      <c r="V243" s="319" t="str">
        <f t="shared" si="405"/>
        <v>high</v>
      </c>
      <c r="AB243">
        <f t="shared" ref="AB243:AW243" si="406">AB153</f>
        <v>0</v>
      </c>
      <c r="AC243">
        <f t="shared" si="406"/>
        <v>0</v>
      </c>
      <c r="AD243">
        <f t="shared" si="406"/>
        <v>0</v>
      </c>
      <c r="AE243" s="11">
        <f t="shared" si="406"/>
        <v>0</v>
      </c>
      <c r="AF243">
        <f t="shared" si="406"/>
        <v>0</v>
      </c>
      <c r="AG243">
        <f t="shared" si="406"/>
        <v>0</v>
      </c>
      <c r="AH243">
        <f t="shared" si="406"/>
        <v>0</v>
      </c>
      <c r="AI243">
        <f t="shared" si="406"/>
        <v>0</v>
      </c>
      <c r="AJ243">
        <f t="shared" si="406"/>
        <v>0</v>
      </c>
      <c r="AK243">
        <f t="shared" si="406"/>
        <v>0</v>
      </c>
      <c r="AL243" s="16" t="str">
        <f t="shared" si="406"/>
        <v>sum p4a-c</v>
      </c>
      <c r="AM243" s="68">
        <f t="shared" si="406"/>
        <v>0</v>
      </c>
      <c r="AN243" s="17">
        <f t="shared" si="406"/>
        <v>0</v>
      </c>
      <c r="AO243" s="11">
        <f t="shared" si="406"/>
        <v>0</v>
      </c>
      <c r="AP243" s="13">
        <f t="shared" si="406"/>
        <v>0</v>
      </c>
      <c r="AQ243" s="13">
        <f t="shared" si="406"/>
        <v>0</v>
      </c>
      <c r="AR243" s="13">
        <f t="shared" si="406"/>
        <v>0</v>
      </c>
      <c r="AS243">
        <f t="shared" si="406"/>
        <v>0</v>
      </c>
      <c r="AT243">
        <f t="shared" si="406"/>
        <v>0</v>
      </c>
      <c r="AU243" s="589" t="str">
        <f t="shared" si="406"/>
        <v>base</v>
      </c>
      <c r="AV243" s="319" t="str">
        <f t="shared" si="406"/>
        <v>low</v>
      </c>
      <c r="AW243" s="319" t="str">
        <f t="shared" si="406"/>
        <v>high</v>
      </c>
    </row>
    <row r="244" spans="1:49" x14ac:dyDescent="0.3">
      <c r="A244">
        <f t="shared" ref="A244:V244" si="407">A154</f>
        <v>0</v>
      </c>
      <c r="B244">
        <f t="shared" si="407"/>
        <v>0</v>
      </c>
      <c r="C244">
        <f t="shared" si="407"/>
        <v>0</v>
      </c>
      <c r="D244" s="11">
        <f t="shared" si="407"/>
        <v>0</v>
      </c>
      <c r="E244">
        <f t="shared" si="407"/>
        <v>0</v>
      </c>
      <c r="F244">
        <f t="shared" si="407"/>
        <v>0</v>
      </c>
      <c r="G244">
        <f t="shared" si="407"/>
        <v>0</v>
      </c>
      <c r="H244">
        <f t="shared" si="407"/>
        <v>0</v>
      </c>
      <c r="I244">
        <f t="shared" si="407"/>
        <v>0</v>
      </c>
      <c r="J244">
        <f t="shared" si="407"/>
        <v>0</v>
      </c>
      <c r="K244" s="59" t="str">
        <f t="shared" si="407"/>
        <v>low:</v>
      </c>
      <c r="L244" s="68">
        <f t="shared" si="407"/>
        <v>0</v>
      </c>
      <c r="M244">
        <f t="shared" si="407"/>
        <v>0</v>
      </c>
      <c r="N244" s="11">
        <f t="shared" si="407"/>
        <v>0</v>
      </c>
      <c r="O244" s="13">
        <f t="shared" si="407"/>
        <v>0</v>
      </c>
      <c r="P244">
        <f t="shared" si="407"/>
        <v>0</v>
      </c>
      <c r="Q244">
        <f t="shared" si="407"/>
        <v>0</v>
      </c>
      <c r="S244" s="2" t="str">
        <f t="shared" si="407"/>
        <v>Outpatient visits</v>
      </c>
      <c r="T244" s="33">
        <f t="shared" si="407"/>
        <v>11250.178481971489</v>
      </c>
      <c r="U244" s="323">
        <f t="shared" si="407"/>
        <v>9379.203432295215</v>
      </c>
      <c r="V244" s="323">
        <f t="shared" si="407"/>
        <v>13118.39939761978</v>
      </c>
      <c r="AB244">
        <f t="shared" ref="AB244:AR244" si="408">AB154</f>
        <v>0</v>
      </c>
      <c r="AC244">
        <f t="shared" si="408"/>
        <v>0</v>
      </c>
      <c r="AD244">
        <f t="shared" si="408"/>
        <v>0</v>
      </c>
      <c r="AE244" s="11">
        <f t="shared" si="408"/>
        <v>0</v>
      </c>
      <c r="AF244">
        <f t="shared" si="408"/>
        <v>0</v>
      </c>
      <c r="AG244">
        <f t="shared" si="408"/>
        <v>0</v>
      </c>
      <c r="AH244">
        <f t="shared" si="408"/>
        <v>0</v>
      </c>
      <c r="AI244">
        <f t="shared" si="408"/>
        <v>0</v>
      </c>
      <c r="AJ244">
        <f t="shared" si="408"/>
        <v>0</v>
      </c>
      <c r="AK244">
        <f t="shared" si="408"/>
        <v>0</v>
      </c>
      <c r="AL244" s="59" t="str">
        <f t="shared" si="408"/>
        <v>low:</v>
      </c>
      <c r="AM244" s="68">
        <f t="shared" si="408"/>
        <v>0</v>
      </c>
      <c r="AN244">
        <f t="shared" si="408"/>
        <v>0</v>
      </c>
      <c r="AO244" s="11">
        <f t="shared" si="408"/>
        <v>0</v>
      </c>
      <c r="AP244" s="13">
        <f t="shared" si="408"/>
        <v>0</v>
      </c>
      <c r="AQ244">
        <f t="shared" si="408"/>
        <v>0</v>
      </c>
      <c r="AR244">
        <f t="shared" si="408"/>
        <v>0</v>
      </c>
      <c r="AT244" s="2" t="str">
        <f t="shared" ref="AT244:AW244" si="409">AT154</f>
        <v>Outpatient visits</v>
      </c>
      <c r="AU244" s="33">
        <f t="shared" si="409"/>
        <v>2601.6001873071691</v>
      </c>
      <c r="AV244" s="323">
        <f t="shared" si="409"/>
        <v>2169.3044610840016</v>
      </c>
      <c r="AW244" s="323">
        <f t="shared" si="409"/>
        <v>3054.2251979453763</v>
      </c>
    </row>
    <row r="245" spans="1:49" x14ac:dyDescent="0.3">
      <c r="A245">
        <f t="shared" ref="A245:V245" si="410">A155</f>
        <v>0</v>
      </c>
      <c r="B245">
        <f t="shared" si="410"/>
        <v>0</v>
      </c>
      <c r="C245">
        <f t="shared" si="410"/>
        <v>0</v>
      </c>
      <c r="D245" s="11">
        <f t="shared" si="410"/>
        <v>0</v>
      </c>
      <c r="E245">
        <f t="shared" si="410"/>
        <v>0</v>
      </c>
      <c r="F245">
        <f t="shared" si="410"/>
        <v>0</v>
      </c>
      <c r="G245">
        <f t="shared" si="410"/>
        <v>0</v>
      </c>
      <c r="H245">
        <f t="shared" si="410"/>
        <v>0</v>
      </c>
      <c r="I245">
        <f t="shared" si="410"/>
        <v>0</v>
      </c>
      <c r="J245">
        <f t="shared" si="410"/>
        <v>0</v>
      </c>
      <c r="K245" s="238" t="str">
        <f t="shared" si="410"/>
        <v>high:</v>
      </c>
      <c r="L245" s="68">
        <f t="shared" si="410"/>
        <v>0</v>
      </c>
      <c r="M245">
        <f t="shared" si="410"/>
        <v>0</v>
      </c>
      <c r="N245" s="11">
        <f t="shared" si="410"/>
        <v>0</v>
      </c>
      <c r="O245" s="13">
        <f t="shared" si="410"/>
        <v>0</v>
      </c>
      <c r="P245">
        <f t="shared" si="410"/>
        <v>0</v>
      </c>
      <c r="Q245">
        <f t="shared" si="410"/>
        <v>0</v>
      </c>
      <c r="R245" s="16">
        <f t="shared" si="410"/>
        <v>0</v>
      </c>
      <c r="S245" s="15" t="str">
        <f t="shared" si="410"/>
        <v>p4c</v>
      </c>
      <c r="T245" s="61" t="e">
        <f>#REF!</f>
        <v>#REF!</v>
      </c>
      <c r="U245" s="321" t="e">
        <f t="shared" si="410"/>
        <v>#REF!</v>
      </c>
      <c r="V245" s="321" t="e">
        <f t="shared" si="410"/>
        <v>#REF!</v>
      </c>
      <c r="AB245">
        <f t="shared" ref="AB245:AW245" si="411">AB155</f>
        <v>0</v>
      </c>
      <c r="AC245">
        <f t="shared" si="411"/>
        <v>0</v>
      </c>
      <c r="AD245">
        <f t="shared" si="411"/>
        <v>0</v>
      </c>
      <c r="AE245" s="11">
        <f t="shared" si="411"/>
        <v>0</v>
      </c>
      <c r="AF245">
        <f t="shared" si="411"/>
        <v>0</v>
      </c>
      <c r="AG245">
        <f t="shared" si="411"/>
        <v>0</v>
      </c>
      <c r="AH245">
        <f t="shared" si="411"/>
        <v>0</v>
      </c>
      <c r="AI245">
        <f t="shared" si="411"/>
        <v>0</v>
      </c>
      <c r="AJ245">
        <f t="shared" si="411"/>
        <v>0</v>
      </c>
      <c r="AK245">
        <f t="shared" si="411"/>
        <v>0</v>
      </c>
      <c r="AL245" s="238" t="str">
        <f t="shared" si="411"/>
        <v>high:</v>
      </c>
      <c r="AM245" s="68">
        <f t="shared" si="411"/>
        <v>0</v>
      </c>
      <c r="AN245">
        <f t="shared" si="411"/>
        <v>0</v>
      </c>
      <c r="AO245" s="11">
        <f t="shared" si="411"/>
        <v>0</v>
      </c>
      <c r="AP245" s="13">
        <f t="shared" si="411"/>
        <v>0</v>
      </c>
      <c r="AQ245">
        <f t="shared" si="411"/>
        <v>0</v>
      </c>
      <c r="AR245">
        <f t="shared" si="411"/>
        <v>0</v>
      </c>
      <c r="AS245" s="16">
        <f t="shared" si="411"/>
        <v>0</v>
      </c>
      <c r="AT245" s="15" t="str">
        <f t="shared" si="411"/>
        <v>p4c</v>
      </c>
      <c r="AU245" s="61">
        <f>AU155</f>
        <v>1.5025619072578801E-2</v>
      </c>
      <c r="AV245" s="321">
        <f t="shared" si="411"/>
        <v>0</v>
      </c>
      <c r="AW245" s="321">
        <f t="shared" si="411"/>
        <v>0</v>
      </c>
    </row>
    <row r="246" spans="1:49" x14ac:dyDescent="0.3">
      <c r="A246">
        <f t="shared" ref="A246:V246" si="412">A156</f>
        <v>0</v>
      </c>
      <c r="B246">
        <f t="shared" si="412"/>
        <v>0</v>
      </c>
      <c r="C246">
        <f t="shared" si="412"/>
        <v>0</v>
      </c>
      <c r="D246" s="11">
        <f t="shared" si="412"/>
        <v>0</v>
      </c>
      <c r="E246">
        <f t="shared" si="412"/>
        <v>0</v>
      </c>
      <c r="F246">
        <f t="shared" si="412"/>
        <v>0</v>
      </c>
      <c r="G246">
        <f t="shared" si="412"/>
        <v>0</v>
      </c>
      <c r="H246">
        <f t="shared" si="412"/>
        <v>0</v>
      </c>
      <c r="I246">
        <f t="shared" si="412"/>
        <v>0</v>
      </c>
      <c r="J246">
        <f t="shared" si="412"/>
        <v>0</v>
      </c>
      <c r="K246" s="11">
        <f t="shared" si="412"/>
        <v>0</v>
      </c>
      <c r="L246" s="13">
        <f t="shared" si="412"/>
        <v>0</v>
      </c>
      <c r="M246" s="13">
        <f t="shared" si="412"/>
        <v>0</v>
      </c>
      <c r="N246" s="11">
        <f t="shared" si="412"/>
        <v>0</v>
      </c>
      <c r="O246" s="13">
        <f t="shared" si="412"/>
        <v>0</v>
      </c>
      <c r="P246">
        <f t="shared" si="412"/>
        <v>0</v>
      </c>
      <c r="Q246">
        <f t="shared" si="412"/>
        <v>0</v>
      </c>
      <c r="R246" s="11">
        <f t="shared" si="412"/>
        <v>0</v>
      </c>
      <c r="S246" s="2">
        <f t="shared" si="412"/>
        <v>0</v>
      </c>
      <c r="T246" s="61">
        <f>T155</f>
        <v>0.42911403910169688</v>
      </c>
      <c r="U246" s="322">
        <f t="shared" si="412"/>
        <v>0</v>
      </c>
      <c r="V246" s="322">
        <f t="shared" si="412"/>
        <v>0</v>
      </c>
      <c r="AB246">
        <f t="shared" ref="AB246:AW246" si="413">AB156</f>
        <v>0</v>
      </c>
      <c r="AC246">
        <f t="shared" si="413"/>
        <v>0</v>
      </c>
      <c r="AD246">
        <f t="shared" si="413"/>
        <v>0</v>
      </c>
      <c r="AE246" s="11">
        <f t="shared" si="413"/>
        <v>0</v>
      </c>
      <c r="AF246">
        <f t="shared" si="413"/>
        <v>0</v>
      </c>
      <c r="AG246">
        <f t="shared" si="413"/>
        <v>0</v>
      </c>
      <c r="AH246">
        <f t="shared" si="413"/>
        <v>0</v>
      </c>
      <c r="AI246">
        <f t="shared" si="413"/>
        <v>0</v>
      </c>
      <c r="AJ246">
        <f t="shared" si="413"/>
        <v>0</v>
      </c>
      <c r="AK246">
        <f t="shared" si="413"/>
        <v>0</v>
      </c>
      <c r="AL246" s="11">
        <f t="shared" si="413"/>
        <v>0</v>
      </c>
      <c r="AM246" s="13">
        <f t="shared" si="413"/>
        <v>0</v>
      </c>
      <c r="AN246" s="13">
        <f t="shared" si="413"/>
        <v>0</v>
      </c>
      <c r="AO246" s="11">
        <f t="shared" si="413"/>
        <v>0</v>
      </c>
      <c r="AP246" s="13">
        <f t="shared" si="413"/>
        <v>0</v>
      </c>
      <c r="AQ246">
        <f t="shared" si="413"/>
        <v>0</v>
      </c>
      <c r="AR246">
        <f t="shared" si="413"/>
        <v>0</v>
      </c>
      <c r="AS246" s="11">
        <f t="shared" si="413"/>
        <v>0</v>
      </c>
      <c r="AT246" s="2">
        <f t="shared" si="413"/>
        <v>0</v>
      </c>
      <c r="AV246" s="322">
        <f t="shared" si="413"/>
        <v>0</v>
      </c>
      <c r="AW246" s="322">
        <f t="shared" si="413"/>
        <v>0</v>
      </c>
    </row>
    <row r="247" spans="1:49" x14ac:dyDescent="0.3">
      <c r="A247">
        <f t="shared" ref="A247:V247" si="414">A157</f>
        <v>0</v>
      </c>
      <c r="B247">
        <f t="shared" si="414"/>
        <v>0</v>
      </c>
      <c r="C247">
        <f t="shared" si="414"/>
        <v>0</v>
      </c>
      <c r="D247" s="11">
        <f t="shared" si="414"/>
        <v>0</v>
      </c>
      <c r="E247">
        <f t="shared" si="414"/>
        <v>0</v>
      </c>
      <c r="H247" s="12" t="str">
        <f t="shared" si="414"/>
        <v>obtain Antibody Candidate product</v>
      </c>
      <c r="I247" s="30">
        <f t="shared" si="414"/>
        <v>15467.83</v>
      </c>
      <c r="J247" s="10">
        <f t="shared" si="414"/>
        <v>0</v>
      </c>
      <c r="K247" s="11">
        <f t="shared" si="414"/>
        <v>0</v>
      </c>
      <c r="L247" s="13">
        <f t="shared" si="414"/>
        <v>0</v>
      </c>
      <c r="M247">
        <f t="shared" si="414"/>
        <v>0</v>
      </c>
      <c r="N247" s="65" t="str">
        <f t="shared" si="414"/>
        <v>1-p7</v>
      </c>
      <c r="O247" s="67">
        <f t="shared" si="414"/>
        <v>0.19999999999999996</v>
      </c>
      <c r="P247" s="10">
        <f t="shared" si="414"/>
        <v>0</v>
      </c>
      <c r="Q247" s="10">
        <f t="shared" si="414"/>
        <v>0</v>
      </c>
      <c r="R247" s="18">
        <f t="shared" si="414"/>
        <v>0</v>
      </c>
      <c r="S247" s="12" t="str">
        <f t="shared" si="414"/>
        <v>ED</v>
      </c>
      <c r="T247" s="33">
        <f t="shared" si="414"/>
        <v>3368.7649385608865</v>
      </c>
      <c r="U247" s="323">
        <f t="shared" si="414"/>
        <v>2885.4144166499163</v>
      </c>
      <c r="V247" s="323">
        <f t="shared" si="414"/>
        <v>3854.869594499839</v>
      </c>
      <c r="AB247">
        <f t="shared" ref="AB247:AF247" si="415">AB157</f>
        <v>0</v>
      </c>
      <c r="AC247">
        <f t="shared" si="415"/>
        <v>0</v>
      </c>
      <c r="AD247">
        <f t="shared" si="415"/>
        <v>0</v>
      </c>
      <c r="AE247" s="11">
        <f t="shared" si="415"/>
        <v>0</v>
      </c>
      <c r="AF247">
        <f t="shared" si="415"/>
        <v>0</v>
      </c>
      <c r="AI247" s="12" t="str">
        <f t="shared" ref="AI247:AW247" si="416">AI157</f>
        <v>obtain Antibody Candidate product</v>
      </c>
      <c r="AJ247" s="30">
        <f t="shared" si="416"/>
        <v>15467.83</v>
      </c>
      <c r="AK247" s="500">
        <f t="shared" si="416"/>
        <v>0</v>
      </c>
      <c r="AL247" s="11">
        <f t="shared" si="416"/>
        <v>0</v>
      </c>
      <c r="AM247" s="13">
        <f t="shared" si="416"/>
        <v>0</v>
      </c>
      <c r="AN247">
        <f t="shared" si="416"/>
        <v>0</v>
      </c>
      <c r="AO247" s="65" t="str">
        <f t="shared" si="416"/>
        <v>1-p7</v>
      </c>
      <c r="AP247" s="67">
        <f t="shared" si="416"/>
        <v>0.19999999999999996</v>
      </c>
      <c r="AQ247" s="500">
        <f t="shared" si="416"/>
        <v>0</v>
      </c>
      <c r="AR247" s="500">
        <f t="shared" si="416"/>
        <v>0</v>
      </c>
      <c r="AS247" s="18">
        <f t="shared" si="416"/>
        <v>0</v>
      </c>
      <c r="AT247" s="12" t="str">
        <f t="shared" si="416"/>
        <v>ED</v>
      </c>
      <c r="AU247" s="33">
        <f t="shared" si="416"/>
        <v>1036.7100963754456</v>
      </c>
      <c r="AV247" s="323">
        <f t="shared" si="416"/>
        <v>887.74340993471617</v>
      </c>
      <c r="AW247" s="323">
        <f t="shared" si="416"/>
        <v>1185.7946450192264</v>
      </c>
    </row>
    <row r="248" spans="1:49" x14ac:dyDescent="0.3">
      <c r="A248">
        <f t="shared" ref="A248:V248" si="417">A158</f>
        <v>0</v>
      </c>
      <c r="B248">
        <f t="shared" si="417"/>
        <v>0</v>
      </c>
      <c r="C248">
        <f t="shared" si="417"/>
        <v>0</v>
      </c>
      <c r="D248" s="11">
        <f t="shared" si="417"/>
        <v>0</v>
      </c>
      <c r="E248">
        <f t="shared" si="417"/>
        <v>0</v>
      </c>
      <c r="F248">
        <f t="shared" si="417"/>
        <v>0</v>
      </c>
      <c r="G248">
        <f t="shared" si="417"/>
        <v>0</v>
      </c>
      <c r="H248" s="59" t="str">
        <f t="shared" si="417"/>
        <v>p2</v>
      </c>
      <c r="I248" s="60">
        <f t="shared" si="417"/>
        <v>0.8</v>
      </c>
      <c r="J248">
        <f t="shared" si="417"/>
        <v>0</v>
      </c>
      <c r="K248" s="11"/>
      <c r="L248" s="13"/>
      <c r="N248" s="514" t="s">
        <v>297</v>
      </c>
      <c r="O248" s="71">
        <f t="shared" si="417"/>
        <v>0</v>
      </c>
      <c r="P248">
        <f t="shared" si="417"/>
        <v>0</v>
      </c>
      <c r="Q248">
        <f t="shared" si="417"/>
        <v>0</v>
      </c>
      <c r="R248" s="11">
        <f t="shared" si="417"/>
        <v>0</v>
      </c>
      <c r="S248" s="2" t="str">
        <f t="shared" si="417"/>
        <v>p4b</v>
      </c>
      <c r="T248" s="61" t="e">
        <f>#REF!</f>
        <v>#REF!</v>
      </c>
      <c r="U248" s="321" t="e">
        <f t="shared" si="417"/>
        <v>#REF!</v>
      </c>
      <c r="V248" s="321" t="e">
        <f t="shared" si="417"/>
        <v>#REF!</v>
      </c>
      <c r="AB248">
        <f t="shared" ref="AB248:AK248" si="418">AB158</f>
        <v>0</v>
      </c>
      <c r="AC248">
        <f t="shared" si="418"/>
        <v>0</v>
      </c>
      <c r="AD248">
        <f t="shared" si="418"/>
        <v>0</v>
      </c>
      <c r="AE248" s="11">
        <f t="shared" si="418"/>
        <v>0</v>
      </c>
      <c r="AF248">
        <f t="shared" si="418"/>
        <v>0</v>
      </c>
      <c r="AG248">
        <f t="shared" si="418"/>
        <v>0</v>
      </c>
      <c r="AH248">
        <f t="shared" si="418"/>
        <v>0</v>
      </c>
      <c r="AI248" s="59" t="str">
        <f t="shared" si="418"/>
        <v>p2</v>
      </c>
      <c r="AJ248" s="60">
        <f t="shared" si="418"/>
        <v>0.8</v>
      </c>
      <c r="AK248">
        <f t="shared" si="418"/>
        <v>0</v>
      </c>
      <c r="AL248" s="11"/>
      <c r="AM248" s="13"/>
      <c r="AO248" s="514" t="s">
        <v>297</v>
      </c>
      <c r="AP248" s="71">
        <f t="shared" ref="AP248:AW248" si="419">AP158</f>
        <v>0</v>
      </c>
      <c r="AQ248">
        <f t="shared" si="419"/>
        <v>0</v>
      </c>
      <c r="AR248">
        <f t="shared" si="419"/>
        <v>0</v>
      </c>
      <c r="AS248" s="11">
        <f t="shared" si="419"/>
        <v>0</v>
      </c>
      <c r="AT248" s="2" t="str">
        <f t="shared" si="419"/>
        <v>p4b</v>
      </c>
      <c r="AU248" s="61">
        <f>AU158</f>
        <v>6.1454995444528478E-3</v>
      </c>
      <c r="AV248" s="321">
        <f t="shared" si="419"/>
        <v>0</v>
      </c>
      <c r="AW248" s="321">
        <f t="shared" si="419"/>
        <v>0</v>
      </c>
    </row>
    <row r="249" spans="1:49" x14ac:dyDescent="0.3">
      <c r="A249">
        <f t="shared" ref="A249:V249" si="420">A159</f>
        <v>0</v>
      </c>
      <c r="B249">
        <f t="shared" si="420"/>
        <v>0</v>
      </c>
      <c r="C249">
        <f t="shared" si="420"/>
        <v>0</v>
      </c>
      <c r="D249" s="11">
        <f t="shared" si="420"/>
        <v>0</v>
      </c>
      <c r="E249">
        <f t="shared" si="420"/>
        <v>0</v>
      </c>
      <c r="F249">
        <f t="shared" si="420"/>
        <v>0</v>
      </c>
      <c r="G249">
        <f t="shared" si="420"/>
        <v>0</v>
      </c>
      <c r="H249" s="11">
        <f t="shared" si="420"/>
        <v>0</v>
      </c>
      <c r="I249">
        <f t="shared" si="420"/>
        <v>0</v>
      </c>
      <c r="J249">
        <f t="shared" si="420"/>
        <v>0</v>
      </c>
      <c r="K249" s="11">
        <f t="shared" si="420"/>
        <v>0</v>
      </c>
      <c r="L249" s="13"/>
      <c r="N249" s="2" t="s">
        <v>298</v>
      </c>
      <c r="O249" s="13">
        <f t="shared" si="420"/>
        <v>0</v>
      </c>
      <c r="P249">
        <f t="shared" si="420"/>
        <v>0</v>
      </c>
      <c r="Q249">
        <f t="shared" si="420"/>
        <v>0</v>
      </c>
      <c r="R249" s="11">
        <f t="shared" si="420"/>
        <v>0</v>
      </c>
      <c r="S249" s="2">
        <f t="shared" si="420"/>
        <v>0</v>
      </c>
      <c r="T249" s="61">
        <f>T158</f>
        <v>0.10579471295971989</v>
      </c>
      <c r="U249" s="322">
        <f t="shared" si="420"/>
        <v>0</v>
      </c>
      <c r="V249" s="322">
        <f t="shared" si="420"/>
        <v>0</v>
      </c>
      <c r="AB249">
        <f t="shared" ref="AB249:AL249" si="421">AB159</f>
        <v>0</v>
      </c>
      <c r="AC249">
        <f t="shared" si="421"/>
        <v>0</v>
      </c>
      <c r="AD249">
        <f t="shared" si="421"/>
        <v>0</v>
      </c>
      <c r="AE249" s="11">
        <f t="shared" si="421"/>
        <v>0</v>
      </c>
      <c r="AF249">
        <f t="shared" si="421"/>
        <v>0</v>
      </c>
      <c r="AG249">
        <f t="shared" si="421"/>
        <v>0</v>
      </c>
      <c r="AH249">
        <f t="shared" si="421"/>
        <v>0</v>
      </c>
      <c r="AI249" s="11">
        <f t="shared" si="421"/>
        <v>0</v>
      </c>
      <c r="AJ249">
        <f t="shared" si="421"/>
        <v>0</v>
      </c>
      <c r="AK249">
        <f t="shared" si="421"/>
        <v>0</v>
      </c>
      <c r="AL249" s="11">
        <f t="shared" si="421"/>
        <v>0</v>
      </c>
      <c r="AM249" s="13"/>
      <c r="AO249" s="2" t="s">
        <v>298</v>
      </c>
      <c r="AP249" s="13">
        <f t="shared" ref="AP249:AW249" si="422">AP159</f>
        <v>0</v>
      </c>
      <c r="AQ249">
        <f t="shared" si="422"/>
        <v>0</v>
      </c>
      <c r="AR249">
        <f t="shared" si="422"/>
        <v>0</v>
      </c>
      <c r="AS249" s="11">
        <f t="shared" si="422"/>
        <v>0</v>
      </c>
      <c r="AT249" s="2">
        <f t="shared" si="422"/>
        <v>0</v>
      </c>
      <c r="AV249" s="322">
        <f t="shared" si="422"/>
        <v>0</v>
      </c>
      <c r="AW249" s="322">
        <f t="shared" si="422"/>
        <v>0</v>
      </c>
    </row>
    <row r="250" spans="1:49" x14ac:dyDescent="0.3">
      <c r="A250">
        <f t="shared" ref="A250:V250" si="423">A160</f>
        <v>0</v>
      </c>
      <c r="B250">
        <f t="shared" si="423"/>
        <v>0</v>
      </c>
      <c r="C250" s="28">
        <f t="shared" si="423"/>
        <v>0</v>
      </c>
      <c r="D250" s="11">
        <f t="shared" si="423"/>
        <v>0</v>
      </c>
      <c r="E250">
        <f t="shared" si="423"/>
        <v>0</v>
      </c>
      <c r="F250">
        <f t="shared" si="423"/>
        <v>0</v>
      </c>
      <c r="G250">
        <f t="shared" si="423"/>
        <v>0</v>
      </c>
      <c r="H250" s="11">
        <f t="shared" si="423"/>
        <v>0</v>
      </c>
      <c r="I250">
        <f t="shared" si="423"/>
        <v>0</v>
      </c>
      <c r="J250">
        <f t="shared" si="423"/>
        <v>0</v>
      </c>
      <c r="K250" s="11">
        <f t="shared" si="423"/>
        <v>0</v>
      </c>
      <c r="L250">
        <f t="shared" si="423"/>
        <v>0</v>
      </c>
      <c r="M250">
        <f t="shared" si="423"/>
        <v>0</v>
      </c>
      <c r="N250">
        <f t="shared" si="423"/>
        <v>0</v>
      </c>
      <c r="O250">
        <f t="shared" si="423"/>
        <v>0</v>
      </c>
      <c r="P250">
        <f t="shared" si="423"/>
        <v>0</v>
      </c>
      <c r="Q250">
        <f t="shared" si="423"/>
        <v>0</v>
      </c>
      <c r="R250" s="18">
        <f t="shared" si="423"/>
        <v>0</v>
      </c>
      <c r="S250" s="12" t="str">
        <f t="shared" si="423"/>
        <v>Hospitalized</v>
      </c>
      <c r="T250" s="30">
        <f t="shared" si="423"/>
        <v>684.29637772186493</v>
      </c>
      <c r="U250" s="320">
        <f t="shared" si="423"/>
        <v>696.08711251141551</v>
      </c>
      <c r="V250" s="320">
        <f t="shared" si="423"/>
        <v>672.49791879920895</v>
      </c>
      <c r="AB250">
        <f t="shared" ref="AB250:AW250" si="424">AB160</f>
        <v>0</v>
      </c>
      <c r="AC250">
        <f t="shared" si="424"/>
        <v>0</v>
      </c>
      <c r="AD250" s="28">
        <f t="shared" si="424"/>
        <v>0</v>
      </c>
      <c r="AE250" s="11">
        <f t="shared" si="424"/>
        <v>0</v>
      </c>
      <c r="AF250">
        <f t="shared" si="424"/>
        <v>0</v>
      </c>
      <c r="AG250">
        <f t="shared" si="424"/>
        <v>0</v>
      </c>
      <c r="AH250">
        <f t="shared" si="424"/>
        <v>0</v>
      </c>
      <c r="AI250" s="11">
        <f t="shared" si="424"/>
        <v>0</v>
      </c>
      <c r="AJ250">
        <f t="shared" si="424"/>
        <v>0</v>
      </c>
      <c r="AK250">
        <f t="shared" si="424"/>
        <v>0</v>
      </c>
      <c r="AL250" s="11">
        <f t="shared" si="424"/>
        <v>0</v>
      </c>
      <c r="AM250">
        <f t="shared" si="424"/>
        <v>0</v>
      </c>
      <c r="AN250">
        <f t="shared" si="424"/>
        <v>0</v>
      </c>
      <c r="AO250">
        <f t="shared" si="424"/>
        <v>0</v>
      </c>
      <c r="AP250">
        <f t="shared" si="424"/>
        <v>0</v>
      </c>
      <c r="AQ250">
        <f t="shared" si="424"/>
        <v>0</v>
      </c>
      <c r="AR250">
        <f t="shared" si="424"/>
        <v>0</v>
      </c>
      <c r="AS250" s="18">
        <f t="shared" si="424"/>
        <v>0</v>
      </c>
      <c r="AT250" s="12" t="str">
        <f t="shared" si="424"/>
        <v>Hospitalized</v>
      </c>
      <c r="AU250" s="30">
        <f t="shared" si="424"/>
        <v>142.28716797107495</v>
      </c>
      <c r="AV250" s="320">
        <f t="shared" si="424"/>
        <v>116.75190719267039</v>
      </c>
      <c r="AW250" s="320">
        <f t="shared" si="424"/>
        <v>160.89633088300224</v>
      </c>
    </row>
    <row r="251" spans="1:49" x14ac:dyDescent="0.3">
      <c r="A251">
        <f t="shared" ref="A251:V251" si="425">A161</f>
        <v>0</v>
      </c>
      <c r="B251">
        <f t="shared" si="425"/>
        <v>0</v>
      </c>
      <c r="C251" s="28">
        <f t="shared" si="425"/>
        <v>0</v>
      </c>
      <c r="D251" s="11">
        <f t="shared" si="425"/>
        <v>0</v>
      </c>
      <c r="E251">
        <f t="shared" si="425"/>
        <v>0</v>
      </c>
      <c r="F251">
        <f t="shared" si="425"/>
        <v>0</v>
      </c>
      <c r="G251">
        <f t="shared" si="425"/>
        <v>0</v>
      </c>
      <c r="H251" s="11">
        <f t="shared" si="425"/>
        <v>0</v>
      </c>
      <c r="I251">
        <f t="shared" si="425"/>
        <v>0</v>
      </c>
      <c r="J251">
        <f t="shared" si="425"/>
        <v>0</v>
      </c>
      <c r="K251" s="18">
        <f t="shared" si="425"/>
        <v>0</v>
      </c>
      <c r="L251" s="10">
        <f t="shared" si="425"/>
        <v>0</v>
      </c>
      <c r="M251" s="10">
        <f t="shared" si="425"/>
        <v>0</v>
      </c>
      <c r="N251">
        <f t="shared" si="425"/>
        <v>0</v>
      </c>
      <c r="O251">
        <f t="shared" si="425"/>
        <v>0</v>
      </c>
      <c r="P251">
        <f t="shared" si="425"/>
        <v>0</v>
      </c>
      <c r="Q251">
        <f t="shared" si="425"/>
        <v>0</v>
      </c>
      <c r="R251">
        <f t="shared" si="425"/>
        <v>0</v>
      </c>
      <c r="S251" s="2" t="str">
        <f t="shared" si="425"/>
        <v>p4c</v>
      </c>
      <c r="T251" s="61" t="e">
        <f>#REF!</f>
        <v>#REF!</v>
      </c>
      <c r="U251" s="321" t="e">
        <f t="shared" si="425"/>
        <v>#REF!</v>
      </c>
      <c r="V251" s="321" t="e">
        <f t="shared" si="425"/>
        <v>#REF!</v>
      </c>
      <c r="AB251">
        <f t="shared" ref="AB251:AW251" si="426">AB161</f>
        <v>0</v>
      </c>
      <c r="AC251">
        <f t="shared" si="426"/>
        <v>0</v>
      </c>
      <c r="AD251" s="28">
        <f t="shared" si="426"/>
        <v>0</v>
      </c>
      <c r="AE251" s="11">
        <f t="shared" si="426"/>
        <v>0</v>
      </c>
      <c r="AF251">
        <f t="shared" si="426"/>
        <v>0</v>
      </c>
      <c r="AG251">
        <f t="shared" si="426"/>
        <v>0</v>
      </c>
      <c r="AH251">
        <f t="shared" si="426"/>
        <v>0</v>
      </c>
      <c r="AI251" s="11">
        <f t="shared" si="426"/>
        <v>0</v>
      </c>
      <c r="AJ251">
        <f t="shared" si="426"/>
        <v>0</v>
      </c>
      <c r="AK251">
        <f t="shared" si="426"/>
        <v>0</v>
      </c>
      <c r="AL251" s="18">
        <f t="shared" si="426"/>
        <v>0</v>
      </c>
      <c r="AM251" s="500">
        <f t="shared" si="426"/>
        <v>0</v>
      </c>
      <c r="AN251" s="500">
        <f t="shared" si="426"/>
        <v>0</v>
      </c>
      <c r="AO251">
        <f t="shared" si="426"/>
        <v>0</v>
      </c>
      <c r="AP251">
        <f t="shared" si="426"/>
        <v>0</v>
      </c>
      <c r="AQ251">
        <f t="shared" si="426"/>
        <v>0</v>
      </c>
      <c r="AR251">
        <f t="shared" si="426"/>
        <v>0</v>
      </c>
      <c r="AS251">
        <f t="shared" si="426"/>
        <v>0</v>
      </c>
      <c r="AT251" s="2" t="str">
        <f t="shared" si="426"/>
        <v>p4c</v>
      </c>
      <c r="AU251" s="61">
        <f>AU161</f>
        <v>8.0222919714660352E-4</v>
      </c>
      <c r="AV251" s="321">
        <f t="shared" si="426"/>
        <v>0</v>
      </c>
      <c r="AW251" s="321">
        <f t="shared" si="426"/>
        <v>0</v>
      </c>
    </row>
    <row r="252" spans="1:49" x14ac:dyDescent="0.3">
      <c r="A252">
        <f t="shared" ref="A252:V252" si="427">A162</f>
        <v>0</v>
      </c>
      <c r="B252">
        <f t="shared" si="427"/>
        <v>0</v>
      </c>
      <c r="C252" s="22">
        <f t="shared" si="427"/>
        <v>0</v>
      </c>
      <c r="D252" s="11">
        <f t="shared" si="427"/>
        <v>0</v>
      </c>
      <c r="E252" s="2" t="str">
        <f t="shared" si="427"/>
        <v>p1</v>
      </c>
      <c r="F252" s="27">
        <f t="shared" si="427"/>
        <v>9.7999999999999997E-3</v>
      </c>
      <c r="G252">
        <f t="shared" si="427"/>
        <v>0</v>
      </c>
      <c r="H252" s="11">
        <f t="shared" si="427"/>
        <v>0</v>
      </c>
      <c r="I252">
        <f t="shared" si="427"/>
        <v>0</v>
      </c>
      <c r="J252">
        <f t="shared" si="427"/>
        <v>0</v>
      </c>
      <c r="K252" s="2" t="str">
        <f t="shared" si="427"/>
        <v>Not MA for RSV</v>
      </c>
      <c r="L252" s="63" t="str">
        <f t="shared" si="427"/>
        <v>unknown</v>
      </c>
      <c r="M252" s="13">
        <f t="shared" si="427"/>
        <v>0</v>
      </c>
      <c r="N252">
        <f t="shared" si="427"/>
        <v>0</v>
      </c>
      <c r="O252">
        <f t="shared" si="427"/>
        <v>0</v>
      </c>
      <c r="P252">
        <f t="shared" si="427"/>
        <v>0</v>
      </c>
      <c r="Q252">
        <f t="shared" si="427"/>
        <v>0</v>
      </c>
      <c r="R252">
        <f t="shared" si="427"/>
        <v>0</v>
      </c>
      <c r="S252">
        <f t="shared" si="427"/>
        <v>0</v>
      </c>
      <c r="T252" s="61">
        <f>T161</f>
        <v>1.095726879289363E-2</v>
      </c>
      <c r="U252">
        <f t="shared" si="427"/>
        <v>0</v>
      </c>
      <c r="V252">
        <f t="shared" si="427"/>
        <v>0</v>
      </c>
      <c r="AB252">
        <f t="shared" ref="AB252:AW252" si="428">AB162</f>
        <v>0</v>
      </c>
      <c r="AC252">
        <f t="shared" si="428"/>
        <v>0</v>
      </c>
      <c r="AD252" s="22">
        <f t="shared" si="428"/>
        <v>0</v>
      </c>
      <c r="AE252" s="11">
        <f t="shared" si="428"/>
        <v>0</v>
      </c>
      <c r="AF252" s="2" t="str">
        <f t="shared" si="428"/>
        <v>p1</v>
      </c>
      <c r="AG252" s="27">
        <f t="shared" si="428"/>
        <v>9.7999999999999997E-3</v>
      </c>
      <c r="AH252">
        <f t="shared" si="428"/>
        <v>0</v>
      </c>
      <c r="AI252" s="11">
        <f t="shared" si="428"/>
        <v>0</v>
      </c>
      <c r="AJ252">
        <f t="shared" si="428"/>
        <v>0</v>
      </c>
      <c r="AK252">
        <f t="shared" si="428"/>
        <v>0</v>
      </c>
      <c r="AL252" s="2" t="str">
        <f t="shared" si="428"/>
        <v>Not MA for RSV</v>
      </c>
      <c r="AM252" s="63" t="str">
        <f t="shared" si="428"/>
        <v>unknown</v>
      </c>
      <c r="AN252" s="13">
        <f t="shared" si="428"/>
        <v>0</v>
      </c>
      <c r="AO252">
        <f t="shared" si="428"/>
        <v>0</v>
      </c>
      <c r="AP252">
        <f t="shared" si="428"/>
        <v>0</v>
      </c>
      <c r="AQ252">
        <f t="shared" si="428"/>
        <v>0</v>
      </c>
      <c r="AR252">
        <f t="shared" si="428"/>
        <v>0</v>
      </c>
      <c r="AS252">
        <f t="shared" si="428"/>
        <v>0</v>
      </c>
      <c r="AT252">
        <f t="shared" si="428"/>
        <v>0</v>
      </c>
      <c r="AV252">
        <f t="shared" si="428"/>
        <v>0</v>
      </c>
      <c r="AW252">
        <f t="shared" si="428"/>
        <v>0</v>
      </c>
    </row>
    <row r="253" spans="1:49" x14ac:dyDescent="0.3">
      <c r="A253">
        <f t="shared" ref="A253:V253" si="429">A163</f>
        <v>0</v>
      </c>
      <c r="B253">
        <f t="shared" si="429"/>
        <v>0</v>
      </c>
      <c r="C253">
        <f t="shared" si="429"/>
        <v>0</v>
      </c>
      <c r="D253" s="18" t="str">
        <f t="shared" si="429"/>
        <v># High Risk Newborns</v>
      </c>
      <c r="E253" s="10"/>
      <c r="F253" s="10">
        <f t="shared" si="429"/>
        <v>0</v>
      </c>
      <c r="G253" s="51">
        <f t="shared" si="429"/>
        <v>0</v>
      </c>
      <c r="H253" s="11">
        <f t="shared" si="429"/>
        <v>0</v>
      </c>
      <c r="I253">
        <f t="shared" si="429"/>
        <v>0</v>
      </c>
      <c r="J253">
        <f t="shared" si="429"/>
        <v>0</v>
      </c>
      <c r="K253">
        <f t="shared" si="429"/>
        <v>0</v>
      </c>
      <c r="L253">
        <f t="shared" si="429"/>
        <v>0</v>
      </c>
      <c r="M253">
        <f t="shared" si="429"/>
        <v>0</v>
      </c>
      <c r="N253">
        <f t="shared" si="429"/>
        <v>0</v>
      </c>
      <c r="O253">
        <f t="shared" si="429"/>
        <v>0</v>
      </c>
      <c r="P253">
        <f t="shared" si="429"/>
        <v>0</v>
      </c>
      <c r="Q253">
        <f t="shared" si="429"/>
        <v>0</v>
      </c>
      <c r="R253">
        <f t="shared" si="429"/>
        <v>0</v>
      </c>
      <c r="S253">
        <f t="shared" si="429"/>
        <v>0</v>
      </c>
      <c r="T253">
        <f t="shared" si="429"/>
        <v>0</v>
      </c>
      <c r="U253">
        <f t="shared" si="429"/>
        <v>0</v>
      </c>
      <c r="V253">
        <f t="shared" si="429"/>
        <v>0</v>
      </c>
      <c r="AB253">
        <f t="shared" ref="AB253:AE253" si="430">AB163</f>
        <v>0</v>
      </c>
      <c r="AC253">
        <f t="shared" si="430"/>
        <v>0</v>
      </c>
      <c r="AD253">
        <f t="shared" si="430"/>
        <v>0</v>
      </c>
      <c r="AE253" s="18" t="str">
        <f t="shared" si="430"/>
        <v># High Risk Newborns</v>
      </c>
      <c r="AF253" s="500"/>
      <c r="AG253" s="500">
        <f t="shared" ref="AG253:AW253" si="431">AG163</f>
        <v>0</v>
      </c>
      <c r="AH253" s="51">
        <f t="shared" si="431"/>
        <v>0</v>
      </c>
      <c r="AI253" s="11">
        <f t="shared" si="431"/>
        <v>0</v>
      </c>
      <c r="AJ253">
        <f t="shared" si="431"/>
        <v>0</v>
      </c>
      <c r="AK253">
        <f t="shared" si="431"/>
        <v>0</v>
      </c>
      <c r="AL253">
        <f t="shared" si="431"/>
        <v>0</v>
      </c>
      <c r="AM253">
        <f t="shared" si="431"/>
        <v>0</v>
      </c>
      <c r="AN253">
        <f t="shared" si="431"/>
        <v>0</v>
      </c>
      <c r="AO253">
        <f t="shared" si="431"/>
        <v>0</v>
      </c>
      <c r="AP253">
        <f t="shared" si="431"/>
        <v>0</v>
      </c>
      <c r="AQ253">
        <f t="shared" si="431"/>
        <v>0</v>
      </c>
      <c r="AR253">
        <f t="shared" si="431"/>
        <v>0</v>
      </c>
      <c r="AS253">
        <f t="shared" si="431"/>
        <v>0</v>
      </c>
      <c r="AT253">
        <f t="shared" si="431"/>
        <v>0</v>
      </c>
      <c r="AU253">
        <f t="shared" si="431"/>
        <v>0</v>
      </c>
      <c r="AV253">
        <f t="shared" si="431"/>
        <v>0</v>
      </c>
      <c r="AW253">
        <f t="shared" si="431"/>
        <v>0</v>
      </c>
    </row>
    <row r="254" spans="1:49" x14ac:dyDescent="0.3">
      <c r="A254">
        <f t="shared" ref="A254:V254" si="432">A164</f>
        <v>0</v>
      </c>
      <c r="B254">
        <f t="shared" si="432"/>
        <v>0</v>
      </c>
      <c r="C254">
        <f t="shared" si="432"/>
        <v>0</v>
      </c>
      <c r="D254" t="str">
        <f t="shared" si="432"/>
        <v>in 1 season</v>
      </c>
      <c r="F254" s="52">
        <f t="shared" si="432"/>
        <v>19334.787499999999</v>
      </c>
      <c r="G254">
        <f t="shared" si="432"/>
        <v>0</v>
      </c>
      <c r="H254" s="11">
        <f t="shared" si="432"/>
        <v>0</v>
      </c>
      <c r="I254">
        <f t="shared" si="432"/>
        <v>0</v>
      </c>
      <c r="J254">
        <f t="shared" si="432"/>
        <v>0</v>
      </c>
      <c r="K254">
        <f t="shared" si="432"/>
        <v>0</v>
      </c>
      <c r="L254">
        <f t="shared" si="432"/>
        <v>0</v>
      </c>
      <c r="M254">
        <f t="shared" si="432"/>
        <v>0</v>
      </c>
      <c r="N254">
        <f t="shared" si="432"/>
        <v>0</v>
      </c>
      <c r="O254">
        <f t="shared" si="432"/>
        <v>0</v>
      </c>
      <c r="P254">
        <f t="shared" si="432"/>
        <v>0</v>
      </c>
      <c r="Q254">
        <f t="shared" si="432"/>
        <v>0</v>
      </c>
      <c r="R254">
        <f t="shared" si="432"/>
        <v>0</v>
      </c>
      <c r="S254">
        <f t="shared" si="432"/>
        <v>0</v>
      </c>
      <c r="T254">
        <f t="shared" si="432"/>
        <v>0</v>
      </c>
      <c r="U254">
        <f t="shared" si="432"/>
        <v>0</v>
      </c>
      <c r="V254">
        <f t="shared" si="432"/>
        <v>0</v>
      </c>
      <c r="AB254">
        <f t="shared" ref="AB254:AE254" si="433">AB164</f>
        <v>0</v>
      </c>
      <c r="AC254">
        <f t="shared" si="433"/>
        <v>0</v>
      </c>
      <c r="AD254">
        <f t="shared" si="433"/>
        <v>0</v>
      </c>
      <c r="AE254" t="str">
        <f t="shared" si="433"/>
        <v>in 1 season</v>
      </c>
      <c r="AG254" s="52">
        <f t="shared" ref="AG254:AW254" si="434">AG164</f>
        <v>19334.787499999999</v>
      </c>
      <c r="AH254">
        <f t="shared" si="434"/>
        <v>0</v>
      </c>
      <c r="AI254" s="11">
        <f t="shared" si="434"/>
        <v>0</v>
      </c>
      <c r="AJ254">
        <f t="shared" si="434"/>
        <v>0</v>
      </c>
      <c r="AK254">
        <f t="shared" si="434"/>
        <v>0</v>
      </c>
      <c r="AL254">
        <f t="shared" si="434"/>
        <v>0</v>
      </c>
      <c r="AM254">
        <f t="shared" si="434"/>
        <v>0</v>
      </c>
      <c r="AN254">
        <f t="shared" si="434"/>
        <v>0</v>
      </c>
      <c r="AO254">
        <f t="shared" si="434"/>
        <v>0</v>
      </c>
      <c r="AP254">
        <f t="shared" si="434"/>
        <v>0</v>
      </c>
      <c r="AQ254">
        <f t="shared" si="434"/>
        <v>0</v>
      </c>
      <c r="AR254">
        <f t="shared" si="434"/>
        <v>0</v>
      </c>
      <c r="AS254">
        <f t="shared" si="434"/>
        <v>0</v>
      </c>
      <c r="AT254">
        <f t="shared" si="434"/>
        <v>0</v>
      </c>
      <c r="AU254">
        <f t="shared" si="434"/>
        <v>0</v>
      </c>
      <c r="AV254">
        <f t="shared" si="434"/>
        <v>0</v>
      </c>
      <c r="AW254">
        <f t="shared" si="434"/>
        <v>0</v>
      </c>
    </row>
    <row r="255" spans="1:49" x14ac:dyDescent="0.3">
      <c r="A255">
        <f t="shared" ref="A255:V255" si="435">A165</f>
        <v>0</v>
      </c>
      <c r="B255">
        <f t="shared" si="435"/>
        <v>0</v>
      </c>
      <c r="C255">
        <f t="shared" si="435"/>
        <v>0</v>
      </c>
      <c r="D255">
        <f t="shared" si="435"/>
        <v>0</v>
      </c>
      <c r="E255">
        <f t="shared" si="435"/>
        <v>0</v>
      </c>
      <c r="F255">
        <f t="shared" si="435"/>
        <v>0</v>
      </c>
      <c r="G255">
        <f t="shared" si="435"/>
        <v>0</v>
      </c>
      <c r="H255" s="11">
        <f t="shared" si="435"/>
        <v>0</v>
      </c>
      <c r="I255">
        <f t="shared" si="435"/>
        <v>0</v>
      </c>
      <c r="K255" s="2" t="str">
        <f t="shared" si="435"/>
        <v>Not MA for RSV</v>
      </c>
      <c r="L255" s="62" t="str">
        <f t="shared" si="435"/>
        <v>unknown</v>
      </c>
      <c r="M255">
        <f t="shared" si="435"/>
        <v>0</v>
      </c>
      <c r="N255">
        <f t="shared" si="435"/>
        <v>0</v>
      </c>
      <c r="O255">
        <f t="shared" si="435"/>
        <v>0</v>
      </c>
      <c r="P255">
        <f t="shared" si="435"/>
        <v>0</v>
      </c>
      <c r="Q255">
        <f t="shared" si="435"/>
        <v>0</v>
      </c>
      <c r="R255">
        <f t="shared" si="435"/>
        <v>0</v>
      </c>
      <c r="S255">
        <f t="shared" si="435"/>
        <v>0</v>
      </c>
      <c r="T255">
        <f t="shared" si="435"/>
        <v>0</v>
      </c>
      <c r="U255">
        <f t="shared" si="435"/>
        <v>0</v>
      </c>
      <c r="V255">
        <f t="shared" si="435"/>
        <v>0</v>
      </c>
      <c r="AB255">
        <f t="shared" ref="AB255:AJ255" si="436">AB165</f>
        <v>0</v>
      </c>
      <c r="AC255">
        <f t="shared" si="436"/>
        <v>0</v>
      </c>
      <c r="AD255">
        <f t="shared" si="436"/>
        <v>0</v>
      </c>
      <c r="AE255">
        <f t="shared" si="436"/>
        <v>0</v>
      </c>
      <c r="AF255">
        <f t="shared" si="436"/>
        <v>0</v>
      </c>
      <c r="AG255">
        <f t="shared" si="436"/>
        <v>0</v>
      </c>
      <c r="AH255">
        <f t="shared" si="436"/>
        <v>0</v>
      </c>
      <c r="AI255" s="11">
        <f t="shared" si="436"/>
        <v>0</v>
      </c>
      <c r="AJ255">
        <f t="shared" si="436"/>
        <v>0</v>
      </c>
      <c r="AL255" s="2" t="str">
        <f t="shared" ref="AL255:AW255" si="437">AL165</f>
        <v>Not MA for RSV</v>
      </c>
      <c r="AM255" s="62" t="str">
        <f t="shared" si="437"/>
        <v>unknown</v>
      </c>
      <c r="AN255">
        <f t="shared" si="437"/>
        <v>0</v>
      </c>
      <c r="AO255">
        <f t="shared" si="437"/>
        <v>0</v>
      </c>
      <c r="AP255">
        <f t="shared" si="437"/>
        <v>0</v>
      </c>
      <c r="AQ255">
        <f t="shared" si="437"/>
        <v>0</v>
      </c>
      <c r="AR255">
        <f t="shared" si="437"/>
        <v>0</v>
      </c>
      <c r="AS255">
        <f t="shared" si="437"/>
        <v>0</v>
      </c>
      <c r="AT255">
        <f t="shared" si="437"/>
        <v>0</v>
      </c>
      <c r="AU255">
        <f t="shared" si="437"/>
        <v>0</v>
      </c>
      <c r="AV255">
        <f t="shared" si="437"/>
        <v>0</v>
      </c>
      <c r="AW255">
        <f t="shared" si="437"/>
        <v>0</v>
      </c>
    </row>
    <row r="256" spans="1:49" x14ac:dyDescent="0.3">
      <c r="A256">
        <f t="shared" ref="A256:V256" si="438">A166</f>
        <v>0</v>
      </c>
      <c r="B256">
        <f t="shared" si="438"/>
        <v>0</v>
      </c>
      <c r="C256">
        <f t="shared" si="438"/>
        <v>0</v>
      </c>
      <c r="D256">
        <f t="shared" si="438"/>
        <v>0</v>
      </c>
      <c r="E256">
        <f t="shared" si="438"/>
        <v>0</v>
      </c>
      <c r="F256">
        <f t="shared" si="438"/>
        <v>0</v>
      </c>
      <c r="G256">
        <f t="shared" si="438"/>
        <v>0</v>
      </c>
      <c r="H256" s="11">
        <f t="shared" si="438"/>
        <v>0</v>
      </c>
      <c r="I256">
        <f t="shared" si="438"/>
        <v>0</v>
      </c>
      <c r="J256">
        <f t="shared" si="438"/>
        <v>0</v>
      </c>
      <c r="K256" s="16">
        <f t="shared" si="438"/>
        <v>0</v>
      </c>
      <c r="L256">
        <f t="shared" si="438"/>
        <v>0</v>
      </c>
      <c r="M256" s="17">
        <f t="shared" si="438"/>
        <v>0</v>
      </c>
      <c r="N256">
        <f t="shared" si="438"/>
        <v>0</v>
      </c>
      <c r="O256">
        <f t="shared" si="438"/>
        <v>0</v>
      </c>
      <c r="P256">
        <f t="shared" si="438"/>
        <v>0</v>
      </c>
      <c r="Q256">
        <f t="shared" si="438"/>
        <v>0</v>
      </c>
      <c r="R256">
        <f t="shared" si="438"/>
        <v>0</v>
      </c>
      <c r="S256">
        <f t="shared" si="438"/>
        <v>0</v>
      </c>
      <c r="T256">
        <f t="shared" si="438"/>
        <v>0</v>
      </c>
      <c r="U256" s="29">
        <f t="shared" si="438"/>
        <v>0</v>
      </c>
      <c r="V256">
        <f t="shared" si="438"/>
        <v>0</v>
      </c>
      <c r="AB256">
        <f t="shared" ref="AB256:AW256" si="439">AB166</f>
        <v>0</v>
      </c>
      <c r="AC256">
        <f t="shared" si="439"/>
        <v>0</v>
      </c>
      <c r="AD256">
        <f t="shared" si="439"/>
        <v>0</v>
      </c>
      <c r="AE256">
        <f t="shared" si="439"/>
        <v>0</v>
      </c>
      <c r="AF256">
        <f t="shared" si="439"/>
        <v>0</v>
      </c>
      <c r="AG256">
        <f t="shared" si="439"/>
        <v>0</v>
      </c>
      <c r="AH256">
        <f t="shared" si="439"/>
        <v>0</v>
      </c>
      <c r="AI256" s="11">
        <f t="shared" si="439"/>
        <v>0</v>
      </c>
      <c r="AJ256">
        <f t="shared" si="439"/>
        <v>0</v>
      </c>
      <c r="AK256">
        <f t="shared" si="439"/>
        <v>0</v>
      </c>
      <c r="AL256" s="16">
        <f t="shared" si="439"/>
        <v>0</v>
      </c>
      <c r="AM256">
        <f t="shared" si="439"/>
        <v>0</v>
      </c>
      <c r="AN256" s="17">
        <f t="shared" si="439"/>
        <v>0</v>
      </c>
      <c r="AO256">
        <f t="shared" si="439"/>
        <v>0</v>
      </c>
      <c r="AP256">
        <f t="shared" si="439"/>
        <v>0</v>
      </c>
      <c r="AQ256">
        <f t="shared" si="439"/>
        <v>0</v>
      </c>
      <c r="AR256">
        <f t="shared" si="439"/>
        <v>0</v>
      </c>
      <c r="AS256">
        <f t="shared" si="439"/>
        <v>0</v>
      </c>
      <c r="AT256">
        <f t="shared" si="439"/>
        <v>0</v>
      </c>
      <c r="AU256">
        <f t="shared" si="439"/>
        <v>0</v>
      </c>
      <c r="AV256" s="29">
        <f t="shared" si="439"/>
        <v>0</v>
      </c>
      <c r="AW256">
        <f t="shared" si="439"/>
        <v>0</v>
      </c>
    </row>
    <row r="257" spans="1:50" x14ac:dyDescent="0.3">
      <c r="A257">
        <f t="shared" ref="A257:V257" si="440">A167</f>
        <v>0</v>
      </c>
      <c r="B257">
        <f t="shared" si="440"/>
        <v>0</v>
      </c>
      <c r="C257" s="53">
        <f t="shared" si="440"/>
        <v>0</v>
      </c>
      <c r="D257">
        <f t="shared" si="440"/>
        <v>0</v>
      </c>
      <c r="E257">
        <f t="shared" si="440"/>
        <v>0</v>
      </c>
      <c r="F257">
        <f t="shared" si="440"/>
        <v>0</v>
      </c>
      <c r="G257">
        <f t="shared" si="440"/>
        <v>0</v>
      </c>
      <c r="H257" s="11">
        <f t="shared" si="440"/>
        <v>0</v>
      </c>
      <c r="I257">
        <f t="shared" si="440"/>
        <v>0</v>
      </c>
      <c r="J257">
        <f t="shared" si="440"/>
        <v>0</v>
      </c>
      <c r="K257" s="11">
        <f t="shared" si="440"/>
        <v>0</v>
      </c>
      <c r="L257" s="13">
        <f t="shared" si="440"/>
        <v>0</v>
      </c>
      <c r="M257" s="13">
        <f t="shared" si="440"/>
        <v>0</v>
      </c>
      <c r="N257">
        <f t="shared" si="440"/>
        <v>0</v>
      </c>
      <c r="O257">
        <f t="shared" si="440"/>
        <v>0</v>
      </c>
      <c r="P257" s="237" t="str">
        <f t="shared" si="440"/>
        <v>base</v>
      </c>
      <c r="Q257" s="319" t="str">
        <f t="shared" si="440"/>
        <v>low</v>
      </c>
      <c r="R257" s="319" t="str">
        <f t="shared" si="440"/>
        <v>high</v>
      </c>
      <c r="S257">
        <f t="shared" si="440"/>
        <v>0</v>
      </c>
      <c r="T257" s="37">
        <f t="shared" si="440"/>
        <v>0</v>
      </c>
      <c r="U257" s="20">
        <f t="shared" si="440"/>
        <v>0</v>
      </c>
      <c r="V257">
        <f t="shared" si="440"/>
        <v>0</v>
      </c>
      <c r="AB257">
        <f t="shared" ref="AB257:AW257" si="441">AB167</f>
        <v>0</v>
      </c>
      <c r="AC257">
        <f t="shared" si="441"/>
        <v>0</v>
      </c>
      <c r="AD257" s="53">
        <f t="shared" si="441"/>
        <v>0</v>
      </c>
      <c r="AE257">
        <f t="shared" si="441"/>
        <v>0</v>
      </c>
      <c r="AF257">
        <f t="shared" si="441"/>
        <v>0</v>
      </c>
      <c r="AG257">
        <f t="shared" si="441"/>
        <v>0</v>
      </c>
      <c r="AH257">
        <f t="shared" si="441"/>
        <v>0</v>
      </c>
      <c r="AI257" s="11">
        <f t="shared" si="441"/>
        <v>0</v>
      </c>
      <c r="AJ257">
        <f t="shared" si="441"/>
        <v>0</v>
      </c>
      <c r="AK257">
        <f t="shared" si="441"/>
        <v>0</v>
      </c>
      <c r="AL257" s="11">
        <f t="shared" si="441"/>
        <v>0</v>
      </c>
      <c r="AM257" s="13">
        <f t="shared" si="441"/>
        <v>0</v>
      </c>
      <c r="AN257" s="13">
        <f t="shared" si="441"/>
        <v>0</v>
      </c>
      <c r="AO257">
        <f t="shared" si="441"/>
        <v>0</v>
      </c>
      <c r="AP257">
        <f t="shared" si="441"/>
        <v>0</v>
      </c>
      <c r="AQ257" s="589" t="str">
        <f t="shared" si="441"/>
        <v>base</v>
      </c>
      <c r="AR257" s="319" t="str">
        <f t="shared" si="441"/>
        <v>low</v>
      </c>
      <c r="AS257" s="319" t="str">
        <f t="shared" si="441"/>
        <v>high</v>
      </c>
      <c r="AT257">
        <f t="shared" si="441"/>
        <v>0</v>
      </c>
      <c r="AU257" s="37">
        <f t="shared" si="441"/>
        <v>0</v>
      </c>
      <c r="AV257" s="20">
        <f t="shared" si="441"/>
        <v>0</v>
      </c>
      <c r="AW257">
        <f t="shared" si="441"/>
        <v>0</v>
      </c>
    </row>
    <row r="258" spans="1:50" x14ac:dyDescent="0.3">
      <c r="A258">
        <f t="shared" ref="A258:V258" si="442">A168</f>
        <v>0</v>
      </c>
      <c r="B258">
        <f t="shared" si="442"/>
        <v>0</v>
      </c>
      <c r="C258" s="22">
        <f t="shared" si="442"/>
        <v>0</v>
      </c>
      <c r="D258">
        <f t="shared" si="442"/>
        <v>0</v>
      </c>
      <c r="E258">
        <f t="shared" si="442"/>
        <v>0</v>
      </c>
      <c r="F258">
        <f t="shared" si="442"/>
        <v>0</v>
      </c>
      <c r="G258">
        <f t="shared" si="442"/>
        <v>0</v>
      </c>
      <c r="H258" s="59" t="str">
        <f t="shared" si="442"/>
        <v>1-p2</v>
      </c>
      <c r="I258" s="67">
        <f t="shared" si="442"/>
        <v>0.19999999999999996</v>
      </c>
      <c r="J258" s="10">
        <f t="shared" si="442"/>
        <v>0</v>
      </c>
      <c r="K258" s="11">
        <f t="shared" si="442"/>
        <v>0</v>
      </c>
      <c r="L258">
        <f t="shared" si="442"/>
        <v>0</v>
      </c>
      <c r="M258">
        <f t="shared" si="442"/>
        <v>0</v>
      </c>
      <c r="N258">
        <f t="shared" si="442"/>
        <v>0</v>
      </c>
      <c r="O258" s="12" t="str">
        <f t="shared" si="442"/>
        <v>Outpatient</v>
      </c>
      <c r="P258" s="30">
        <f t="shared" si="442"/>
        <v>7425.2600950259603</v>
      </c>
      <c r="Q258" s="320">
        <f t="shared" si="442"/>
        <v>6190.4900058136982</v>
      </c>
      <c r="R258" s="320">
        <f t="shared" si="442"/>
        <v>8658.8826283932285</v>
      </c>
      <c r="S258">
        <f t="shared" si="442"/>
        <v>0</v>
      </c>
      <c r="T258" s="69">
        <f t="shared" si="442"/>
        <v>0</v>
      </c>
      <c r="U258">
        <f t="shared" si="442"/>
        <v>0</v>
      </c>
      <c r="V258">
        <f t="shared" si="442"/>
        <v>0</v>
      </c>
      <c r="AB258">
        <f t="shared" ref="AB258:AW258" si="443">AB168</f>
        <v>0</v>
      </c>
      <c r="AC258">
        <f t="shared" si="443"/>
        <v>0</v>
      </c>
      <c r="AD258" s="22">
        <f t="shared" si="443"/>
        <v>0</v>
      </c>
      <c r="AE258">
        <f t="shared" si="443"/>
        <v>0</v>
      </c>
      <c r="AF258">
        <f t="shared" si="443"/>
        <v>0</v>
      </c>
      <c r="AG258">
        <f t="shared" si="443"/>
        <v>0</v>
      </c>
      <c r="AH258">
        <f t="shared" si="443"/>
        <v>0</v>
      </c>
      <c r="AI258" s="59" t="str">
        <f t="shared" si="443"/>
        <v>1-p2</v>
      </c>
      <c r="AJ258" s="67">
        <f t="shared" si="443"/>
        <v>0.19999999999999996</v>
      </c>
      <c r="AK258" s="500">
        <f t="shared" si="443"/>
        <v>0</v>
      </c>
      <c r="AL258" s="11">
        <f t="shared" si="443"/>
        <v>0</v>
      </c>
      <c r="AM258">
        <f t="shared" si="443"/>
        <v>0</v>
      </c>
      <c r="AN258">
        <f t="shared" si="443"/>
        <v>0</v>
      </c>
      <c r="AO258">
        <f t="shared" si="443"/>
        <v>0</v>
      </c>
      <c r="AP258" s="12" t="str">
        <f t="shared" si="443"/>
        <v>Outpatient</v>
      </c>
      <c r="AQ258" s="30">
        <f t="shared" si="443"/>
        <v>3019.5865126745548</v>
      </c>
      <c r="AR258" s="320">
        <f t="shared" si="443"/>
        <v>2517.8391566764572</v>
      </c>
      <c r="AS258" s="320">
        <f t="shared" si="443"/>
        <v>3544.9419455385805</v>
      </c>
      <c r="AT258">
        <f t="shared" si="443"/>
        <v>0</v>
      </c>
      <c r="AU258" s="69">
        <f t="shared" si="443"/>
        <v>0</v>
      </c>
      <c r="AV258">
        <f t="shared" si="443"/>
        <v>0</v>
      </c>
      <c r="AW258">
        <f t="shared" si="443"/>
        <v>0</v>
      </c>
    </row>
    <row r="259" spans="1:50" x14ac:dyDescent="0.3">
      <c r="A259">
        <f t="shared" ref="A259:V259" si="444">A169</f>
        <v>0</v>
      </c>
      <c r="B259">
        <f t="shared" si="444"/>
        <v>0</v>
      </c>
      <c r="C259">
        <f t="shared" si="444"/>
        <v>0</v>
      </c>
      <c r="D259">
        <f t="shared" si="444"/>
        <v>0</v>
      </c>
      <c r="E259">
        <f t="shared" si="444"/>
        <v>0</v>
      </c>
      <c r="H259" s="15" t="str">
        <f t="shared" si="444"/>
        <v>do not obtain Antibody Candidate product</v>
      </c>
      <c r="I259" s="28">
        <f t="shared" si="444"/>
        <v>3866.9574999999991</v>
      </c>
      <c r="J259">
        <f t="shared" si="444"/>
        <v>0</v>
      </c>
      <c r="K259" s="59" t="str">
        <f t="shared" si="444"/>
        <v>low:</v>
      </c>
      <c r="L259" s="50">
        <f t="shared" si="444"/>
        <v>2.3592952239688896</v>
      </c>
      <c r="M259">
        <f t="shared" si="444"/>
        <v>0</v>
      </c>
      <c r="N259" s="16">
        <f t="shared" si="444"/>
        <v>0</v>
      </c>
      <c r="O259" s="2" t="str">
        <f t="shared" si="444"/>
        <v>p4c</v>
      </c>
      <c r="P259" s="61">
        <f t="shared" si="444"/>
        <v>1.9201814592029942</v>
      </c>
      <c r="Q259" s="321">
        <f t="shared" si="444"/>
        <v>1.6008683844634186</v>
      </c>
      <c r="R259" s="321">
        <f t="shared" si="444"/>
        <v>2.2391977745794285</v>
      </c>
      <c r="S259">
        <f t="shared" si="444"/>
        <v>0</v>
      </c>
      <c r="T259">
        <f t="shared" si="444"/>
        <v>0</v>
      </c>
      <c r="U259">
        <f t="shared" si="444"/>
        <v>0</v>
      </c>
      <c r="V259">
        <f t="shared" si="444"/>
        <v>0</v>
      </c>
      <c r="AB259">
        <f t="shared" ref="AB259:AF259" si="445">AB169</f>
        <v>0</v>
      </c>
      <c r="AC259">
        <f t="shared" si="445"/>
        <v>0</v>
      </c>
      <c r="AD259">
        <f t="shared" si="445"/>
        <v>0</v>
      </c>
      <c r="AE259">
        <f t="shared" si="445"/>
        <v>0</v>
      </c>
      <c r="AF259">
        <f t="shared" si="445"/>
        <v>0</v>
      </c>
      <c r="AI259" s="15" t="str">
        <f t="shared" ref="AI259:AW259" si="446">AI169</f>
        <v>do not obtain Antibody Candidate product</v>
      </c>
      <c r="AJ259" s="28">
        <f t="shared" si="446"/>
        <v>3866.9574999999991</v>
      </c>
      <c r="AK259">
        <f t="shared" si="446"/>
        <v>0</v>
      </c>
      <c r="AL259" s="59" t="str">
        <f t="shared" si="446"/>
        <v>low:</v>
      </c>
      <c r="AM259" s="50">
        <f t="shared" si="446"/>
        <v>0.95251779804767667</v>
      </c>
      <c r="AN259">
        <f t="shared" si="446"/>
        <v>0</v>
      </c>
      <c r="AO259" s="16">
        <f t="shared" si="446"/>
        <v>0</v>
      </c>
      <c r="AP259" s="2" t="str">
        <f t="shared" si="446"/>
        <v>p4c</v>
      </c>
      <c r="AQ259" s="61">
        <f t="shared" si="446"/>
        <v>0.78086881292968835</v>
      </c>
      <c r="AR259" s="321">
        <f t="shared" si="446"/>
        <v>0.6511163250892873</v>
      </c>
      <c r="AS259" s="321">
        <f t="shared" si="446"/>
        <v>0.91672637869399431</v>
      </c>
      <c r="AT259">
        <f t="shared" si="446"/>
        <v>0</v>
      </c>
      <c r="AU259">
        <f t="shared" si="446"/>
        <v>0</v>
      </c>
      <c r="AV259">
        <f t="shared" si="446"/>
        <v>0</v>
      </c>
      <c r="AW259">
        <f t="shared" si="446"/>
        <v>0</v>
      </c>
    </row>
    <row r="260" spans="1:50" x14ac:dyDescent="0.3">
      <c r="A260">
        <f t="shared" ref="A260:V260" si="447">A170</f>
        <v>0</v>
      </c>
      <c r="B260">
        <f t="shared" si="447"/>
        <v>0</v>
      </c>
      <c r="C260">
        <f t="shared" si="447"/>
        <v>0</v>
      </c>
      <c r="D260">
        <f t="shared" si="447"/>
        <v>0</v>
      </c>
      <c r="E260">
        <f t="shared" si="447"/>
        <v>0</v>
      </c>
      <c r="F260">
        <f t="shared" si="447"/>
        <v>0</v>
      </c>
      <c r="G260">
        <f t="shared" si="447"/>
        <v>0</v>
      </c>
      <c r="H260" s="14">
        <f t="shared" si="447"/>
        <v>0</v>
      </c>
      <c r="I260" s="58">
        <f t="shared" si="447"/>
        <v>0</v>
      </c>
      <c r="J260">
        <f t="shared" si="447"/>
        <v>0</v>
      </c>
      <c r="K260" s="238" t="str">
        <f t="shared" si="447"/>
        <v>high:</v>
      </c>
      <c r="L260" s="50">
        <f t="shared" si="447"/>
        <v>3.1700570548149427</v>
      </c>
      <c r="M260">
        <f t="shared" si="447"/>
        <v>0</v>
      </c>
      <c r="N260" s="11">
        <f t="shared" si="447"/>
        <v>0</v>
      </c>
      <c r="O260" s="2">
        <f t="shared" si="447"/>
        <v>0</v>
      </c>
      <c r="P260">
        <f t="shared" si="447"/>
        <v>0</v>
      </c>
      <c r="Q260" s="322">
        <f t="shared" si="447"/>
        <v>0</v>
      </c>
      <c r="R260" s="322">
        <f t="shared" si="447"/>
        <v>0</v>
      </c>
      <c r="S260">
        <f t="shared" si="447"/>
        <v>0</v>
      </c>
      <c r="T260">
        <f t="shared" si="447"/>
        <v>0</v>
      </c>
      <c r="U260">
        <f t="shared" si="447"/>
        <v>0</v>
      </c>
      <c r="V260">
        <f t="shared" si="447"/>
        <v>0</v>
      </c>
      <c r="AB260">
        <f t="shared" ref="AB260:AW260" si="448">AB170</f>
        <v>0</v>
      </c>
      <c r="AC260">
        <f t="shared" si="448"/>
        <v>0</v>
      </c>
      <c r="AD260">
        <f t="shared" si="448"/>
        <v>0</v>
      </c>
      <c r="AE260">
        <f t="shared" si="448"/>
        <v>0</v>
      </c>
      <c r="AF260">
        <f t="shared" si="448"/>
        <v>0</v>
      </c>
      <c r="AG260">
        <f t="shared" si="448"/>
        <v>0</v>
      </c>
      <c r="AH260">
        <f t="shared" si="448"/>
        <v>0</v>
      </c>
      <c r="AI260" s="14">
        <f t="shared" si="448"/>
        <v>0</v>
      </c>
      <c r="AJ260" s="58">
        <f t="shared" si="448"/>
        <v>0</v>
      </c>
      <c r="AK260">
        <f t="shared" si="448"/>
        <v>0</v>
      </c>
      <c r="AL260" s="238" t="str">
        <f t="shared" si="448"/>
        <v>high:</v>
      </c>
      <c r="AM260" s="50">
        <f t="shared" si="448"/>
        <v>1.3199545381061824</v>
      </c>
      <c r="AN260">
        <f t="shared" si="448"/>
        <v>0</v>
      </c>
      <c r="AO260" s="11">
        <f t="shared" si="448"/>
        <v>0</v>
      </c>
      <c r="AP260" s="2">
        <f t="shared" si="448"/>
        <v>0</v>
      </c>
      <c r="AQ260">
        <f t="shared" si="448"/>
        <v>0</v>
      </c>
      <c r="AR260" s="322">
        <f t="shared" si="448"/>
        <v>0</v>
      </c>
      <c r="AS260" s="322">
        <f t="shared" si="448"/>
        <v>0</v>
      </c>
      <c r="AT260">
        <f t="shared" si="448"/>
        <v>0</v>
      </c>
      <c r="AU260">
        <f t="shared" si="448"/>
        <v>0</v>
      </c>
      <c r="AV260">
        <f t="shared" si="448"/>
        <v>0</v>
      </c>
      <c r="AW260">
        <f t="shared" si="448"/>
        <v>0</v>
      </c>
    </row>
    <row r="261" spans="1:50" x14ac:dyDescent="0.3">
      <c r="A261">
        <f t="shared" ref="A261:V261" si="449">A171</f>
        <v>0</v>
      </c>
      <c r="B261">
        <f t="shared" si="449"/>
        <v>0</v>
      </c>
      <c r="C261">
        <f t="shared" si="449"/>
        <v>0</v>
      </c>
      <c r="D261">
        <f t="shared" si="449"/>
        <v>0</v>
      </c>
      <c r="E261">
        <f t="shared" si="449"/>
        <v>0</v>
      </c>
      <c r="F261">
        <f t="shared" si="449"/>
        <v>0</v>
      </c>
      <c r="G261">
        <f t="shared" si="449"/>
        <v>0</v>
      </c>
      <c r="H261">
        <f t="shared" si="449"/>
        <v>0</v>
      </c>
      <c r="I261">
        <f t="shared" si="449"/>
        <v>0</v>
      </c>
      <c r="J261">
        <f t="shared" si="449"/>
        <v>0</v>
      </c>
      <c r="K261" s="18" t="str">
        <f t="shared" si="449"/>
        <v>sum p4a-c</v>
      </c>
      <c r="L261" s="50">
        <f t="shared" si="449"/>
        <v>2.7633318789944998</v>
      </c>
      <c r="M261" s="10">
        <f t="shared" si="449"/>
        <v>0</v>
      </c>
      <c r="N261" s="18">
        <f t="shared" si="449"/>
        <v>0</v>
      </c>
      <c r="O261" s="12" t="str">
        <f t="shared" si="449"/>
        <v>ED</v>
      </c>
      <c r="P261" s="30">
        <f t="shared" si="449"/>
        <v>2574.5415382413639</v>
      </c>
      <c r="Q261" s="320">
        <f t="shared" si="449"/>
        <v>2204.4547782311834</v>
      </c>
      <c r="R261" s="320">
        <f t="shared" si="449"/>
        <v>2945.775854096536</v>
      </c>
      <c r="S261">
        <f t="shared" si="449"/>
        <v>0</v>
      </c>
      <c r="T261">
        <f t="shared" si="449"/>
        <v>0</v>
      </c>
      <c r="U261">
        <f t="shared" si="449"/>
        <v>0</v>
      </c>
      <c r="V261">
        <f t="shared" si="449"/>
        <v>0</v>
      </c>
      <c r="AB261">
        <f t="shared" ref="AB261:AW261" si="450">AB171</f>
        <v>0</v>
      </c>
      <c r="AC261">
        <f t="shared" si="450"/>
        <v>0</v>
      </c>
      <c r="AD261">
        <f t="shared" si="450"/>
        <v>0</v>
      </c>
      <c r="AE261">
        <f t="shared" si="450"/>
        <v>0</v>
      </c>
      <c r="AF261">
        <f t="shared" si="450"/>
        <v>0</v>
      </c>
      <c r="AG261">
        <f t="shared" si="450"/>
        <v>0</v>
      </c>
      <c r="AH261">
        <f t="shared" si="450"/>
        <v>0</v>
      </c>
      <c r="AI261">
        <f t="shared" si="450"/>
        <v>0</v>
      </c>
      <c r="AJ261">
        <f t="shared" si="450"/>
        <v>0</v>
      </c>
      <c r="AK261">
        <f t="shared" si="450"/>
        <v>0</v>
      </c>
      <c r="AL261" s="18" t="str">
        <f t="shared" si="450"/>
        <v>sum p4a-c</v>
      </c>
      <c r="AM261" s="50">
        <f t="shared" si="450"/>
        <v>1.1341905893836515</v>
      </c>
      <c r="AN261" s="500">
        <f t="shared" si="450"/>
        <v>0</v>
      </c>
      <c r="AO261" s="18">
        <f t="shared" si="450"/>
        <v>0</v>
      </c>
      <c r="AP261" s="12" t="str">
        <f t="shared" si="450"/>
        <v>ED</v>
      </c>
      <c r="AQ261" s="30">
        <f t="shared" si="450"/>
        <v>1200.8300782506328</v>
      </c>
      <c r="AR261" s="320">
        <f t="shared" si="450"/>
        <v>1028.2896484132452</v>
      </c>
      <c r="AS261" s="320">
        <f t="shared" si="450"/>
        <v>1373.5508449748004</v>
      </c>
      <c r="AT261">
        <f t="shared" si="450"/>
        <v>0</v>
      </c>
      <c r="AU261">
        <f t="shared" si="450"/>
        <v>0</v>
      </c>
      <c r="AV261">
        <f t="shared" si="450"/>
        <v>0</v>
      </c>
      <c r="AW261">
        <f t="shared" si="450"/>
        <v>0</v>
      </c>
    </row>
    <row r="262" spans="1:50" x14ac:dyDescent="0.3">
      <c r="A262">
        <f t="shared" ref="A262:V262" si="451">A172</f>
        <v>0</v>
      </c>
      <c r="B262">
        <f t="shared" si="451"/>
        <v>0</v>
      </c>
      <c r="C262">
        <f t="shared" si="451"/>
        <v>0</v>
      </c>
      <c r="D262">
        <f t="shared" si="451"/>
        <v>0</v>
      </c>
      <c r="E262">
        <f t="shared" si="451"/>
        <v>0</v>
      </c>
      <c r="F262">
        <f t="shared" si="451"/>
        <v>0</v>
      </c>
      <c r="G262">
        <f t="shared" si="451"/>
        <v>0</v>
      </c>
      <c r="H262">
        <f t="shared" si="451"/>
        <v>0</v>
      </c>
      <c r="K262" s="2" t="str">
        <f t="shared" si="451"/>
        <v>Medically Attended for RSV</v>
      </c>
      <c r="L262" s="54">
        <f t="shared" si="451"/>
        <v>10685.68693446687</v>
      </c>
      <c r="M262">
        <f t="shared" si="451"/>
        <v>0</v>
      </c>
      <c r="N262" s="11">
        <f t="shared" si="451"/>
        <v>0</v>
      </c>
      <c r="O262" s="2" t="str">
        <f t="shared" si="451"/>
        <v>p4b</v>
      </c>
      <c r="P262" s="61">
        <f t="shared" si="451"/>
        <v>0.66577963120654016</v>
      </c>
      <c r="Q262" s="321">
        <f t="shared" si="451"/>
        <v>0.57007473659360985</v>
      </c>
      <c r="R262" s="321">
        <f t="shared" si="451"/>
        <v>0.76178128518261112</v>
      </c>
      <c r="S262">
        <f t="shared" si="451"/>
        <v>0</v>
      </c>
      <c r="T262">
        <f t="shared" si="451"/>
        <v>0</v>
      </c>
      <c r="U262">
        <f t="shared" si="451"/>
        <v>0</v>
      </c>
      <c r="V262">
        <f t="shared" si="451"/>
        <v>0</v>
      </c>
      <c r="AB262">
        <f t="shared" ref="AB262:AI262" si="452">AB172</f>
        <v>0</v>
      </c>
      <c r="AC262">
        <f t="shared" si="452"/>
        <v>0</v>
      </c>
      <c r="AD262">
        <f t="shared" si="452"/>
        <v>0</v>
      </c>
      <c r="AE262">
        <f t="shared" si="452"/>
        <v>0</v>
      </c>
      <c r="AF262">
        <f t="shared" si="452"/>
        <v>0</v>
      </c>
      <c r="AG262">
        <f t="shared" si="452"/>
        <v>0</v>
      </c>
      <c r="AH262">
        <f t="shared" si="452"/>
        <v>0</v>
      </c>
      <c r="AI262">
        <f t="shared" si="452"/>
        <v>0</v>
      </c>
      <c r="AL262" s="2" t="str">
        <f t="shared" ref="AL262:AW262" si="453">AL172</f>
        <v>Medically Attended for RSV</v>
      </c>
      <c r="AM262" s="54">
        <f t="shared" si="453"/>
        <v>4385.8668060465307</v>
      </c>
      <c r="AN262">
        <f t="shared" si="453"/>
        <v>0</v>
      </c>
      <c r="AO262" s="11">
        <f t="shared" si="453"/>
        <v>0</v>
      </c>
      <c r="AP262" s="2" t="str">
        <f t="shared" si="453"/>
        <v>p4b</v>
      </c>
      <c r="AQ262" s="61">
        <f t="shared" si="453"/>
        <v>0.31053614585902045</v>
      </c>
      <c r="AR262" s="321">
        <f t="shared" si="453"/>
        <v>0.26591697695494337</v>
      </c>
      <c r="AS262" s="321">
        <f t="shared" si="453"/>
        <v>0.35520195010542543</v>
      </c>
      <c r="AT262">
        <f t="shared" si="453"/>
        <v>0</v>
      </c>
      <c r="AU262">
        <f t="shared" si="453"/>
        <v>0</v>
      </c>
      <c r="AV262">
        <f t="shared" si="453"/>
        <v>0</v>
      </c>
      <c r="AW262">
        <f t="shared" si="453"/>
        <v>0</v>
      </c>
    </row>
    <row r="263" spans="1:50" x14ac:dyDescent="0.3">
      <c r="A263">
        <f t="shared" ref="A263:V263" si="454">A173</f>
        <v>0</v>
      </c>
      <c r="B263">
        <f t="shared" si="454"/>
        <v>0</v>
      </c>
      <c r="C263">
        <f t="shared" si="454"/>
        <v>0</v>
      </c>
      <c r="D263">
        <f t="shared" si="454"/>
        <v>0</v>
      </c>
      <c r="E263">
        <f t="shared" si="454"/>
        <v>0</v>
      </c>
      <c r="F263">
        <f t="shared" si="454"/>
        <v>0</v>
      </c>
      <c r="G263">
        <f t="shared" si="454"/>
        <v>0</v>
      </c>
      <c r="H263">
        <f t="shared" si="454"/>
        <v>0</v>
      </c>
      <c r="I263">
        <f t="shared" si="454"/>
        <v>0</v>
      </c>
      <c r="J263">
        <f t="shared" si="454"/>
        <v>0</v>
      </c>
      <c r="K263" s="14" t="str">
        <f t="shared" si="454"/>
        <v>low:</v>
      </c>
      <c r="L263" s="28">
        <f t="shared" si="454"/>
        <v>9123.2943610406746</v>
      </c>
      <c r="M263">
        <f t="shared" si="454"/>
        <v>0</v>
      </c>
      <c r="N263" s="11">
        <f t="shared" si="454"/>
        <v>0</v>
      </c>
      <c r="O263" s="2">
        <f t="shared" si="454"/>
        <v>0</v>
      </c>
      <c r="P263">
        <f t="shared" si="454"/>
        <v>0</v>
      </c>
      <c r="Q263" s="322">
        <f t="shared" si="454"/>
        <v>0</v>
      </c>
      <c r="R263" s="322">
        <f t="shared" si="454"/>
        <v>0</v>
      </c>
      <c r="S263">
        <f t="shared" si="454"/>
        <v>0</v>
      </c>
      <c r="T263">
        <f t="shared" si="454"/>
        <v>0</v>
      </c>
      <c r="U263">
        <f t="shared" si="454"/>
        <v>0</v>
      </c>
      <c r="V263">
        <f t="shared" si="454"/>
        <v>0</v>
      </c>
      <c r="AB263">
        <f t="shared" ref="AB263:AW263" si="455">AB173</f>
        <v>0</v>
      </c>
      <c r="AC263">
        <f t="shared" si="455"/>
        <v>0</v>
      </c>
      <c r="AD263">
        <f t="shared" si="455"/>
        <v>0</v>
      </c>
      <c r="AE263">
        <f t="shared" si="455"/>
        <v>0</v>
      </c>
      <c r="AF263">
        <f t="shared" si="455"/>
        <v>0</v>
      </c>
      <c r="AG263">
        <f t="shared" si="455"/>
        <v>0</v>
      </c>
      <c r="AH263">
        <f t="shared" si="455"/>
        <v>0</v>
      </c>
      <c r="AI263">
        <f t="shared" si="455"/>
        <v>0</v>
      </c>
      <c r="AJ263">
        <f t="shared" si="455"/>
        <v>0</v>
      </c>
      <c r="AK263">
        <f t="shared" si="455"/>
        <v>0</v>
      </c>
      <c r="AL263" s="14" t="str">
        <f t="shared" si="455"/>
        <v>low:</v>
      </c>
      <c r="AM263" s="28">
        <f t="shared" si="455"/>
        <v>3683.3458430439478</v>
      </c>
      <c r="AN263">
        <f t="shared" si="455"/>
        <v>0</v>
      </c>
      <c r="AO263" s="11">
        <f t="shared" si="455"/>
        <v>0</v>
      </c>
      <c r="AP263" s="2">
        <f t="shared" si="455"/>
        <v>0</v>
      </c>
      <c r="AQ263">
        <f t="shared" si="455"/>
        <v>0</v>
      </c>
      <c r="AR263" s="322">
        <f t="shared" si="455"/>
        <v>0</v>
      </c>
      <c r="AS263" s="322">
        <f t="shared" si="455"/>
        <v>0</v>
      </c>
      <c r="AT263">
        <f t="shared" si="455"/>
        <v>0</v>
      </c>
      <c r="AU263">
        <f t="shared" si="455"/>
        <v>0</v>
      </c>
      <c r="AV263">
        <f t="shared" si="455"/>
        <v>0</v>
      </c>
      <c r="AW263">
        <f t="shared" si="455"/>
        <v>0</v>
      </c>
    </row>
    <row r="264" spans="1:50" x14ac:dyDescent="0.3">
      <c r="A264">
        <f t="shared" ref="A264:V264" si="456">A174</f>
        <v>0</v>
      </c>
      <c r="B264">
        <f t="shared" si="456"/>
        <v>0</v>
      </c>
      <c r="C264">
        <f t="shared" si="456"/>
        <v>0</v>
      </c>
      <c r="D264">
        <f t="shared" si="456"/>
        <v>0</v>
      </c>
      <c r="E264">
        <f t="shared" si="456"/>
        <v>0</v>
      </c>
      <c r="F264">
        <f t="shared" si="456"/>
        <v>0</v>
      </c>
      <c r="G264">
        <f t="shared" si="456"/>
        <v>0</v>
      </c>
      <c r="H264">
        <f t="shared" si="456"/>
        <v>0</v>
      </c>
      <c r="I264">
        <f t="shared" si="456"/>
        <v>0</v>
      </c>
      <c r="J264">
        <f t="shared" si="456"/>
        <v>0</v>
      </c>
      <c r="K264" s="285" t="str">
        <f t="shared" si="456"/>
        <v>high:</v>
      </c>
      <c r="L264" s="28">
        <f t="shared" si="456"/>
        <v>12258.475903544551</v>
      </c>
      <c r="M264">
        <f t="shared" si="456"/>
        <v>0</v>
      </c>
      <c r="N264" s="18">
        <f t="shared" si="456"/>
        <v>0</v>
      </c>
      <c r="O264" s="12" t="str">
        <f t="shared" si="456"/>
        <v>Hospitalized</v>
      </c>
      <c r="P264" s="30">
        <f t="shared" si="456"/>
        <v>685.88530119954726</v>
      </c>
      <c r="Q264" s="320">
        <f t="shared" si="456"/>
        <v>728.34957699579286</v>
      </c>
      <c r="R264" s="320">
        <f t="shared" si="456"/>
        <v>653.81742105478645</v>
      </c>
      <c r="S264">
        <f t="shared" si="456"/>
        <v>0</v>
      </c>
      <c r="T264">
        <f t="shared" si="456"/>
        <v>0</v>
      </c>
      <c r="U264">
        <f t="shared" si="456"/>
        <v>0</v>
      </c>
      <c r="V264">
        <f t="shared" si="456"/>
        <v>0</v>
      </c>
      <c r="AB264">
        <f t="shared" ref="AB264:AW264" si="457">AB174</f>
        <v>0</v>
      </c>
      <c r="AC264">
        <f t="shared" si="457"/>
        <v>0</v>
      </c>
      <c r="AD264">
        <f t="shared" si="457"/>
        <v>0</v>
      </c>
      <c r="AE264">
        <f t="shared" si="457"/>
        <v>0</v>
      </c>
      <c r="AF264">
        <f t="shared" si="457"/>
        <v>0</v>
      </c>
      <c r="AG264">
        <f t="shared" si="457"/>
        <v>0</v>
      </c>
      <c r="AH264">
        <f t="shared" si="457"/>
        <v>0</v>
      </c>
      <c r="AI264">
        <f t="shared" si="457"/>
        <v>0</v>
      </c>
      <c r="AJ264">
        <f t="shared" si="457"/>
        <v>0</v>
      </c>
      <c r="AK264">
        <f t="shared" si="457"/>
        <v>0</v>
      </c>
      <c r="AL264" s="285" t="str">
        <f t="shared" si="457"/>
        <v>high:</v>
      </c>
      <c r="AM264" s="28">
        <f t="shared" si="457"/>
        <v>5104.2081007887364</v>
      </c>
      <c r="AN264">
        <f t="shared" si="457"/>
        <v>0</v>
      </c>
      <c r="AO264" s="18">
        <f t="shared" si="457"/>
        <v>0</v>
      </c>
      <c r="AP264" s="12" t="str">
        <f t="shared" si="457"/>
        <v>Hospitalized</v>
      </c>
      <c r="AQ264" s="30">
        <f t="shared" si="457"/>
        <v>165.45021512134358</v>
      </c>
      <c r="AR264" s="320">
        <f t="shared" si="457"/>
        <v>137.21703795424528</v>
      </c>
      <c r="AS264" s="320">
        <f t="shared" si="457"/>
        <v>185.71531027535542</v>
      </c>
      <c r="AT264">
        <f t="shared" si="457"/>
        <v>0</v>
      </c>
      <c r="AU264">
        <f t="shared" si="457"/>
        <v>0</v>
      </c>
      <c r="AV264">
        <f t="shared" si="457"/>
        <v>0</v>
      </c>
      <c r="AW264">
        <f t="shared" si="457"/>
        <v>0</v>
      </c>
    </row>
    <row r="265" spans="1:50" x14ac:dyDescent="0.3">
      <c r="A265">
        <f t="shared" ref="A265:V265" si="458">A175</f>
        <v>0</v>
      </c>
      <c r="B265">
        <f t="shared" si="458"/>
        <v>0</v>
      </c>
      <c r="C265">
        <f t="shared" si="458"/>
        <v>0</v>
      </c>
      <c r="D265">
        <f t="shared" si="458"/>
        <v>0</v>
      </c>
      <c r="E265">
        <f t="shared" si="458"/>
        <v>0</v>
      </c>
      <c r="F265">
        <f t="shared" si="458"/>
        <v>0</v>
      </c>
      <c r="G265">
        <f t="shared" si="458"/>
        <v>0</v>
      </c>
      <c r="H265">
        <f t="shared" si="458"/>
        <v>0</v>
      </c>
      <c r="I265" s="22">
        <f t="shared" si="458"/>
        <v>0</v>
      </c>
      <c r="J265">
        <f t="shared" si="458"/>
        <v>0</v>
      </c>
      <c r="K265">
        <f t="shared" si="458"/>
        <v>0</v>
      </c>
      <c r="L265">
        <f t="shared" si="458"/>
        <v>0</v>
      </c>
      <c r="M265">
        <f t="shared" si="458"/>
        <v>0</v>
      </c>
      <c r="N265">
        <f t="shared" si="458"/>
        <v>0</v>
      </c>
      <c r="O265" s="2" t="str">
        <f t="shared" si="458"/>
        <v>p4c</v>
      </c>
      <c r="P265" s="61">
        <f t="shared" si="458"/>
        <v>0.17737078858496569</v>
      </c>
      <c r="Q265" s="321">
        <f t="shared" si="458"/>
        <v>0.18835210291186108</v>
      </c>
      <c r="R265" s="321">
        <f t="shared" si="458"/>
        <v>0.16907799505290311</v>
      </c>
      <c r="S265">
        <f t="shared" si="458"/>
        <v>0</v>
      </c>
      <c r="T265">
        <f t="shared" si="458"/>
        <v>0</v>
      </c>
      <c r="U265">
        <f t="shared" si="458"/>
        <v>0</v>
      </c>
      <c r="V265">
        <f t="shared" si="458"/>
        <v>0</v>
      </c>
      <c r="AB265">
        <f t="shared" ref="AB265:AW265" si="459">AB175</f>
        <v>0</v>
      </c>
      <c r="AC265">
        <f t="shared" si="459"/>
        <v>0</v>
      </c>
      <c r="AD265">
        <f t="shared" si="459"/>
        <v>0</v>
      </c>
      <c r="AE265">
        <f t="shared" si="459"/>
        <v>0</v>
      </c>
      <c r="AF265">
        <f t="shared" si="459"/>
        <v>0</v>
      </c>
      <c r="AG265">
        <f t="shared" si="459"/>
        <v>0</v>
      </c>
      <c r="AH265">
        <f t="shared" si="459"/>
        <v>0</v>
      </c>
      <c r="AI265">
        <f t="shared" si="459"/>
        <v>0</v>
      </c>
      <c r="AJ265" s="22">
        <f t="shared" si="459"/>
        <v>0</v>
      </c>
      <c r="AK265">
        <f t="shared" si="459"/>
        <v>0</v>
      </c>
      <c r="AL265">
        <f t="shared" si="459"/>
        <v>0</v>
      </c>
      <c r="AM265">
        <f t="shared" si="459"/>
        <v>0</v>
      </c>
      <c r="AN265">
        <f t="shared" si="459"/>
        <v>0</v>
      </c>
      <c r="AO265">
        <f t="shared" si="459"/>
        <v>0</v>
      </c>
      <c r="AP265" s="2" t="str">
        <f t="shared" si="459"/>
        <v>p4c</v>
      </c>
      <c r="AQ265" s="61">
        <f t="shared" si="459"/>
        <v>4.2785630594942822E-2</v>
      </c>
      <c r="AR265" s="321">
        <f t="shared" si="459"/>
        <v>3.5484496003445942E-2</v>
      </c>
      <c r="AS265" s="321">
        <f t="shared" si="459"/>
        <v>4.8026209306762609E-2</v>
      </c>
      <c r="AT265">
        <f t="shared" si="459"/>
        <v>0</v>
      </c>
      <c r="AU265">
        <f t="shared" si="459"/>
        <v>0</v>
      </c>
      <c r="AV265">
        <f t="shared" si="459"/>
        <v>0</v>
      </c>
      <c r="AW265">
        <f t="shared" si="459"/>
        <v>0</v>
      </c>
    </row>
    <row r="266" spans="1:50" x14ac:dyDescent="0.3">
      <c r="A266">
        <f t="shared" ref="A266:V266" si="460">A176</f>
        <v>0</v>
      </c>
      <c r="B266">
        <f t="shared" si="460"/>
        <v>0</v>
      </c>
      <c r="C266">
        <f t="shared" si="460"/>
        <v>0</v>
      </c>
      <c r="D266">
        <f t="shared" si="460"/>
        <v>0</v>
      </c>
      <c r="E266">
        <f t="shared" si="460"/>
        <v>0</v>
      </c>
      <c r="F266">
        <f t="shared" si="460"/>
        <v>0</v>
      </c>
      <c r="G266">
        <f t="shared" si="460"/>
        <v>0</v>
      </c>
      <c r="H266">
        <f t="shared" si="460"/>
        <v>0</v>
      </c>
      <c r="I266">
        <f t="shared" si="460"/>
        <v>0</v>
      </c>
      <c r="J266">
        <f t="shared" si="460"/>
        <v>0</v>
      </c>
      <c r="K266">
        <f t="shared" si="460"/>
        <v>0</v>
      </c>
      <c r="L266">
        <f t="shared" si="460"/>
        <v>0</v>
      </c>
      <c r="M266">
        <f t="shared" si="460"/>
        <v>0</v>
      </c>
      <c r="N266">
        <f t="shared" si="460"/>
        <v>0</v>
      </c>
      <c r="O266">
        <f t="shared" si="460"/>
        <v>0</v>
      </c>
      <c r="P266">
        <f t="shared" si="460"/>
        <v>0</v>
      </c>
      <c r="Q266">
        <f t="shared" si="460"/>
        <v>0</v>
      </c>
      <c r="R266">
        <f t="shared" si="460"/>
        <v>0</v>
      </c>
      <c r="S266">
        <f t="shared" si="460"/>
        <v>0</v>
      </c>
      <c r="T266">
        <f t="shared" si="460"/>
        <v>0</v>
      </c>
      <c r="U266">
        <f t="shared" si="460"/>
        <v>0</v>
      </c>
      <c r="V266">
        <f t="shared" si="460"/>
        <v>0</v>
      </c>
      <c r="AB266">
        <f t="shared" ref="AB266:AW266" si="461">AB176</f>
        <v>0</v>
      </c>
      <c r="AC266">
        <f t="shared" si="461"/>
        <v>0</v>
      </c>
      <c r="AD266">
        <f t="shared" si="461"/>
        <v>0</v>
      </c>
      <c r="AE266">
        <f t="shared" si="461"/>
        <v>0</v>
      </c>
      <c r="AF266">
        <f t="shared" si="461"/>
        <v>0</v>
      </c>
      <c r="AG266">
        <f t="shared" si="461"/>
        <v>0</v>
      </c>
      <c r="AH266">
        <f t="shared" si="461"/>
        <v>0</v>
      </c>
      <c r="AI266">
        <f t="shared" si="461"/>
        <v>0</v>
      </c>
      <c r="AJ266">
        <f t="shared" si="461"/>
        <v>0</v>
      </c>
      <c r="AK266">
        <f t="shared" si="461"/>
        <v>0</v>
      </c>
      <c r="AL266">
        <f t="shared" si="461"/>
        <v>0</v>
      </c>
      <c r="AM266">
        <f t="shared" si="461"/>
        <v>0</v>
      </c>
      <c r="AN266">
        <f t="shared" si="461"/>
        <v>0</v>
      </c>
      <c r="AO266">
        <f t="shared" si="461"/>
        <v>0</v>
      </c>
      <c r="AP266">
        <f t="shared" si="461"/>
        <v>0</v>
      </c>
      <c r="AQ266">
        <f t="shared" si="461"/>
        <v>0</v>
      </c>
      <c r="AR266">
        <f t="shared" si="461"/>
        <v>0</v>
      </c>
      <c r="AS266">
        <f t="shared" si="461"/>
        <v>0</v>
      </c>
      <c r="AT266">
        <f t="shared" si="461"/>
        <v>0</v>
      </c>
      <c r="AU266">
        <f t="shared" si="461"/>
        <v>0</v>
      </c>
      <c r="AV266">
        <f t="shared" si="461"/>
        <v>0</v>
      </c>
      <c r="AW266">
        <f t="shared" si="461"/>
        <v>0</v>
      </c>
    </row>
    <row r="267" spans="1:50" x14ac:dyDescent="0.3">
      <c r="A267">
        <f t="shared" ref="A267:V267" si="462">A177</f>
        <v>0</v>
      </c>
      <c r="B267">
        <f t="shared" si="462"/>
        <v>0</v>
      </c>
      <c r="C267">
        <f t="shared" si="462"/>
        <v>0</v>
      </c>
      <c r="D267">
        <f t="shared" si="462"/>
        <v>0</v>
      </c>
      <c r="E267">
        <f t="shared" si="462"/>
        <v>0</v>
      </c>
      <c r="F267">
        <f t="shared" si="462"/>
        <v>0</v>
      </c>
      <c r="G267">
        <f t="shared" si="462"/>
        <v>0</v>
      </c>
      <c r="H267">
        <f t="shared" si="462"/>
        <v>0</v>
      </c>
      <c r="I267">
        <f t="shared" si="462"/>
        <v>0</v>
      </c>
      <c r="J267">
        <f t="shared" si="462"/>
        <v>0</v>
      </c>
      <c r="K267">
        <f t="shared" si="462"/>
        <v>0</v>
      </c>
      <c r="L267">
        <f t="shared" si="462"/>
        <v>0</v>
      </c>
      <c r="M267">
        <f t="shared" si="462"/>
        <v>0</v>
      </c>
      <c r="N267">
        <f t="shared" si="462"/>
        <v>0</v>
      </c>
      <c r="O267">
        <f t="shared" si="462"/>
        <v>0</v>
      </c>
      <c r="P267">
        <f t="shared" si="462"/>
        <v>0</v>
      </c>
      <c r="Q267">
        <f t="shared" si="462"/>
        <v>0</v>
      </c>
      <c r="R267">
        <f t="shared" si="462"/>
        <v>0</v>
      </c>
      <c r="S267">
        <f t="shared" si="462"/>
        <v>0</v>
      </c>
      <c r="T267">
        <f t="shared" si="462"/>
        <v>0</v>
      </c>
      <c r="U267">
        <f t="shared" si="462"/>
        <v>0</v>
      </c>
      <c r="V267">
        <f t="shared" si="462"/>
        <v>0</v>
      </c>
      <c r="AB267">
        <f t="shared" ref="AB267:AW267" si="463">AB177</f>
        <v>0</v>
      </c>
      <c r="AC267">
        <f t="shared" si="463"/>
        <v>0</v>
      </c>
      <c r="AD267">
        <f t="shared" si="463"/>
        <v>0</v>
      </c>
      <c r="AE267">
        <f t="shared" si="463"/>
        <v>0</v>
      </c>
      <c r="AF267">
        <f t="shared" si="463"/>
        <v>0</v>
      </c>
      <c r="AG267">
        <f t="shared" si="463"/>
        <v>0</v>
      </c>
      <c r="AH267">
        <f t="shared" si="463"/>
        <v>0</v>
      </c>
      <c r="AI267">
        <f t="shared" si="463"/>
        <v>0</v>
      </c>
      <c r="AJ267">
        <f t="shared" si="463"/>
        <v>0</v>
      </c>
      <c r="AK267">
        <f t="shared" si="463"/>
        <v>0</v>
      </c>
      <c r="AL267">
        <f t="shared" si="463"/>
        <v>0</v>
      </c>
      <c r="AM267">
        <f t="shared" si="463"/>
        <v>0</v>
      </c>
      <c r="AN267">
        <f t="shared" si="463"/>
        <v>0</v>
      </c>
      <c r="AO267">
        <f t="shared" si="463"/>
        <v>0</v>
      </c>
      <c r="AP267">
        <f t="shared" si="463"/>
        <v>0</v>
      </c>
      <c r="AQ267">
        <f t="shared" si="463"/>
        <v>0</v>
      </c>
      <c r="AR267">
        <f t="shared" si="463"/>
        <v>0</v>
      </c>
      <c r="AS267">
        <f t="shared" si="463"/>
        <v>0</v>
      </c>
      <c r="AT267">
        <f t="shared" si="463"/>
        <v>0</v>
      </c>
      <c r="AU267">
        <f t="shared" si="463"/>
        <v>0</v>
      </c>
      <c r="AV267">
        <f t="shared" si="463"/>
        <v>0</v>
      </c>
      <c r="AW267">
        <f t="shared" si="463"/>
        <v>0</v>
      </c>
    </row>
    <row r="268" spans="1:50" x14ac:dyDescent="0.3">
      <c r="A268">
        <f t="shared" ref="A268:V268" si="464">A178</f>
        <v>0</v>
      </c>
      <c r="B268">
        <f t="shared" si="464"/>
        <v>0</v>
      </c>
      <c r="C268">
        <f t="shared" si="464"/>
        <v>0</v>
      </c>
      <c r="D268">
        <f t="shared" si="464"/>
        <v>0</v>
      </c>
      <c r="E268">
        <f t="shared" si="464"/>
        <v>0</v>
      </c>
      <c r="F268">
        <f t="shared" si="464"/>
        <v>0</v>
      </c>
      <c r="G268">
        <f t="shared" si="464"/>
        <v>0</v>
      </c>
      <c r="H268">
        <f t="shared" si="464"/>
        <v>0</v>
      </c>
      <c r="I268">
        <f t="shared" si="464"/>
        <v>0</v>
      </c>
      <c r="J268">
        <f t="shared" si="464"/>
        <v>0</v>
      </c>
      <c r="K268">
        <f t="shared" si="464"/>
        <v>0</v>
      </c>
      <c r="L268">
        <f t="shared" si="464"/>
        <v>0</v>
      </c>
      <c r="M268">
        <f t="shared" si="464"/>
        <v>0</v>
      </c>
      <c r="N268">
        <f t="shared" si="464"/>
        <v>0</v>
      </c>
      <c r="O268">
        <f t="shared" si="464"/>
        <v>0</v>
      </c>
      <c r="P268">
        <f t="shared" si="464"/>
        <v>0</v>
      </c>
      <c r="Q268">
        <f t="shared" si="464"/>
        <v>0</v>
      </c>
      <c r="R268">
        <f t="shared" si="464"/>
        <v>0</v>
      </c>
      <c r="S268">
        <f t="shared" si="464"/>
        <v>0</v>
      </c>
      <c r="T268">
        <f t="shared" si="464"/>
        <v>0</v>
      </c>
      <c r="U268">
        <f t="shared" si="464"/>
        <v>0</v>
      </c>
      <c r="V268">
        <f t="shared" si="464"/>
        <v>0</v>
      </c>
      <c r="AB268">
        <f t="shared" ref="AB268:AW268" si="465">AB178</f>
        <v>0</v>
      </c>
      <c r="AC268">
        <f t="shared" si="465"/>
        <v>0</v>
      </c>
      <c r="AD268">
        <f t="shared" si="465"/>
        <v>0</v>
      </c>
      <c r="AE268">
        <f t="shared" si="465"/>
        <v>0</v>
      </c>
      <c r="AF268">
        <f t="shared" si="465"/>
        <v>0</v>
      </c>
      <c r="AG268">
        <f t="shared" si="465"/>
        <v>0</v>
      </c>
      <c r="AH268">
        <f t="shared" si="465"/>
        <v>0</v>
      </c>
      <c r="AI268">
        <f t="shared" si="465"/>
        <v>0</v>
      </c>
      <c r="AJ268">
        <f t="shared" si="465"/>
        <v>0</v>
      </c>
      <c r="AK268">
        <f t="shared" si="465"/>
        <v>0</v>
      </c>
      <c r="AL268">
        <f t="shared" si="465"/>
        <v>0</v>
      </c>
      <c r="AM268">
        <f t="shared" si="465"/>
        <v>0</v>
      </c>
      <c r="AN268">
        <f t="shared" si="465"/>
        <v>0</v>
      </c>
      <c r="AO268">
        <f t="shared" si="465"/>
        <v>0</v>
      </c>
      <c r="AP268">
        <f t="shared" si="465"/>
        <v>0</v>
      </c>
      <c r="AQ268">
        <f t="shared" si="465"/>
        <v>0</v>
      </c>
      <c r="AR268">
        <f t="shared" si="465"/>
        <v>0</v>
      </c>
      <c r="AS268">
        <f t="shared" si="465"/>
        <v>0</v>
      </c>
      <c r="AT268">
        <f t="shared" si="465"/>
        <v>0</v>
      </c>
      <c r="AU268">
        <f t="shared" si="465"/>
        <v>0</v>
      </c>
      <c r="AV268">
        <f t="shared" si="465"/>
        <v>0</v>
      </c>
      <c r="AW268">
        <f t="shared" si="465"/>
        <v>0</v>
      </c>
    </row>
    <row r="269" spans="1:50" x14ac:dyDescent="0.3">
      <c r="A269" t="str">
        <f t="shared" ref="A269:V269" si="466">A179</f>
        <v>sum check row</v>
      </c>
      <c r="B269">
        <f t="shared" si="466"/>
        <v>0</v>
      </c>
      <c r="C269">
        <f t="shared" si="466"/>
        <v>0</v>
      </c>
      <c r="D269">
        <f t="shared" si="466"/>
        <v>0</v>
      </c>
      <c r="E269">
        <f t="shared" si="466"/>
        <v>0</v>
      </c>
      <c r="F269" t="str">
        <f t="shared" si="466"/>
        <v>Bottom Branch:</v>
      </c>
      <c r="G269">
        <f t="shared" si="466"/>
        <v>0</v>
      </c>
      <c r="H269" s="2" t="str">
        <f t="shared" si="466"/>
        <v>sum check</v>
      </c>
      <c r="I269" s="21">
        <f t="shared" si="466"/>
        <v>19334.787499999999</v>
      </c>
      <c r="J269" s="28">
        <f t="shared" si="466"/>
        <v>0</v>
      </c>
      <c r="K269" s="2">
        <f t="shared" si="466"/>
        <v>0</v>
      </c>
      <c r="L269" s="21">
        <f t="shared" si="466"/>
        <v>0</v>
      </c>
      <c r="M269" s="28">
        <f t="shared" si="466"/>
        <v>0</v>
      </c>
      <c r="N269" s="28">
        <f t="shared" si="466"/>
        <v>0</v>
      </c>
      <c r="O269" s="55" t="str">
        <f t="shared" si="466"/>
        <v>sum check</v>
      </c>
      <c r="P269" s="56">
        <f t="shared" si="466"/>
        <v>10685.686934466872</v>
      </c>
      <c r="Q269" s="56">
        <f t="shared" si="466"/>
        <v>0</v>
      </c>
      <c r="R269">
        <f t="shared" si="466"/>
        <v>0</v>
      </c>
      <c r="S269" s="55" t="str">
        <f t="shared" si="466"/>
        <v>sum check</v>
      </c>
      <c r="T269" s="56">
        <f t="shared" si="466"/>
        <v>15303.239798254239</v>
      </c>
      <c r="U269">
        <f t="shared" si="466"/>
        <v>0</v>
      </c>
      <c r="V269">
        <f t="shared" si="466"/>
        <v>0</v>
      </c>
      <c r="AB269" t="str">
        <f t="shared" ref="AB269:AW269" si="467">AB179</f>
        <v>sum check row</v>
      </c>
      <c r="AC269">
        <f t="shared" si="467"/>
        <v>0</v>
      </c>
      <c r="AD269">
        <f t="shared" si="467"/>
        <v>0</v>
      </c>
      <c r="AE269">
        <f t="shared" si="467"/>
        <v>0</v>
      </c>
      <c r="AF269">
        <f t="shared" si="467"/>
        <v>0</v>
      </c>
      <c r="AG269" t="str">
        <f t="shared" si="467"/>
        <v>Bottom Branch:</v>
      </c>
      <c r="AH269">
        <f t="shared" si="467"/>
        <v>0</v>
      </c>
      <c r="AI269" s="2" t="str">
        <f t="shared" si="467"/>
        <v>sum check</v>
      </c>
      <c r="AJ269" s="21">
        <f t="shared" si="467"/>
        <v>19334.787499999999</v>
      </c>
      <c r="AK269" s="28">
        <f t="shared" si="467"/>
        <v>0</v>
      </c>
      <c r="AL269" s="2">
        <f t="shared" si="467"/>
        <v>0</v>
      </c>
      <c r="AM269" s="21">
        <f t="shared" si="467"/>
        <v>0</v>
      </c>
      <c r="AN269" s="28">
        <f t="shared" si="467"/>
        <v>0</v>
      </c>
      <c r="AO269" s="28">
        <f t="shared" si="467"/>
        <v>0</v>
      </c>
      <c r="AP269" s="55" t="str">
        <f t="shared" si="467"/>
        <v>sum check</v>
      </c>
      <c r="AQ269" s="56">
        <f t="shared" si="467"/>
        <v>4385.8668060465316</v>
      </c>
      <c r="AR269" s="56">
        <f t="shared" si="467"/>
        <v>0</v>
      </c>
      <c r="AS269">
        <f t="shared" si="467"/>
        <v>0</v>
      </c>
      <c r="AT269" s="55" t="str">
        <f t="shared" si="467"/>
        <v>sum check</v>
      </c>
      <c r="AU269" s="56">
        <f t="shared" si="467"/>
        <v>3780.5974516536899</v>
      </c>
      <c r="AV269">
        <f t="shared" si="467"/>
        <v>0</v>
      </c>
      <c r="AW269">
        <f t="shared" si="467"/>
        <v>0</v>
      </c>
    </row>
    <row r="270" spans="1:50" ht="15" thickBot="1" x14ac:dyDescent="0.35"/>
    <row r="271" spans="1:50" ht="18.600000000000001" thickBot="1" x14ac:dyDescent="0.4">
      <c r="A271" s="485"/>
      <c r="B271" s="488" t="s">
        <v>188</v>
      </c>
      <c r="C271" s="485"/>
      <c r="D271" s="350"/>
      <c r="E271" s="350"/>
      <c r="F271" s="350"/>
      <c r="G271" s="350"/>
      <c r="H271" s="350"/>
      <c r="I271" s="350"/>
      <c r="J271" s="1106"/>
      <c r="K271" s="1106"/>
      <c r="L271" s="1106"/>
      <c r="M271" s="1106"/>
      <c r="N271" s="1106"/>
      <c r="O271" s="1106"/>
      <c r="P271" s="1106"/>
      <c r="Q271" s="1106"/>
      <c r="R271" s="1106"/>
      <c r="S271" s="1106"/>
      <c r="T271" s="1106"/>
      <c r="U271" s="1106"/>
      <c r="V271" s="1106"/>
      <c r="W271" s="1106"/>
      <c r="AA271" s="670"/>
      <c r="AB271" s="588"/>
      <c r="AC271" s="591" t="s">
        <v>188</v>
      </c>
      <c r="AD271" s="588"/>
      <c r="AE271" s="350"/>
      <c r="AF271" s="350"/>
      <c r="AG271" s="350"/>
      <c r="AH271" s="350"/>
      <c r="AI271" s="350"/>
      <c r="AJ271" s="350"/>
      <c r="AK271" s="1106"/>
      <c r="AL271" s="1106"/>
      <c r="AM271" s="1106"/>
      <c r="AN271" s="1106"/>
      <c r="AO271" s="1106"/>
      <c r="AP271" s="1106"/>
      <c r="AQ271" s="1106"/>
      <c r="AR271" s="1106"/>
      <c r="AS271" s="1106"/>
      <c r="AT271" s="1106"/>
      <c r="AU271" s="1106"/>
      <c r="AV271" s="1106"/>
      <c r="AW271" s="1106"/>
      <c r="AX271" s="1106"/>
    </row>
    <row r="272" spans="1:50" s="24" customFormat="1" ht="18" x14ac:dyDescent="0.35">
      <c r="A272" s="495"/>
      <c r="B272" s="351"/>
      <c r="C272" s="495"/>
      <c r="D272" s="496"/>
      <c r="E272" s="496"/>
      <c r="F272" s="496"/>
      <c r="G272" s="496"/>
      <c r="H272" s="495"/>
      <c r="I272" s="495"/>
      <c r="J272" s="495"/>
      <c r="K272" s="495"/>
      <c r="L272" s="495"/>
      <c r="M272" s="495"/>
      <c r="N272" s="495"/>
      <c r="O272" s="495"/>
      <c r="AA272" s="670"/>
      <c r="AB272" s="495"/>
      <c r="AC272" s="351"/>
      <c r="AD272" s="495"/>
      <c r="AE272" s="496"/>
      <c r="AF272" s="496"/>
      <c r="AG272" s="496"/>
      <c r="AH272" s="496"/>
      <c r="AI272" s="495"/>
      <c r="AJ272" s="495"/>
      <c r="AK272" s="495"/>
      <c r="AL272" s="495"/>
      <c r="AM272" s="495"/>
      <c r="AN272" s="495"/>
      <c r="AO272" s="495"/>
      <c r="AP272" s="495"/>
    </row>
    <row r="273" spans="1:55" x14ac:dyDescent="0.3">
      <c r="C273" s="364" t="s">
        <v>336</v>
      </c>
      <c r="AA273" s="670"/>
      <c r="AD273" s="583" t="s">
        <v>198</v>
      </c>
    </row>
    <row r="274" spans="1:55" x14ac:dyDescent="0.3">
      <c r="C274" s="367">
        <f>C48</f>
        <v>1972937.5</v>
      </c>
      <c r="F274" s="499"/>
      <c r="G274" s="499"/>
      <c r="Q274" s="627" t="s">
        <v>504</v>
      </c>
      <c r="AA274" s="670"/>
      <c r="AD274" s="367">
        <f>AD48</f>
        <v>1972937.5</v>
      </c>
      <c r="AG274" s="585"/>
      <c r="AH274" s="585"/>
      <c r="AR274" s="627" t="s">
        <v>504</v>
      </c>
    </row>
    <row r="275" spans="1:55" x14ac:dyDescent="0.3">
      <c r="F275" s="499"/>
      <c r="G275" s="499"/>
      <c r="J275" s="627"/>
      <c r="K275" s="627"/>
      <c r="L275" s="627"/>
      <c r="M275" s="627"/>
      <c r="N275" s="627"/>
      <c r="O275" s="627"/>
      <c r="P275" s="627"/>
      <c r="Q275" s="627"/>
      <c r="R275" s="627"/>
      <c r="S275" s="627"/>
      <c r="T275" s="627"/>
      <c r="U275" s="627"/>
      <c r="V275" s="627"/>
      <c r="W275" s="627"/>
      <c r="X275" s="627"/>
      <c r="Y275" s="627"/>
      <c r="Z275" s="627"/>
      <c r="AA275" s="627"/>
      <c r="AB275" s="627"/>
      <c r="AC275" s="627"/>
      <c r="AD275" s="627"/>
      <c r="AE275" s="627"/>
      <c r="AF275" s="627"/>
      <c r="AG275" s="627"/>
      <c r="AH275" s="627"/>
      <c r="AI275" s="627"/>
      <c r="AJ275" s="627"/>
      <c r="AK275" s="627"/>
      <c r="AL275" s="627"/>
      <c r="AM275" s="627"/>
      <c r="AN275" s="627"/>
      <c r="AO275" s="627"/>
      <c r="AP275" s="627"/>
      <c r="AQ275" s="627"/>
      <c r="AR275" s="627"/>
      <c r="AS275" s="627"/>
      <c r="AT275" s="627"/>
      <c r="AU275" s="627"/>
      <c r="AV275" s="627"/>
      <c r="AW275" s="627"/>
      <c r="AX275" s="627"/>
      <c r="AY275" s="627"/>
      <c r="AZ275" s="627"/>
      <c r="BA275" s="627"/>
      <c r="BB275" s="627"/>
      <c r="BC275" s="627"/>
    </row>
    <row r="276" spans="1:55" ht="15" customHeight="1" x14ac:dyDescent="0.3">
      <c r="C276" s="1110" t="s">
        <v>200</v>
      </c>
      <c r="D276" s="1110" t="s">
        <v>199</v>
      </c>
      <c r="F276" s="525"/>
      <c r="G276" s="525"/>
      <c r="I276" s="1112" t="s">
        <v>204</v>
      </c>
      <c r="J276" s="1112"/>
      <c r="K276" s="1112"/>
      <c r="L276" s="1112"/>
      <c r="M276" s="1112"/>
      <c r="N276" s="57"/>
      <c r="O276" s="1112" t="s">
        <v>206</v>
      </c>
      <c r="P276" s="1112"/>
      <c r="Q276" s="1112"/>
      <c r="R276" s="1112"/>
      <c r="S276" s="1112"/>
      <c r="T276" s="57"/>
      <c r="U276" s="1112" t="s">
        <v>208</v>
      </c>
      <c r="V276" s="1112"/>
      <c r="W276" s="1112"/>
      <c r="X276" s="1112"/>
      <c r="Y276" s="1112"/>
      <c r="AA276" s="670"/>
      <c r="AD276" s="1110" t="s">
        <v>200</v>
      </c>
      <c r="AE276" s="1110" t="s">
        <v>199</v>
      </c>
      <c r="AG276" s="525"/>
      <c r="AH276" s="525"/>
      <c r="AJ276" s="1112" t="s">
        <v>204</v>
      </c>
      <c r="AK276" s="1112"/>
      <c r="AL276" s="1112"/>
      <c r="AM276" s="1112"/>
      <c r="AN276" s="1112"/>
      <c r="AO276" s="57"/>
      <c r="AP276" s="1112" t="s">
        <v>206</v>
      </c>
      <c r="AQ276" s="1112"/>
      <c r="AR276" s="1112"/>
      <c r="AS276" s="1112"/>
      <c r="AT276" s="1112"/>
      <c r="AU276" s="57"/>
      <c r="AV276" s="1112" t="s">
        <v>208</v>
      </c>
      <c r="AW276" s="1112"/>
      <c r="AX276" s="1112"/>
      <c r="AY276" s="1112"/>
      <c r="AZ276" s="1112"/>
    </row>
    <row r="277" spans="1:55" ht="14.4" customHeight="1" x14ac:dyDescent="0.3">
      <c r="A277" s="1097" t="s">
        <v>228</v>
      </c>
      <c r="B277" s="1097" t="s">
        <v>229</v>
      </c>
      <c r="C277" s="1110"/>
      <c r="D277" s="1110"/>
      <c r="E277" s="364"/>
      <c r="F277" s="525"/>
      <c r="G277" s="525"/>
      <c r="I277" s="1098" t="s">
        <v>200</v>
      </c>
      <c r="J277" s="1098"/>
      <c r="K277" s="526"/>
      <c r="L277" s="1098" t="s">
        <v>199</v>
      </c>
      <c r="M277" s="1098"/>
      <c r="N277" s="57"/>
      <c r="O277" s="1098" t="s">
        <v>200</v>
      </c>
      <c r="P277" s="1098"/>
      <c r="Q277" s="526"/>
      <c r="R277" s="1098" t="s">
        <v>199</v>
      </c>
      <c r="S277" s="1098"/>
      <c r="T277" s="57"/>
      <c r="U277" s="1098" t="s">
        <v>200</v>
      </c>
      <c r="V277" s="1098"/>
      <c r="W277" s="526"/>
      <c r="X277" s="1098" t="s">
        <v>199</v>
      </c>
      <c r="Y277" s="1098"/>
      <c r="AA277" s="670"/>
      <c r="AB277" s="1097" t="s">
        <v>228</v>
      </c>
      <c r="AC277" s="1097" t="s">
        <v>229</v>
      </c>
      <c r="AD277" s="1110"/>
      <c r="AE277" s="1110"/>
      <c r="AF277" s="583"/>
      <c r="AG277" s="525"/>
      <c r="AH277" s="525"/>
      <c r="AJ277" s="1098" t="s">
        <v>200</v>
      </c>
      <c r="AK277" s="1098"/>
      <c r="AL277" s="586"/>
      <c r="AM277" s="1098" t="s">
        <v>199</v>
      </c>
      <c r="AN277" s="1098"/>
      <c r="AO277" s="57"/>
      <c r="AP277" s="1098" t="s">
        <v>200</v>
      </c>
      <c r="AQ277" s="1098"/>
      <c r="AR277" s="586"/>
      <c r="AS277" s="1098" t="s">
        <v>199</v>
      </c>
      <c r="AT277" s="1098"/>
      <c r="AU277" s="57"/>
      <c r="AV277" s="1098" t="s">
        <v>200</v>
      </c>
      <c r="AW277" s="1098"/>
      <c r="AX277" s="586"/>
      <c r="AY277" s="1098" t="s">
        <v>199</v>
      </c>
      <c r="AZ277" s="1098"/>
    </row>
    <row r="278" spans="1:55" x14ac:dyDescent="0.3">
      <c r="A278" s="1111"/>
      <c r="B278" s="1111"/>
      <c r="C278" s="713">
        <f>F31</f>
        <v>1953602.7124999999</v>
      </c>
      <c r="D278" s="713">
        <f>F74</f>
        <v>19334.787499999999</v>
      </c>
      <c r="E278" s="364"/>
      <c r="F278" s="498"/>
      <c r="G278" s="13"/>
      <c r="I278" s="527" t="s">
        <v>202</v>
      </c>
      <c r="J278" s="57" t="s">
        <v>203</v>
      </c>
      <c r="K278" s="57"/>
      <c r="L278" s="527" t="s">
        <v>202</v>
      </c>
      <c r="M278" s="57" t="s">
        <v>203</v>
      </c>
      <c r="N278" s="57"/>
      <c r="O278" s="527" t="s">
        <v>202</v>
      </c>
      <c r="P278" s="57" t="s">
        <v>203</v>
      </c>
      <c r="Q278" s="57"/>
      <c r="R278" s="527" t="s">
        <v>202</v>
      </c>
      <c r="S278" s="57" t="s">
        <v>203</v>
      </c>
      <c r="T278" s="57"/>
      <c r="U278" s="527" t="s">
        <v>202</v>
      </c>
      <c r="V278" s="57" t="s">
        <v>203</v>
      </c>
      <c r="W278" s="57"/>
      <c r="X278" s="527" t="s">
        <v>202</v>
      </c>
      <c r="Y278" s="57" t="s">
        <v>203</v>
      </c>
      <c r="AA278" s="670"/>
      <c r="AB278" s="1111"/>
      <c r="AC278" s="1111"/>
      <c r="AD278" s="367">
        <f>AG31</f>
        <v>1953602.7124999999</v>
      </c>
      <c r="AE278" s="367">
        <f>AG74</f>
        <v>19334.787499999999</v>
      </c>
      <c r="AF278" s="583"/>
      <c r="AG278" s="584"/>
      <c r="AH278" s="13"/>
      <c r="AJ278" s="527" t="s">
        <v>202</v>
      </c>
      <c r="AK278" s="57" t="s">
        <v>203</v>
      </c>
      <c r="AL278" s="57"/>
      <c r="AM278" s="527" t="s">
        <v>202</v>
      </c>
      <c r="AN278" s="57" t="s">
        <v>203</v>
      </c>
      <c r="AO278" s="57"/>
      <c r="AP278" s="527" t="s">
        <v>202</v>
      </c>
      <c r="AQ278" s="57" t="s">
        <v>203</v>
      </c>
      <c r="AR278" s="57"/>
      <c r="AS278" s="527" t="s">
        <v>202</v>
      </c>
      <c r="AT278" s="57" t="s">
        <v>203</v>
      </c>
      <c r="AU278" s="57"/>
      <c r="AV278" s="527" t="s">
        <v>202</v>
      </c>
      <c r="AW278" s="57" t="s">
        <v>203</v>
      </c>
      <c r="AX278" s="57"/>
      <c r="AY278" s="527" t="s">
        <v>202</v>
      </c>
      <c r="AZ278" s="57" t="s">
        <v>203</v>
      </c>
    </row>
    <row r="279" spans="1:55" x14ac:dyDescent="0.3">
      <c r="A279" s="364">
        <v>0.2</v>
      </c>
      <c r="B279" s="310">
        <f>$I$68</f>
        <v>0.8</v>
      </c>
      <c r="C279" s="56">
        <f t="shared" ref="C279:C285" si="468">$C$278*$A279</f>
        <v>390720.54249999998</v>
      </c>
      <c r="D279" s="56">
        <f>$D$278*$B279</f>
        <v>15467.83</v>
      </c>
      <c r="E279" s="364"/>
      <c r="F279" s="52"/>
      <c r="G279" s="52"/>
      <c r="H279" s="28"/>
      <c r="I279" s="529">
        <f>(C279*$P$193*$V$10)</f>
        <v>23862.967442697493</v>
      </c>
      <c r="J279" s="49"/>
      <c r="K279" s="49"/>
      <c r="L279" s="529">
        <f>(D279*$P$238*$U$55)</f>
        <v>14036.765389250621</v>
      </c>
      <c r="M279" s="49"/>
      <c r="N279" s="530"/>
      <c r="O279" s="529">
        <f>(C279*$P$193*$V$13)</f>
        <v>9202.822607705375</v>
      </c>
      <c r="P279" s="49"/>
      <c r="Q279" s="530"/>
      <c r="R279" s="529">
        <f>(D279*$P$238*$U$58)</f>
        <v>5413.3192853507735</v>
      </c>
      <c r="S279" s="49"/>
      <c r="T279" s="530"/>
      <c r="U279" s="529">
        <f>(C279*$P$193*$V$16)</f>
        <v>2393.2972150967344</v>
      </c>
      <c r="V279" s="49"/>
      <c r="W279" s="530"/>
      <c r="X279" s="529">
        <f>(D279*$P$238*$U$61)</f>
        <v>2023.2964658679778</v>
      </c>
      <c r="Y279" s="49"/>
      <c r="AA279" s="670"/>
      <c r="AB279" s="583">
        <v>0.2</v>
      </c>
      <c r="AC279" s="310">
        <f>$I$68</f>
        <v>0.8</v>
      </c>
      <c r="AD279" s="56">
        <f>$AD$278*$A279</f>
        <v>390720.54249999998</v>
      </c>
      <c r="AE279" s="56">
        <f>$AE$278*$B279</f>
        <v>15467.83</v>
      </c>
      <c r="AF279" s="583"/>
      <c r="AG279" s="52"/>
      <c r="AH279" s="52"/>
      <c r="AI279" s="28"/>
      <c r="AJ279" s="529">
        <f>(AD279*$AQ$193*$AW$10)</f>
        <v>12258.297948337264</v>
      </c>
      <c r="AK279" s="49"/>
      <c r="AL279" s="530"/>
      <c r="AM279" s="529">
        <f>(AE279*$AQ$238*$AV$55)</f>
        <v>7210.6226011299195</v>
      </c>
      <c r="AN279" s="49"/>
      <c r="AO279" s="530"/>
      <c r="AP279" s="529">
        <f>(AD279*$AQ$193*$AW$13)</f>
        <v>5003.5230722876313</v>
      </c>
      <c r="AQ279" s="49"/>
      <c r="AR279" s="530"/>
      <c r="AS279" s="529">
        <f>(AE279*$AQ$238*$AV$58)</f>
        <v>2943.1913551429175</v>
      </c>
      <c r="AT279" s="49"/>
      <c r="AU279" s="530"/>
      <c r="AV279" s="529">
        <f>(AD279*$AQ$193*$AW$16)</f>
        <v>466.41292704851554</v>
      </c>
      <c r="AW279" s="49"/>
      <c r="AX279" s="530"/>
      <c r="AY279" s="529">
        <f>(AE279*$AQ$238*$AV$61)</f>
        <v>394.30607321968364</v>
      </c>
      <c r="AZ279" s="49"/>
    </row>
    <row r="280" spans="1:55" x14ac:dyDescent="0.3">
      <c r="A280" s="364">
        <f>A279+0.1</f>
        <v>0.30000000000000004</v>
      </c>
      <c r="B280" s="310">
        <f t="shared" ref="B280:B285" si="469">$I$68</f>
        <v>0.8</v>
      </c>
      <c r="C280" s="56">
        <f t="shared" si="468"/>
        <v>586080.81375000009</v>
      </c>
      <c r="D280" s="56">
        <f t="shared" ref="D280:D294" si="470">$D$278*$B280</f>
        <v>15467.83</v>
      </c>
      <c r="E280" s="56"/>
      <c r="F280" s="52"/>
      <c r="G280" s="52"/>
      <c r="I280" s="529">
        <f t="shared" ref="I280:I285" si="471">(C280*$P$193*$V$10)</f>
        <v>35794.451164046244</v>
      </c>
      <c r="J280" s="49"/>
      <c r="K280" s="530"/>
      <c r="L280" s="529">
        <f t="shared" ref="L280:L285" si="472">(D280*$P$238*$U$55)</f>
        <v>14036.765389250621</v>
      </c>
      <c r="M280" s="49"/>
      <c r="N280" s="530"/>
      <c r="O280" s="529">
        <f t="shared" ref="O280:O285" si="473">(C280*$P$193*$V$13)</f>
        <v>13804.233911558063</v>
      </c>
      <c r="P280" s="49"/>
      <c r="Q280" s="530"/>
      <c r="R280" s="529">
        <f t="shared" ref="R280:R285" si="474">(D280*$P$238*$U$58)</f>
        <v>5413.3192853507735</v>
      </c>
      <c r="S280" s="49"/>
      <c r="T280" s="530"/>
      <c r="U280" s="529">
        <f t="shared" ref="U280:U285" si="475">(C280*$P$193*$V$16)</f>
        <v>3589.945822645102</v>
      </c>
      <c r="V280" s="49"/>
      <c r="W280" s="530"/>
      <c r="X280" s="529">
        <f t="shared" ref="X280:X285" si="476">(D280*$P$238*$U$61)</f>
        <v>2023.2964658679778</v>
      </c>
      <c r="Y280" s="49"/>
      <c r="AA280" s="670"/>
      <c r="AB280" s="583">
        <f>AB279+0.1</f>
        <v>0.30000000000000004</v>
      </c>
      <c r="AC280" s="310">
        <f t="shared" ref="AC280:AC285" si="477">$I$68</f>
        <v>0.8</v>
      </c>
      <c r="AD280" s="56">
        <f t="shared" ref="AD280:AD285" si="478">$AD$278*$A280</f>
        <v>586080.81375000009</v>
      </c>
      <c r="AE280" s="56">
        <f t="shared" ref="AE280:AE285" si="479">$AE$278*$B280</f>
        <v>15467.83</v>
      </c>
      <c r="AF280" s="56"/>
      <c r="AG280" s="52"/>
      <c r="AH280" s="52"/>
      <c r="AJ280" s="529">
        <f t="shared" ref="AJ280:AJ285" si="480">(AD280*$AQ$193*$AW$10)</f>
        <v>18387.4469225059</v>
      </c>
      <c r="AK280" s="49"/>
      <c r="AL280" s="530"/>
      <c r="AM280" s="529">
        <f t="shared" ref="AM280:AM285" si="481">(AE280*$AQ$238*$AV$55)</f>
        <v>7210.6226011299195</v>
      </c>
      <c r="AN280" s="49"/>
      <c r="AO280" s="530"/>
      <c r="AP280" s="529">
        <f t="shared" ref="AP280:AP285" si="482">(AD280*$AQ$193*$AW$13)</f>
        <v>7505.2846084314479</v>
      </c>
      <c r="AQ280" s="49"/>
      <c r="AR280" s="530"/>
      <c r="AS280" s="529">
        <f t="shared" ref="AS280:AS285" si="483">(AE280*$AQ$238*$AV$58)</f>
        <v>2943.1913551429175</v>
      </c>
      <c r="AT280" s="49"/>
      <c r="AU280" s="530"/>
      <c r="AV280" s="529">
        <f t="shared" ref="AV280:AV285" si="484">(AD280*$AQ$193*$AW$16)</f>
        <v>699.61939057277334</v>
      </c>
      <c r="AW280" s="49"/>
      <c r="AX280" s="530"/>
      <c r="AY280" s="529">
        <f t="shared" ref="AY280:AY285" si="485">(AE280*$AQ$238*$AV$61)</f>
        <v>394.30607321968364</v>
      </c>
      <c r="AZ280" s="49"/>
    </row>
    <row r="281" spans="1:55" x14ac:dyDescent="0.3">
      <c r="A281" s="364">
        <f t="shared" ref="A281:A285" si="486">A280+0.1</f>
        <v>0.4</v>
      </c>
      <c r="B281" s="310">
        <f t="shared" si="469"/>
        <v>0.8</v>
      </c>
      <c r="C281" s="56">
        <f t="shared" si="468"/>
        <v>781441.08499999996</v>
      </c>
      <c r="D281" s="56">
        <f t="shared" si="470"/>
        <v>15467.83</v>
      </c>
      <c r="E281" s="301"/>
      <c r="F281" s="52"/>
      <c r="G281" s="52"/>
      <c r="I281" s="529">
        <f t="shared" si="471"/>
        <v>47725.934885394985</v>
      </c>
      <c r="J281" s="49"/>
      <c r="K281" s="530"/>
      <c r="L281" s="529">
        <f t="shared" si="472"/>
        <v>14036.765389250621</v>
      </c>
      <c r="M281" s="49"/>
      <c r="N281" s="530"/>
      <c r="O281" s="529">
        <f t="shared" si="473"/>
        <v>18405.64521541075</v>
      </c>
      <c r="P281" s="49"/>
      <c r="Q281" s="530"/>
      <c r="R281" s="529">
        <f t="shared" si="474"/>
        <v>5413.3192853507735</v>
      </c>
      <c r="S281" s="49"/>
      <c r="T281" s="530"/>
      <c r="U281" s="529">
        <f t="shared" si="475"/>
        <v>4786.5944301934687</v>
      </c>
      <c r="V281" s="49"/>
      <c r="W281" s="530"/>
      <c r="X281" s="529">
        <f t="shared" si="476"/>
        <v>2023.2964658679778</v>
      </c>
      <c r="Y281" s="49"/>
      <c r="AA281" s="670"/>
      <c r="AB281" s="583">
        <f t="shared" ref="AB281:AB285" si="487">AB280+0.1</f>
        <v>0.4</v>
      </c>
      <c r="AC281" s="310">
        <f t="shared" si="477"/>
        <v>0.8</v>
      </c>
      <c r="AD281" s="56">
        <f t="shared" si="478"/>
        <v>781441.08499999996</v>
      </c>
      <c r="AE281" s="56">
        <f t="shared" si="479"/>
        <v>15467.83</v>
      </c>
      <c r="AF281" s="301"/>
      <c r="AG281" s="52"/>
      <c r="AH281" s="52"/>
      <c r="AJ281" s="529">
        <f t="shared" si="480"/>
        <v>24516.595896674527</v>
      </c>
      <c r="AK281" s="49"/>
      <c r="AL281" s="530"/>
      <c r="AM281" s="529">
        <f t="shared" si="481"/>
        <v>7210.6226011299195</v>
      </c>
      <c r="AN281" s="49"/>
      <c r="AO281" s="530"/>
      <c r="AP281" s="529">
        <f t="shared" si="482"/>
        <v>10007.046144575263</v>
      </c>
      <c r="AQ281" s="49"/>
      <c r="AR281" s="530"/>
      <c r="AS281" s="529">
        <f t="shared" si="483"/>
        <v>2943.1913551429175</v>
      </c>
      <c r="AT281" s="49"/>
      <c r="AU281" s="530"/>
      <c r="AV281" s="529">
        <f t="shared" si="484"/>
        <v>932.82585409703108</v>
      </c>
      <c r="AW281" s="49"/>
      <c r="AX281" s="530"/>
      <c r="AY281" s="529">
        <f t="shared" si="485"/>
        <v>394.30607321968364</v>
      </c>
      <c r="AZ281" s="49"/>
    </row>
    <row r="282" spans="1:55" x14ac:dyDescent="0.3">
      <c r="A282" s="364">
        <f t="shared" si="486"/>
        <v>0.5</v>
      </c>
      <c r="B282" s="310">
        <f t="shared" si="469"/>
        <v>0.8</v>
      </c>
      <c r="C282" s="56">
        <f t="shared" si="468"/>
        <v>976801.35624999995</v>
      </c>
      <c r="D282" s="56">
        <f t="shared" si="470"/>
        <v>15467.83</v>
      </c>
      <c r="E282" s="364"/>
      <c r="F282" s="52"/>
      <c r="G282" s="52"/>
      <c r="I282" s="529">
        <f t="shared" si="471"/>
        <v>59657.418606743733</v>
      </c>
      <c r="J282" s="49"/>
      <c r="K282" s="530"/>
      <c r="L282" s="529">
        <f t="shared" si="472"/>
        <v>14036.765389250621</v>
      </c>
      <c r="M282" s="49"/>
      <c r="N282" s="530"/>
      <c r="O282" s="529">
        <f t="shared" si="473"/>
        <v>23007.056519263439</v>
      </c>
      <c r="P282" s="49"/>
      <c r="Q282" s="530"/>
      <c r="R282" s="529">
        <f t="shared" si="474"/>
        <v>5413.3192853507735</v>
      </c>
      <c r="S282" s="49"/>
      <c r="T282" s="530"/>
      <c r="U282" s="529">
        <f t="shared" si="475"/>
        <v>5983.2430377418359</v>
      </c>
      <c r="V282" s="49"/>
      <c r="W282" s="530"/>
      <c r="X282" s="529">
        <f t="shared" si="476"/>
        <v>2023.2964658679778</v>
      </c>
      <c r="Y282" s="49"/>
      <c r="AA282" s="670"/>
      <c r="AB282" s="583">
        <f t="shared" si="487"/>
        <v>0.5</v>
      </c>
      <c r="AC282" s="310">
        <f t="shared" si="477"/>
        <v>0.8</v>
      </c>
      <c r="AD282" s="56">
        <f t="shared" si="478"/>
        <v>976801.35624999995</v>
      </c>
      <c r="AE282" s="56">
        <f t="shared" si="479"/>
        <v>15467.83</v>
      </c>
      <c r="AF282" s="583"/>
      <c r="AG282" s="52"/>
      <c r="AH282" s="52"/>
      <c r="AJ282" s="529">
        <f t="shared" si="480"/>
        <v>30645.744870843158</v>
      </c>
      <c r="AK282" s="49"/>
      <c r="AL282" s="530"/>
      <c r="AM282" s="529">
        <f t="shared" si="481"/>
        <v>7210.6226011299195</v>
      </c>
      <c r="AN282" s="49"/>
      <c r="AO282" s="530"/>
      <c r="AP282" s="529">
        <f t="shared" si="482"/>
        <v>12508.807680719077</v>
      </c>
      <c r="AQ282" s="49"/>
      <c r="AR282" s="530"/>
      <c r="AS282" s="529">
        <f t="shared" si="483"/>
        <v>2943.1913551429175</v>
      </c>
      <c r="AT282" s="49"/>
      <c r="AU282" s="530"/>
      <c r="AV282" s="529">
        <f t="shared" si="484"/>
        <v>1166.0323176212887</v>
      </c>
      <c r="AW282" s="49"/>
      <c r="AX282" s="530"/>
      <c r="AY282" s="529">
        <f t="shared" si="485"/>
        <v>394.30607321968364</v>
      </c>
      <c r="AZ282" s="49"/>
    </row>
    <row r="283" spans="1:55" x14ac:dyDescent="0.3">
      <c r="A283" s="364">
        <f t="shared" si="486"/>
        <v>0.6</v>
      </c>
      <c r="B283" s="310">
        <f t="shared" si="469"/>
        <v>0.8</v>
      </c>
      <c r="C283" s="56">
        <f t="shared" si="468"/>
        <v>1172161.6274999999</v>
      </c>
      <c r="D283" s="56">
        <f t="shared" si="470"/>
        <v>15467.83</v>
      </c>
      <c r="E283" s="364"/>
      <c r="F283" s="52"/>
      <c r="G283" s="52"/>
      <c r="I283" s="529">
        <f t="shared" si="471"/>
        <v>71588.902328092474</v>
      </c>
      <c r="J283" s="49"/>
      <c r="K283" s="530"/>
      <c r="L283" s="529">
        <f t="shared" si="472"/>
        <v>14036.765389250621</v>
      </c>
      <c r="M283" s="49"/>
      <c r="N283" s="530"/>
      <c r="O283" s="529">
        <f t="shared" si="473"/>
        <v>27608.46782311612</v>
      </c>
      <c r="P283" s="49"/>
      <c r="Q283" s="530"/>
      <c r="R283" s="529">
        <f t="shared" si="474"/>
        <v>5413.3192853507735</v>
      </c>
      <c r="S283" s="49"/>
      <c r="T283" s="530"/>
      <c r="U283" s="529">
        <f t="shared" si="475"/>
        <v>7179.8916452902013</v>
      </c>
      <c r="V283" s="49"/>
      <c r="W283" s="530"/>
      <c r="X283" s="529">
        <f t="shared" si="476"/>
        <v>2023.2964658679778</v>
      </c>
      <c r="Y283" s="49"/>
      <c r="AA283" s="670"/>
      <c r="AB283" s="583">
        <f t="shared" si="487"/>
        <v>0.6</v>
      </c>
      <c r="AC283" s="310">
        <f t="shared" si="477"/>
        <v>0.8</v>
      </c>
      <c r="AD283" s="56">
        <f t="shared" si="478"/>
        <v>1172161.6274999999</v>
      </c>
      <c r="AE283" s="56">
        <f t="shared" si="479"/>
        <v>15467.83</v>
      </c>
      <c r="AF283" s="583"/>
      <c r="AG283" s="52"/>
      <c r="AH283" s="52"/>
      <c r="AJ283" s="529">
        <f t="shared" si="480"/>
        <v>36774.893845011786</v>
      </c>
      <c r="AK283" s="49"/>
      <c r="AL283" s="530"/>
      <c r="AM283" s="529">
        <f t="shared" si="481"/>
        <v>7210.6226011299195</v>
      </c>
      <c r="AN283" s="49"/>
      <c r="AO283" s="530"/>
      <c r="AP283" s="529">
        <f t="shared" si="482"/>
        <v>15010.56921686289</v>
      </c>
      <c r="AQ283" s="49"/>
      <c r="AR283" s="530"/>
      <c r="AS283" s="529">
        <f t="shared" si="483"/>
        <v>2943.1913551429175</v>
      </c>
      <c r="AT283" s="49"/>
      <c r="AU283" s="530"/>
      <c r="AV283" s="529">
        <f t="shared" si="484"/>
        <v>1399.2387811455465</v>
      </c>
      <c r="AW283" s="49"/>
      <c r="AX283" s="530"/>
      <c r="AY283" s="529">
        <f t="shared" si="485"/>
        <v>394.30607321968364</v>
      </c>
      <c r="AZ283" s="49"/>
    </row>
    <row r="284" spans="1:55" x14ac:dyDescent="0.3">
      <c r="A284" s="364">
        <f t="shared" si="486"/>
        <v>0.7</v>
      </c>
      <c r="B284" s="310">
        <f t="shared" si="469"/>
        <v>0.8</v>
      </c>
      <c r="C284" s="56">
        <f t="shared" si="468"/>
        <v>1367521.8987499999</v>
      </c>
      <c r="D284" s="56">
        <f t="shared" si="470"/>
        <v>15467.83</v>
      </c>
      <c r="E284" s="364"/>
      <c r="F284" s="52"/>
      <c r="G284" s="52"/>
      <c r="I284" s="529">
        <f t="shared" si="471"/>
        <v>83520.386049441222</v>
      </c>
      <c r="J284" s="49"/>
      <c r="K284" s="530"/>
      <c r="L284" s="529">
        <f t="shared" si="472"/>
        <v>14036.765389250621</v>
      </c>
      <c r="M284" s="49"/>
      <c r="N284" s="530"/>
      <c r="O284" s="529">
        <f t="shared" si="473"/>
        <v>32209.879126968808</v>
      </c>
      <c r="P284" s="49"/>
      <c r="Q284" s="530"/>
      <c r="R284" s="529">
        <f t="shared" si="474"/>
        <v>5413.3192853507735</v>
      </c>
      <c r="S284" s="49"/>
      <c r="T284" s="530"/>
      <c r="U284" s="529">
        <f t="shared" si="475"/>
        <v>8376.5402528385694</v>
      </c>
      <c r="V284" s="49"/>
      <c r="W284" s="530"/>
      <c r="X284" s="529">
        <f t="shared" si="476"/>
        <v>2023.2964658679778</v>
      </c>
      <c r="Y284" s="49"/>
      <c r="AA284" s="670"/>
      <c r="AB284" s="583">
        <f t="shared" si="487"/>
        <v>0.7</v>
      </c>
      <c r="AC284" s="310">
        <f t="shared" si="477"/>
        <v>0.8</v>
      </c>
      <c r="AD284" s="56">
        <f t="shared" si="478"/>
        <v>1367521.8987499999</v>
      </c>
      <c r="AE284" s="56">
        <f t="shared" si="479"/>
        <v>15467.83</v>
      </c>
      <c r="AF284" s="583"/>
      <c r="AG284" s="52"/>
      <c r="AH284" s="52"/>
      <c r="AJ284" s="529">
        <f t="shared" si="480"/>
        <v>42904.042819180417</v>
      </c>
      <c r="AK284" s="49"/>
      <c r="AL284" s="530"/>
      <c r="AM284" s="529">
        <f t="shared" si="481"/>
        <v>7210.6226011299195</v>
      </c>
      <c r="AN284" s="49"/>
      <c r="AO284" s="530"/>
      <c r="AP284" s="529">
        <f t="shared" si="482"/>
        <v>17512.330753006707</v>
      </c>
      <c r="AQ284" s="49"/>
      <c r="AR284" s="530"/>
      <c r="AS284" s="529">
        <f t="shared" si="483"/>
        <v>2943.1913551429175</v>
      </c>
      <c r="AT284" s="49"/>
      <c r="AU284" s="530"/>
      <c r="AV284" s="529">
        <f t="shared" si="484"/>
        <v>1632.4452446698042</v>
      </c>
      <c r="AW284" s="49"/>
      <c r="AX284" s="530"/>
      <c r="AY284" s="529">
        <f t="shared" si="485"/>
        <v>394.30607321968364</v>
      </c>
      <c r="AZ284" s="49"/>
    </row>
    <row r="285" spans="1:55" x14ac:dyDescent="0.3">
      <c r="A285" s="364">
        <f t="shared" si="486"/>
        <v>0.79999999999999993</v>
      </c>
      <c r="B285" s="310">
        <f t="shared" si="469"/>
        <v>0.8</v>
      </c>
      <c r="C285" s="56">
        <f t="shared" si="468"/>
        <v>1562882.1699999997</v>
      </c>
      <c r="D285" s="56">
        <f t="shared" si="470"/>
        <v>15467.83</v>
      </c>
      <c r="E285" s="364"/>
      <c r="F285" s="52"/>
      <c r="G285" s="52"/>
      <c r="I285" s="529">
        <f t="shared" si="471"/>
        <v>95451.869770789956</v>
      </c>
      <c r="J285" s="49"/>
      <c r="K285" s="530"/>
      <c r="L285" s="529">
        <f t="shared" si="472"/>
        <v>14036.765389250621</v>
      </c>
      <c r="M285" s="49"/>
      <c r="N285" s="530"/>
      <c r="O285" s="529">
        <f t="shared" si="473"/>
        <v>36811.290430821493</v>
      </c>
      <c r="P285" s="49"/>
      <c r="Q285" s="530"/>
      <c r="R285" s="529">
        <f t="shared" si="474"/>
        <v>5413.3192853507735</v>
      </c>
      <c r="S285" s="49"/>
      <c r="T285" s="530"/>
      <c r="U285" s="529">
        <f t="shared" si="475"/>
        <v>9573.1888603869356</v>
      </c>
      <c r="V285" s="49"/>
      <c r="W285" s="530"/>
      <c r="X285" s="529">
        <f t="shared" si="476"/>
        <v>2023.2964658679778</v>
      </c>
      <c r="Y285" s="49"/>
      <c r="AA285" s="670"/>
      <c r="AB285" s="583">
        <f t="shared" si="487"/>
        <v>0.79999999999999993</v>
      </c>
      <c r="AC285" s="310">
        <f t="shared" si="477"/>
        <v>0.8</v>
      </c>
      <c r="AD285" s="56">
        <f t="shared" si="478"/>
        <v>1562882.1699999997</v>
      </c>
      <c r="AE285" s="56">
        <f t="shared" si="479"/>
        <v>15467.83</v>
      </c>
      <c r="AF285" s="583"/>
      <c r="AG285" s="52"/>
      <c r="AH285" s="52"/>
      <c r="AJ285" s="529">
        <f t="shared" si="480"/>
        <v>49033.191793349048</v>
      </c>
      <c r="AK285" s="49"/>
      <c r="AL285" s="530"/>
      <c r="AM285" s="529">
        <f t="shared" si="481"/>
        <v>7210.6226011299195</v>
      </c>
      <c r="AN285" s="49"/>
      <c r="AO285" s="530"/>
      <c r="AP285" s="529">
        <f t="shared" si="482"/>
        <v>20014.092289150522</v>
      </c>
      <c r="AQ285" s="49"/>
      <c r="AR285" s="530"/>
      <c r="AS285" s="529">
        <f t="shared" si="483"/>
        <v>2943.1913551429175</v>
      </c>
      <c r="AT285" s="49"/>
      <c r="AU285" s="530"/>
      <c r="AV285" s="529">
        <f t="shared" si="484"/>
        <v>1865.6517081940617</v>
      </c>
      <c r="AW285" s="49"/>
      <c r="AX285" s="530"/>
      <c r="AY285" s="529">
        <f t="shared" si="485"/>
        <v>394.30607321968364</v>
      </c>
      <c r="AZ285" s="49"/>
    </row>
    <row r="286" spans="1:55" x14ac:dyDescent="0.3">
      <c r="A286" s="1110" t="s">
        <v>230</v>
      </c>
      <c r="B286" s="1110" t="s">
        <v>231</v>
      </c>
      <c r="C286" s="364"/>
      <c r="D286" s="56"/>
      <c r="E286" s="364"/>
      <c r="F286" s="52"/>
      <c r="G286" s="52"/>
      <c r="I286" s="528"/>
      <c r="J286" s="528"/>
      <c r="K286" s="57"/>
      <c r="L286" s="528"/>
      <c r="M286" s="532"/>
      <c r="N286" s="57"/>
      <c r="O286" s="528"/>
      <c r="P286" s="532"/>
      <c r="Q286" s="57"/>
      <c r="R286" s="528"/>
      <c r="S286" s="532"/>
      <c r="T286" s="57"/>
      <c r="U286" s="528"/>
      <c r="V286" s="532"/>
      <c r="W286" s="57"/>
      <c r="X286" s="528"/>
      <c r="Y286" s="532"/>
      <c r="AA286" s="670"/>
      <c r="AB286" s="1110" t="s">
        <v>230</v>
      </c>
      <c r="AC286" s="1110" t="s">
        <v>231</v>
      </c>
      <c r="AD286" s="583"/>
      <c r="AE286" s="56"/>
      <c r="AF286" s="583"/>
      <c r="AG286" s="52"/>
      <c r="AH286" s="52"/>
      <c r="AJ286" s="528"/>
      <c r="AK286" s="528"/>
      <c r="AL286" s="57"/>
      <c r="AM286" s="528"/>
      <c r="AN286" s="532"/>
      <c r="AO286" s="57"/>
      <c r="AP286" s="528"/>
      <c r="AQ286" s="532"/>
      <c r="AR286" s="57"/>
      <c r="AS286" s="528"/>
      <c r="AT286" s="532"/>
      <c r="AU286" s="57"/>
      <c r="AV286" s="528"/>
      <c r="AW286" s="532"/>
      <c r="AX286" s="57"/>
      <c r="AY286" s="528"/>
      <c r="AZ286" s="532"/>
    </row>
    <row r="287" spans="1:55" x14ac:dyDescent="0.3">
      <c r="A287" s="1110"/>
      <c r="B287" s="1110"/>
      <c r="C287" s="364"/>
      <c r="D287" s="56"/>
      <c r="E287" s="364"/>
      <c r="F287" s="52"/>
      <c r="G287" s="52"/>
      <c r="I287" s="528"/>
      <c r="J287" s="528"/>
      <c r="K287" s="57"/>
      <c r="L287" s="528"/>
      <c r="M287" s="532"/>
      <c r="N287" s="57"/>
      <c r="O287" s="528"/>
      <c r="P287" s="532"/>
      <c r="Q287" s="57"/>
      <c r="R287" s="528"/>
      <c r="S287" s="532"/>
      <c r="T287" s="57"/>
      <c r="U287" s="528"/>
      <c r="V287" s="532"/>
      <c r="W287" s="57"/>
      <c r="X287" s="528"/>
      <c r="Y287" s="532"/>
      <c r="AA287" s="670"/>
      <c r="AB287" s="1110"/>
      <c r="AC287" s="1110"/>
      <c r="AD287" s="583"/>
      <c r="AE287" s="56"/>
      <c r="AF287" s="583"/>
      <c r="AG287" s="52"/>
      <c r="AH287" s="52"/>
      <c r="AJ287" s="528"/>
      <c r="AK287" s="528"/>
      <c r="AL287" s="57"/>
      <c r="AM287" s="528"/>
      <c r="AN287" s="532"/>
      <c r="AO287" s="57"/>
      <c r="AP287" s="528"/>
      <c r="AQ287" s="532"/>
      <c r="AR287" s="57"/>
      <c r="AS287" s="528"/>
      <c r="AT287" s="532"/>
      <c r="AU287" s="57"/>
      <c r="AV287" s="528"/>
      <c r="AW287" s="532"/>
      <c r="AX287" s="57"/>
      <c r="AY287" s="528"/>
      <c r="AZ287" s="532"/>
    </row>
    <row r="288" spans="1:55" x14ac:dyDescent="0.3">
      <c r="A288" s="364">
        <f>1-A279</f>
        <v>0.8</v>
      </c>
      <c r="B288" s="310">
        <f>1-B279</f>
        <v>0.19999999999999996</v>
      </c>
      <c r="C288" s="56">
        <f t="shared" ref="C288:C294" si="488">$C$278*$A288</f>
        <v>1562882.17</v>
      </c>
      <c r="D288" s="56">
        <f t="shared" si="470"/>
        <v>3866.9574999999991</v>
      </c>
      <c r="E288" s="364"/>
      <c r="F288" s="52"/>
      <c r="G288" s="52"/>
      <c r="I288" s="529"/>
      <c r="J288" s="49"/>
      <c r="K288" s="57"/>
      <c r="L288" s="528"/>
      <c r="M288" s="533"/>
      <c r="N288" s="57"/>
      <c r="O288" s="528"/>
      <c r="P288" s="533"/>
      <c r="Q288" s="57"/>
      <c r="R288" s="528"/>
      <c r="S288" s="533"/>
      <c r="T288" s="57"/>
      <c r="U288" s="528"/>
      <c r="V288" s="533"/>
      <c r="W288" s="57"/>
      <c r="X288" s="528"/>
      <c r="Y288" s="533"/>
      <c r="AA288" s="670"/>
      <c r="AB288" s="583">
        <f>1-AB279</f>
        <v>0.8</v>
      </c>
      <c r="AC288" s="310">
        <f>1-AC279</f>
        <v>0.19999999999999996</v>
      </c>
      <c r="AD288" s="56">
        <f>$AD$278*$A288</f>
        <v>1562882.17</v>
      </c>
      <c r="AE288" s="56">
        <f>$AE$278*$B288</f>
        <v>3866.9574999999991</v>
      </c>
      <c r="AF288" s="583"/>
      <c r="AG288" s="52"/>
      <c r="AH288" s="52"/>
      <c r="AJ288" s="529"/>
      <c r="AK288" s="49"/>
      <c r="AL288" s="57"/>
      <c r="AM288" s="528"/>
      <c r="AN288" s="533"/>
      <c r="AO288" s="57"/>
      <c r="AP288" s="528"/>
      <c r="AQ288" s="533"/>
      <c r="AR288" s="57"/>
      <c r="AS288" s="528"/>
      <c r="AT288" s="533"/>
      <c r="AU288" s="57"/>
      <c r="AV288" s="528"/>
      <c r="AW288" s="533"/>
      <c r="AX288" s="57"/>
      <c r="AY288" s="528"/>
      <c r="AZ288" s="533"/>
    </row>
    <row r="289" spans="1:52" x14ac:dyDescent="0.3">
      <c r="A289" s="364">
        <f t="shared" ref="A289:B294" si="489">1-A280</f>
        <v>0.7</v>
      </c>
      <c r="B289" s="310">
        <f t="shared" si="489"/>
        <v>0.19999999999999996</v>
      </c>
      <c r="C289" s="56">
        <f t="shared" si="488"/>
        <v>1367521.8987499999</v>
      </c>
      <c r="D289" s="56">
        <f t="shared" si="470"/>
        <v>3866.9574999999991</v>
      </c>
      <c r="E289" s="364"/>
      <c r="F289" s="52"/>
      <c r="G289" s="52"/>
      <c r="I289" s="529"/>
      <c r="J289" s="49"/>
      <c r="K289" s="57"/>
      <c r="L289" s="528"/>
      <c r="M289" s="533"/>
      <c r="N289" s="57"/>
      <c r="O289" s="528"/>
      <c r="P289" s="533"/>
      <c r="Q289" s="57"/>
      <c r="R289" s="528"/>
      <c r="S289" s="533"/>
      <c r="T289" s="57"/>
      <c r="U289" s="528"/>
      <c r="V289" s="533"/>
      <c r="W289" s="57"/>
      <c r="X289" s="528"/>
      <c r="Y289" s="533"/>
      <c r="AA289" s="670"/>
      <c r="AB289" s="583">
        <f t="shared" ref="AB289:AC289" si="490">1-AB280</f>
        <v>0.7</v>
      </c>
      <c r="AC289" s="310">
        <f t="shared" si="490"/>
        <v>0.19999999999999996</v>
      </c>
      <c r="AD289" s="56">
        <f t="shared" ref="AD289:AD294" si="491">$AD$278*$A289</f>
        <v>1367521.8987499999</v>
      </c>
      <c r="AE289" s="56">
        <f t="shared" ref="AE289:AE294" si="492">$AE$278*$B289</f>
        <v>3866.9574999999991</v>
      </c>
      <c r="AF289" s="583"/>
      <c r="AG289" s="52"/>
      <c r="AH289" s="52"/>
      <c r="AJ289" s="529"/>
      <c r="AK289" s="49"/>
      <c r="AL289" s="57"/>
      <c r="AM289" s="528"/>
      <c r="AN289" s="533"/>
      <c r="AO289" s="57"/>
      <c r="AP289" s="528"/>
      <c r="AQ289" s="533"/>
      <c r="AR289" s="57"/>
      <c r="AS289" s="528"/>
      <c r="AT289" s="533"/>
      <c r="AU289" s="57"/>
      <c r="AV289" s="528"/>
      <c r="AW289" s="533"/>
      <c r="AX289" s="57"/>
      <c r="AY289" s="528"/>
      <c r="AZ289" s="533"/>
    </row>
    <row r="290" spans="1:52" x14ac:dyDescent="0.3">
      <c r="A290" s="364">
        <f t="shared" si="489"/>
        <v>0.6</v>
      </c>
      <c r="B290" s="310">
        <f t="shared" si="489"/>
        <v>0.19999999999999996</v>
      </c>
      <c r="C290" s="56">
        <f t="shared" si="488"/>
        <v>1172161.6274999999</v>
      </c>
      <c r="D290" s="56">
        <f t="shared" si="470"/>
        <v>3866.9574999999991</v>
      </c>
      <c r="F290" s="52"/>
      <c r="G290" s="52"/>
      <c r="I290" s="529"/>
      <c r="J290" s="49"/>
      <c r="K290" s="57"/>
      <c r="L290" s="528"/>
      <c r="M290" s="533"/>
      <c r="N290" s="57"/>
      <c r="O290" s="528"/>
      <c r="P290" s="533"/>
      <c r="Q290" s="57"/>
      <c r="R290" s="528"/>
      <c r="S290" s="533"/>
      <c r="T290" s="57"/>
      <c r="U290" s="528"/>
      <c r="V290" s="533"/>
      <c r="W290" s="57"/>
      <c r="X290" s="528"/>
      <c r="Y290" s="533"/>
      <c r="AA290" s="670"/>
      <c r="AB290" s="583">
        <f t="shared" ref="AB290:AC290" si="493">1-AB281</f>
        <v>0.6</v>
      </c>
      <c r="AC290" s="310">
        <f t="shared" si="493"/>
        <v>0.19999999999999996</v>
      </c>
      <c r="AD290" s="56">
        <f t="shared" si="491"/>
        <v>1172161.6274999999</v>
      </c>
      <c r="AE290" s="56">
        <f t="shared" si="492"/>
        <v>3866.9574999999991</v>
      </c>
      <c r="AG290" s="52"/>
      <c r="AH290" s="52"/>
      <c r="AJ290" s="529"/>
      <c r="AK290" s="49"/>
      <c r="AL290" s="57"/>
      <c r="AM290" s="528"/>
      <c r="AN290" s="533"/>
      <c r="AO290" s="57"/>
      <c r="AP290" s="528"/>
      <c r="AQ290" s="533"/>
      <c r="AR290" s="57"/>
      <c r="AS290" s="528"/>
      <c r="AT290" s="533"/>
      <c r="AU290" s="57"/>
      <c r="AV290" s="528"/>
      <c r="AW290" s="533"/>
      <c r="AX290" s="57"/>
      <c r="AY290" s="528"/>
      <c r="AZ290" s="533"/>
    </row>
    <row r="291" spans="1:52" x14ac:dyDescent="0.3">
      <c r="A291" s="364">
        <f t="shared" si="489"/>
        <v>0.5</v>
      </c>
      <c r="B291" s="310">
        <f t="shared" si="489"/>
        <v>0.19999999999999996</v>
      </c>
      <c r="C291" s="56">
        <f t="shared" si="488"/>
        <v>976801.35624999995</v>
      </c>
      <c r="D291" s="56">
        <f t="shared" si="470"/>
        <v>3866.9574999999991</v>
      </c>
      <c r="F291" s="52"/>
      <c r="G291" s="52"/>
      <c r="I291" s="529"/>
      <c r="J291" s="49"/>
      <c r="K291" s="57"/>
      <c r="L291" s="528"/>
      <c r="M291" s="533"/>
      <c r="N291" s="57"/>
      <c r="O291" s="528"/>
      <c r="P291" s="533"/>
      <c r="Q291" s="57"/>
      <c r="R291" s="528"/>
      <c r="S291" s="533"/>
      <c r="T291" s="57"/>
      <c r="U291" s="528"/>
      <c r="V291" s="533"/>
      <c r="W291" s="57"/>
      <c r="X291" s="528"/>
      <c r="Y291" s="533"/>
      <c r="AA291" s="670"/>
      <c r="AB291" s="583">
        <f t="shared" ref="AB291:AC291" si="494">1-AB282</f>
        <v>0.5</v>
      </c>
      <c r="AC291" s="310">
        <f t="shared" si="494"/>
        <v>0.19999999999999996</v>
      </c>
      <c r="AD291" s="56">
        <f t="shared" si="491"/>
        <v>976801.35624999995</v>
      </c>
      <c r="AE291" s="56">
        <f t="shared" si="492"/>
        <v>3866.9574999999991</v>
      </c>
      <c r="AG291" s="52"/>
      <c r="AH291" s="52"/>
      <c r="AJ291" s="529"/>
      <c r="AK291" s="49"/>
      <c r="AL291" s="57"/>
      <c r="AM291" s="528"/>
      <c r="AN291" s="533"/>
      <c r="AO291" s="57"/>
      <c r="AP291" s="528"/>
      <c r="AQ291" s="533"/>
      <c r="AR291" s="57"/>
      <c r="AS291" s="528"/>
      <c r="AT291" s="533"/>
      <c r="AU291" s="57"/>
      <c r="AV291" s="528"/>
      <c r="AW291" s="533"/>
      <c r="AX291" s="57"/>
      <c r="AY291" s="528"/>
      <c r="AZ291" s="533"/>
    </row>
    <row r="292" spans="1:52" x14ac:dyDescent="0.3">
      <c r="A292" s="364">
        <f t="shared" si="489"/>
        <v>0.4</v>
      </c>
      <c r="B292" s="310">
        <f t="shared" si="489"/>
        <v>0.19999999999999996</v>
      </c>
      <c r="C292" s="56">
        <f t="shared" si="488"/>
        <v>781441.08499999996</v>
      </c>
      <c r="D292" s="56">
        <f t="shared" si="470"/>
        <v>3866.9574999999991</v>
      </c>
      <c r="F292" s="52"/>
      <c r="G292" s="52"/>
      <c r="I292" s="529"/>
      <c r="J292" s="49"/>
      <c r="K292" s="57"/>
      <c r="L292" s="528"/>
      <c r="M292" s="533"/>
      <c r="N292" s="57"/>
      <c r="O292" s="528"/>
      <c r="P292" s="533"/>
      <c r="Q292" s="57"/>
      <c r="R292" s="528"/>
      <c r="S292" s="533"/>
      <c r="T292" s="57"/>
      <c r="U292" s="528"/>
      <c r="V292" s="533"/>
      <c r="W292" s="57"/>
      <c r="X292" s="528"/>
      <c r="Y292" s="533"/>
      <c r="AA292" s="670"/>
      <c r="AB292" s="583">
        <f t="shared" ref="AB292:AC292" si="495">1-AB283</f>
        <v>0.4</v>
      </c>
      <c r="AC292" s="310">
        <f t="shared" si="495"/>
        <v>0.19999999999999996</v>
      </c>
      <c r="AD292" s="56">
        <f t="shared" si="491"/>
        <v>781441.08499999996</v>
      </c>
      <c r="AE292" s="56">
        <f t="shared" si="492"/>
        <v>3866.9574999999991</v>
      </c>
      <c r="AG292" s="52"/>
      <c r="AH292" s="52"/>
      <c r="AJ292" s="529"/>
      <c r="AK292" s="49"/>
      <c r="AL292" s="57"/>
      <c r="AM292" s="528"/>
      <c r="AN292" s="533"/>
      <c r="AO292" s="57"/>
      <c r="AP292" s="528"/>
      <c r="AQ292" s="533"/>
      <c r="AR292" s="57"/>
      <c r="AS292" s="528"/>
      <c r="AT292" s="533"/>
      <c r="AU292" s="57"/>
      <c r="AV292" s="528"/>
      <c r="AW292" s="533"/>
      <c r="AX292" s="57"/>
      <c r="AY292" s="528"/>
      <c r="AZ292" s="533"/>
    </row>
    <row r="293" spans="1:52" x14ac:dyDescent="0.3">
      <c r="A293" s="364">
        <f t="shared" si="489"/>
        <v>0.30000000000000004</v>
      </c>
      <c r="B293" s="310">
        <f t="shared" si="489"/>
        <v>0.19999999999999996</v>
      </c>
      <c r="C293" s="56">
        <f t="shared" si="488"/>
        <v>586080.81375000009</v>
      </c>
      <c r="D293" s="56">
        <f t="shared" si="470"/>
        <v>3866.9574999999991</v>
      </c>
      <c r="F293" s="52"/>
      <c r="G293" s="52"/>
      <c r="I293" s="529"/>
      <c r="J293" s="49"/>
      <c r="K293" s="57"/>
      <c r="L293" s="528"/>
      <c r="M293" s="533"/>
      <c r="N293" s="57"/>
      <c r="O293" s="528"/>
      <c r="P293" s="533"/>
      <c r="Q293" s="57"/>
      <c r="R293" s="528"/>
      <c r="S293" s="533"/>
      <c r="T293" s="57"/>
      <c r="U293" s="528"/>
      <c r="V293" s="533"/>
      <c r="W293" s="57"/>
      <c r="X293" s="528"/>
      <c r="Y293" s="533"/>
      <c r="AA293" s="670"/>
      <c r="AB293" s="583">
        <f t="shared" ref="AB293:AC293" si="496">1-AB284</f>
        <v>0.30000000000000004</v>
      </c>
      <c r="AC293" s="310">
        <f t="shared" si="496"/>
        <v>0.19999999999999996</v>
      </c>
      <c r="AD293" s="56">
        <f t="shared" si="491"/>
        <v>586080.81375000009</v>
      </c>
      <c r="AE293" s="56">
        <f t="shared" si="492"/>
        <v>3866.9574999999991</v>
      </c>
      <c r="AG293" s="52"/>
      <c r="AH293" s="52"/>
      <c r="AJ293" s="529"/>
      <c r="AK293" s="49"/>
      <c r="AL293" s="57"/>
      <c r="AM293" s="528"/>
      <c r="AN293" s="533"/>
      <c r="AO293" s="57"/>
      <c r="AP293" s="528"/>
      <c r="AQ293" s="533"/>
      <c r="AR293" s="57"/>
      <c r="AS293" s="528"/>
      <c r="AT293" s="533"/>
      <c r="AU293" s="57"/>
      <c r="AV293" s="528"/>
      <c r="AW293" s="533"/>
      <c r="AX293" s="57"/>
      <c r="AY293" s="528"/>
      <c r="AZ293" s="533"/>
    </row>
    <row r="294" spans="1:52" x14ac:dyDescent="0.3">
      <c r="A294" s="364">
        <f t="shared" si="489"/>
        <v>0.20000000000000007</v>
      </c>
      <c r="B294" s="310">
        <f t="shared" si="489"/>
        <v>0.19999999999999996</v>
      </c>
      <c r="C294" s="56">
        <f t="shared" si="488"/>
        <v>390720.5425000001</v>
      </c>
      <c r="D294" s="56">
        <f t="shared" si="470"/>
        <v>3866.9574999999991</v>
      </c>
      <c r="F294" s="52"/>
      <c r="G294" s="52"/>
      <c r="I294" s="529"/>
      <c r="J294" s="49"/>
      <c r="K294" s="57"/>
      <c r="L294" s="528"/>
      <c r="M294" s="533"/>
      <c r="N294" s="57"/>
      <c r="O294" s="528"/>
      <c r="P294" s="533"/>
      <c r="Q294" s="57"/>
      <c r="R294" s="528"/>
      <c r="S294" s="533"/>
      <c r="T294" s="57"/>
      <c r="U294" s="528"/>
      <c r="V294" s="533"/>
      <c r="W294" s="57"/>
      <c r="X294" s="528"/>
      <c r="Y294" s="533"/>
      <c r="AA294" s="670"/>
      <c r="AB294" s="583">
        <f t="shared" ref="AB294:AC294" si="497">1-AB285</f>
        <v>0.20000000000000007</v>
      </c>
      <c r="AC294" s="310">
        <f t="shared" si="497"/>
        <v>0.19999999999999996</v>
      </c>
      <c r="AD294" s="56">
        <f t="shared" si="491"/>
        <v>390720.5425000001</v>
      </c>
      <c r="AE294" s="56">
        <f t="shared" si="492"/>
        <v>3866.9574999999991</v>
      </c>
      <c r="AG294" s="52"/>
      <c r="AH294" s="52"/>
      <c r="AJ294" s="529"/>
      <c r="AK294" s="49"/>
      <c r="AL294" s="57"/>
      <c r="AM294" s="528"/>
      <c r="AN294" s="533"/>
      <c r="AO294" s="57"/>
      <c r="AP294" s="528"/>
      <c r="AQ294" s="533"/>
      <c r="AR294" s="57"/>
      <c r="AS294" s="528"/>
      <c r="AT294" s="533"/>
      <c r="AU294" s="57"/>
      <c r="AV294" s="528"/>
      <c r="AW294" s="533"/>
      <c r="AX294" s="57"/>
      <c r="AY294" s="528"/>
      <c r="AZ294" s="533"/>
    </row>
    <row r="295" spans="1:52" x14ac:dyDescent="0.3">
      <c r="F295" s="13"/>
      <c r="G295" s="13"/>
      <c r="I295" s="57"/>
      <c r="J295" s="57"/>
      <c r="K295" s="57"/>
      <c r="L295" s="57"/>
      <c r="M295" s="57"/>
      <c r="N295" s="57"/>
      <c r="O295" s="57"/>
      <c r="P295" s="57"/>
      <c r="Q295" s="57"/>
      <c r="R295" s="57"/>
      <c r="S295" s="57"/>
      <c r="T295" s="57"/>
      <c r="U295" s="57"/>
      <c r="V295" s="57"/>
      <c r="W295" s="57"/>
      <c r="X295" s="57"/>
      <c r="Y295" s="57"/>
      <c r="AA295" s="670"/>
      <c r="AG295" s="13"/>
      <c r="AH295" s="13"/>
      <c r="AJ295" s="57"/>
      <c r="AK295" s="57"/>
      <c r="AL295" s="57"/>
      <c r="AM295" s="57"/>
      <c r="AN295" s="57"/>
      <c r="AO295" s="57"/>
      <c r="AP295" s="57"/>
      <c r="AQ295" s="57"/>
      <c r="AR295" s="57"/>
      <c r="AS295" s="57"/>
      <c r="AT295" s="57"/>
      <c r="AU295" s="57"/>
      <c r="AV295" s="57"/>
      <c r="AW295" s="57"/>
      <c r="AX295" s="57"/>
      <c r="AY295" s="57"/>
      <c r="AZ295" s="57"/>
    </row>
    <row r="296" spans="1:52" x14ac:dyDescent="0.3">
      <c r="I296" s="57"/>
      <c r="J296" s="57"/>
      <c r="K296" s="57"/>
      <c r="L296" s="57"/>
      <c r="M296" s="57"/>
      <c r="N296" s="57"/>
      <c r="O296" s="57"/>
      <c r="P296" s="57"/>
      <c r="Q296" s="57"/>
      <c r="R296" s="57"/>
      <c r="S296" s="57"/>
      <c r="T296" s="57"/>
      <c r="U296" s="57"/>
      <c r="V296" s="57"/>
      <c r="W296" s="57"/>
      <c r="X296" s="57"/>
      <c r="Y296" s="57"/>
      <c r="AA296" s="670"/>
      <c r="AJ296" s="57"/>
      <c r="AK296" s="57"/>
      <c r="AL296" s="57"/>
      <c r="AM296" s="57"/>
      <c r="AN296" s="57"/>
      <c r="AO296" s="57"/>
      <c r="AP296" s="57"/>
      <c r="AQ296" s="57"/>
      <c r="AR296" s="57"/>
      <c r="AS296" s="57"/>
      <c r="AT296" s="57"/>
      <c r="AU296" s="57"/>
      <c r="AV296" s="57"/>
      <c r="AW296" s="57"/>
      <c r="AX296" s="57"/>
      <c r="AY296" s="57"/>
      <c r="AZ296" s="57"/>
    </row>
    <row r="297" spans="1:52" ht="15.75" customHeight="1" thickBot="1" x14ac:dyDescent="0.35">
      <c r="I297" s="1112" t="s">
        <v>205</v>
      </c>
      <c r="J297" s="1112"/>
      <c r="K297" s="1112"/>
      <c r="L297" s="1112"/>
      <c r="M297" s="1112"/>
      <c r="N297" s="57"/>
      <c r="O297" s="1112" t="s">
        <v>207</v>
      </c>
      <c r="P297" s="1112"/>
      <c r="Q297" s="1112"/>
      <c r="R297" s="1112"/>
      <c r="S297" s="1112"/>
      <c r="T297" s="57"/>
      <c r="U297" s="1112" t="s">
        <v>209</v>
      </c>
      <c r="V297" s="1112"/>
      <c r="W297" s="1112"/>
      <c r="X297" s="1112"/>
      <c r="Y297" s="1112"/>
      <c r="AA297" s="670"/>
      <c r="AJ297" s="1112" t="s">
        <v>205</v>
      </c>
      <c r="AK297" s="1112"/>
      <c r="AL297" s="1112"/>
      <c r="AM297" s="1112"/>
      <c r="AN297" s="1112"/>
      <c r="AO297" s="57"/>
      <c r="AP297" s="1112" t="s">
        <v>207</v>
      </c>
      <c r="AQ297" s="1112"/>
      <c r="AR297" s="1112"/>
      <c r="AS297" s="1112"/>
      <c r="AT297" s="1112"/>
      <c r="AU297" s="57"/>
      <c r="AV297" s="1112" t="s">
        <v>209</v>
      </c>
      <c r="AW297" s="1112"/>
      <c r="AX297" s="1112"/>
      <c r="AY297" s="1112"/>
      <c r="AZ297" s="1112"/>
    </row>
    <row r="298" spans="1:52" ht="15" customHeight="1" x14ac:dyDescent="0.3">
      <c r="A298" s="381" t="s">
        <v>211</v>
      </c>
      <c r="B298" s="124"/>
      <c r="C298" s="124"/>
      <c r="D298" s="124"/>
      <c r="E298" s="124"/>
      <c r="F298" s="124"/>
      <c r="G298" s="125"/>
      <c r="I298" s="1098" t="s">
        <v>200</v>
      </c>
      <c r="J298" s="1098"/>
      <c r="K298" s="526"/>
      <c r="L298" s="1098" t="s">
        <v>199</v>
      </c>
      <c r="M298" s="1098"/>
      <c r="N298" s="57"/>
      <c r="O298" s="1098" t="s">
        <v>200</v>
      </c>
      <c r="P298" s="1098"/>
      <c r="Q298" s="526"/>
      <c r="R298" s="1098" t="s">
        <v>199</v>
      </c>
      <c r="S298" s="1098"/>
      <c r="T298" s="57"/>
      <c r="U298" s="1098" t="s">
        <v>200</v>
      </c>
      <c r="V298" s="1098"/>
      <c r="W298" s="526"/>
      <c r="X298" s="1098" t="s">
        <v>199</v>
      </c>
      <c r="Y298" s="1098"/>
      <c r="AA298" s="670"/>
      <c r="AB298" s="381" t="s">
        <v>211</v>
      </c>
      <c r="AC298" s="124"/>
      <c r="AD298" s="124"/>
      <c r="AE298" s="124"/>
      <c r="AF298" s="124"/>
      <c r="AG298" s="124"/>
      <c r="AH298" s="125"/>
      <c r="AJ298" s="1098" t="s">
        <v>200</v>
      </c>
      <c r="AK298" s="1098"/>
      <c r="AL298" s="586"/>
      <c r="AM298" s="1098" t="s">
        <v>199</v>
      </c>
      <c r="AN298" s="1098"/>
      <c r="AO298" s="57"/>
      <c r="AP298" s="1098" t="s">
        <v>200</v>
      </c>
      <c r="AQ298" s="1098"/>
      <c r="AR298" s="586"/>
      <c r="AS298" s="1098" t="s">
        <v>199</v>
      </c>
      <c r="AT298" s="1098"/>
      <c r="AU298" s="57"/>
      <c r="AV298" s="1098" t="s">
        <v>200</v>
      </c>
      <c r="AW298" s="1098"/>
      <c r="AX298" s="586"/>
      <c r="AY298" s="1098" t="s">
        <v>199</v>
      </c>
      <c r="AZ298" s="1098"/>
    </row>
    <row r="299" spans="1:52" x14ac:dyDescent="0.3">
      <c r="A299" s="126"/>
      <c r="B299" s="1099" t="s">
        <v>501</v>
      </c>
      <c r="C299" s="1100"/>
      <c r="D299" s="1101"/>
      <c r="E299" s="1099" t="s">
        <v>502</v>
      </c>
      <c r="F299" s="1100"/>
      <c r="G299" s="1102"/>
      <c r="I299" s="527" t="s">
        <v>202</v>
      </c>
      <c r="J299" s="57" t="s">
        <v>203</v>
      </c>
      <c r="K299" s="57"/>
      <c r="L299" s="527" t="s">
        <v>202</v>
      </c>
      <c r="M299" s="57" t="s">
        <v>203</v>
      </c>
      <c r="N299" s="57"/>
      <c r="O299" s="527" t="s">
        <v>202</v>
      </c>
      <c r="P299" s="57" t="s">
        <v>203</v>
      </c>
      <c r="Q299" s="57"/>
      <c r="R299" s="527" t="s">
        <v>202</v>
      </c>
      <c r="S299" s="57" t="s">
        <v>203</v>
      </c>
      <c r="T299" s="57"/>
      <c r="U299" s="527" t="s">
        <v>202</v>
      </c>
      <c r="V299" s="57" t="s">
        <v>203</v>
      </c>
      <c r="W299" s="57"/>
      <c r="X299" s="527" t="s">
        <v>202</v>
      </c>
      <c r="Y299" s="57" t="s">
        <v>203</v>
      </c>
      <c r="AA299" s="670"/>
      <c r="AB299" s="126"/>
      <c r="AC299" s="1099" t="s">
        <v>501</v>
      </c>
      <c r="AD299" s="1100"/>
      <c r="AE299" s="1101"/>
      <c r="AF299" s="1099" t="s">
        <v>502</v>
      </c>
      <c r="AG299" s="1100"/>
      <c r="AH299" s="1102"/>
      <c r="AJ299" s="527" t="s">
        <v>202</v>
      </c>
      <c r="AK299" s="57" t="s">
        <v>203</v>
      </c>
      <c r="AL299" s="57"/>
      <c r="AM299" s="527" t="s">
        <v>202</v>
      </c>
      <c r="AN299" s="57" t="s">
        <v>203</v>
      </c>
      <c r="AO299" s="57"/>
      <c r="AP299" s="527" t="s">
        <v>202</v>
      </c>
      <c r="AQ299" s="57" t="s">
        <v>203</v>
      </c>
      <c r="AR299" s="57"/>
      <c r="AS299" s="527" t="s">
        <v>202</v>
      </c>
      <c r="AT299" s="57" t="s">
        <v>203</v>
      </c>
      <c r="AU299" s="57"/>
      <c r="AV299" s="527" t="s">
        <v>202</v>
      </c>
      <c r="AW299" s="57" t="s">
        <v>203</v>
      </c>
      <c r="AX299" s="57"/>
      <c r="AY299" s="527" t="s">
        <v>202</v>
      </c>
      <c r="AZ299" s="57" t="s">
        <v>203</v>
      </c>
    </row>
    <row r="300" spans="1:52" x14ac:dyDescent="0.3">
      <c r="A300" s="126"/>
      <c r="B300" s="1046" t="s">
        <v>500</v>
      </c>
      <c r="C300" s="1047"/>
      <c r="D300" s="1048"/>
      <c r="E300" s="1046" t="s">
        <v>503</v>
      </c>
      <c r="F300" s="1047"/>
      <c r="G300" s="1103"/>
      <c r="H300" s="49"/>
      <c r="I300" s="533"/>
      <c r="J300" s="243">
        <f>($C279*$Q$193*$W$10)</f>
        <v>38866.077519044688</v>
      </c>
      <c r="K300" s="57"/>
      <c r="L300" s="533"/>
      <c r="M300" s="243">
        <f>($D279*$Q$238*$V$55)</f>
        <v>22861.951810700211</v>
      </c>
      <c r="N300" s="57"/>
      <c r="O300" s="533"/>
      <c r="P300" s="243">
        <f>($C279*$Q$193*$W$13)</f>
        <v>14320.652165477852</v>
      </c>
      <c r="Q300" s="57"/>
      <c r="R300" s="533"/>
      <c r="S300" s="243">
        <f>($D279*$Q$238*$V$58)</f>
        <v>8423.7484357542016</v>
      </c>
      <c r="T300" s="57"/>
      <c r="U300" s="533"/>
      <c r="V300" s="243">
        <f>($C279*$Q$193*$W$16)</f>
        <v>4751.480280196105</v>
      </c>
      <c r="W300" s="57"/>
      <c r="X300" s="533"/>
      <c r="Y300" s="243">
        <f>($D279*$Q$238*$V$61)</f>
        <v>2064.1950007586829</v>
      </c>
      <c r="AA300" s="670"/>
      <c r="AB300" s="126"/>
      <c r="AC300" s="1046" t="s">
        <v>500</v>
      </c>
      <c r="AD300" s="1047"/>
      <c r="AE300" s="1048"/>
      <c r="AF300" s="1046" t="s">
        <v>503</v>
      </c>
      <c r="AG300" s="1047"/>
      <c r="AH300" s="1103"/>
      <c r="AJ300" s="533"/>
      <c r="AK300" s="243">
        <f>($AD279*$AR$193*$AX$10)</f>
        <v>20095.903965501471</v>
      </c>
      <c r="AL300" s="57"/>
      <c r="AM300" s="533"/>
      <c r="AN300" s="243">
        <f>($AE279*$AR$238*$AW$55)</f>
        <v>11820.888995722007</v>
      </c>
      <c r="AO300" s="57"/>
      <c r="AP300" s="533"/>
      <c r="AQ300" s="243">
        <f>($AD279*$AR$193*$AX$13)</f>
        <v>7782.2153414041204</v>
      </c>
      <c r="AR300" s="57"/>
      <c r="AS300" s="533"/>
      <c r="AT300" s="243">
        <f>($AE279*$AR$238*$AW$58)</f>
        <v>4577.6842808099746</v>
      </c>
      <c r="AU300" s="57"/>
      <c r="AV300" s="533"/>
      <c r="AW300" s="243">
        <f>($AD279*$AR$193*$AX$16)</f>
        <v>1423.3245736259751</v>
      </c>
      <c r="AX300" s="57"/>
      <c r="AY300" s="533"/>
      <c r="AZ300" s="243">
        <f>($AE279*$AR$238*$AW$61)</f>
        <v>618.33771710707083</v>
      </c>
    </row>
    <row r="301" spans="1:52" x14ac:dyDescent="0.3">
      <c r="A301" s="376" t="s">
        <v>201</v>
      </c>
      <c r="B301" s="371" t="s">
        <v>6</v>
      </c>
      <c r="C301" s="366" t="s">
        <v>7</v>
      </c>
      <c r="D301" s="365" t="s">
        <v>210</v>
      </c>
      <c r="E301" s="371" t="s">
        <v>6</v>
      </c>
      <c r="F301" s="366" t="s">
        <v>7</v>
      </c>
      <c r="G301" s="377" t="s">
        <v>210</v>
      </c>
      <c r="I301" s="533"/>
      <c r="J301" s="243">
        <f t="shared" ref="J301:J306" si="498">($C280*$Q$193*$W$10)</f>
        <v>58299.116278567046</v>
      </c>
      <c r="K301" s="57"/>
      <c r="L301" s="533"/>
      <c r="M301" s="243">
        <f t="shared" ref="M301:M306" si="499">($D280*$Q$238*$V$55)</f>
        <v>22861.951810700211</v>
      </c>
      <c r="N301" s="57"/>
      <c r="O301" s="533"/>
      <c r="P301" s="243">
        <f t="shared" ref="P301:P306" si="500">($C280*$Q$193*$W$13)</f>
        <v>21480.978248216783</v>
      </c>
      <c r="Q301" s="57"/>
      <c r="R301" s="533"/>
      <c r="S301" s="243">
        <f t="shared" ref="S301:S306" si="501">($D280*$Q$238*$V$58)</f>
        <v>8423.7484357542016</v>
      </c>
      <c r="T301" s="57"/>
      <c r="U301" s="533"/>
      <c r="V301" s="243">
        <f t="shared" ref="V301:V306" si="502">($C280*$Q$193*$W$16)</f>
        <v>7127.2204202941593</v>
      </c>
      <c r="W301" s="57"/>
      <c r="X301" s="533"/>
      <c r="Y301" s="243">
        <f t="shared" ref="Y301:Y306" si="503">($D280*$Q$238*$V$61)</f>
        <v>2064.1950007586829</v>
      </c>
      <c r="AA301" s="670"/>
      <c r="AB301" s="376" t="s">
        <v>201</v>
      </c>
      <c r="AC301" s="371" t="s">
        <v>6</v>
      </c>
      <c r="AD301" s="587" t="s">
        <v>7</v>
      </c>
      <c r="AE301" s="590" t="s">
        <v>210</v>
      </c>
      <c r="AF301" s="371" t="s">
        <v>6</v>
      </c>
      <c r="AG301" s="587" t="s">
        <v>7</v>
      </c>
      <c r="AH301" s="377" t="s">
        <v>210</v>
      </c>
      <c r="AJ301" s="533"/>
      <c r="AK301" s="243">
        <f t="shared" ref="AK301:AK306" si="504">($AD280*$AR$193*$AX$10)</f>
        <v>30143.855948252211</v>
      </c>
      <c r="AL301" s="57"/>
      <c r="AM301" s="533"/>
      <c r="AN301" s="243">
        <f t="shared" ref="AN301:AN306" si="505">($AE280*$AR$238*$AW$55)</f>
        <v>11820.888995722007</v>
      </c>
      <c r="AO301" s="57"/>
      <c r="AP301" s="533"/>
      <c r="AQ301" s="243">
        <f t="shared" ref="AQ301:AQ306" si="506">($AD280*$AR$193*$AX$13)</f>
        <v>11673.323012106182</v>
      </c>
      <c r="AR301" s="57"/>
      <c r="AS301" s="533"/>
      <c r="AT301" s="243">
        <f t="shared" ref="AT301:AT306" si="507">($AE280*$AR$238*$AW$58)</f>
        <v>4577.6842808099746</v>
      </c>
      <c r="AU301" s="57"/>
      <c r="AV301" s="533"/>
      <c r="AW301" s="243">
        <f t="shared" ref="AW301:AW306" si="508">($AD280*$AR$193*$AX$16)</f>
        <v>2134.986860438963</v>
      </c>
      <c r="AX301" s="57"/>
      <c r="AY301" s="533"/>
      <c r="AZ301" s="243">
        <f t="shared" ref="AZ301:AZ306" si="509">($AE280*$AR$238*$AW$61)</f>
        <v>618.33771710707083</v>
      </c>
    </row>
    <row r="302" spans="1:52" x14ac:dyDescent="0.3">
      <c r="A302" s="718">
        <v>0.2</v>
      </c>
      <c r="B302" s="372">
        <f>SUM(I279,L279,AC302)</f>
        <v>57368.653381415301</v>
      </c>
      <c r="C302" s="301">
        <f>SUM(O279,R279,AD302)</f>
        <v>22562.856320486695</v>
      </c>
      <c r="D302" s="373">
        <f>SUM(U279,X279,AE302)</f>
        <v>5277.312681232911</v>
      </c>
      <c r="E302" s="372">
        <f>SUM(J300,M300,AF302)</f>
        <v>93644.822290968383</v>
      </c>
      <c r="F302" s="301">
        <f>SUM(P300,S300,AG302)</f>
        <v>35104.300223446146</v>
      </c>
      <c r="G302" s="379">
        <f>SUM(V300,Y300,AH302)</f>
        <v>8857.3375716878345</v>
      </c>
      <c r="I302" s="533"/>
      <c r="J302" s="243">
        <f t="shared" si="498"/>
        <v>77732.155038089375</v>
      </c>
      <c r="K302" s="57"/>
      <c r="L302" s="533"/>
      <c r="M302" s="243">
        <f t="shared" si="499"/>
        <v>22861.951810700211</v>
      </c>
      <c r="N302" s="57"/>
      <c r="O302" s="533"/>
      <c r="P302" s="243">
        <f t="shared" si="500"/>
        <v>28641.304330955703</v>
      </c>
      <c r="Q302" s="57"/>
      <c r="R302" s="533"/>
      <c r="S302" s="243">
        <f t="shared" si="501"/>
        <v>8423.7484357542016</v>
      </c>
      <c r="T302" s="57"/>
      <c r="U302" s="533"/>
      <c r="V302" s="243">
        <f t="shared" si="502"/>
        <v>9502.96056039221</v>
      </c>
      <c r="W302" s="57"/>
      <c r="X302" s="533"/>
      <c r="Y302" s="243">
        <f t="shared" si="503"/>
        <v>2064.1950007586829</v>
      </c>
      <c r="AA302" s="670"/>
      <c r="AB302" s="378">
        <v>0.2</v>
      </c>
      <c r="AC302" s="372">
        <f>SUM(AJ279,AM279)</f>
        <v>19468.920549467184</v>
      </c>
      <c r="AD302" s="301">
        <f>SUM(AP279,AS279)</f>
        <v>7946.7144274305483</v>
      </c>
      <c r="AE302" s="373">
        <f>SUM(AV279,AY279)</f>
        <v>860.71900026819912</v>
      </c>
      <c r="AF302" s="372">
        <f>SUM(AK300,AN300)</f>
        <v>31916.79296122348</v>
      </c>
      <c r="AG302" s="301">
        <f>SUM(AQ300,AT300)</f>
        <v>12359.899622214096</v>
      </c>
      <c r="AH302" s="379">
        <f>SUM(AW300,AZ300)</f>
        <v>2041.6622907330459</v>
      </c>
      <c r="AJ302" s="533"/>
      <c r="AK302" s="243">
        <f t="shared" si="504"/>
        <v>40191.807931002942</v>
      </c>
      <c r="AL302" s="57"/>
      <c r="AM302" s="533"/>
      <c r="AN302" s="243">
        <f t="shared" si="505"/>
        <v>11820.888995722007</v>
      </c>
      <c r="AO302" s="57"/>
      <c r="AP302" s="533"/>
      <c r="AQ302" s="243">
        <f t="shared" si="506"/>
        <v>15564.430682808241</v>
      </c>
      <c r="AR302" s="57"/>
      <c r="AS302" s="533"/>
      <c r="AT302" s="243">
        <f t="shared" si="507"/>
        <v>4577.6842808099746</v>
      </c>
      <c r="AU302" s="57"/>
      <c r="AV302" s="533"/>
      <c r="AW302" s="243">
        <f t="shared" si="508"/>
        <v>2846.6491472519501</v>
      </c>
      <c r="AX302" s="57"/>
      <c r="AY302" s="533"/>
      <c r="AZ302" s="243">
        <f t="shared" si="509"/>
        <v>618.33771710707083</v>
      </c>
    </row>
    <row r="303" spans="1:52" x14ac:dyDescent="0.3">
      <c r="A303" s="718">
        <f>A302+0.1</f>
        <v>0.30000000000000004</v>
      </c>
      <c r="B303" s="372">
        <f t="shared" ref="B303:B307" si="510">SUM(I280,L280,AC303)</f>
        <v>75429.28607693268</v>
      </c>
      <c r="C303" s="301">
        <f t="shared" ref="C303:C308" si="511">SUM(O280,R280,AD303)</f>
        <v>29666.029160483202</v>
      </c>
      <c r="D303" s="373">
        <f t="shared" ref="D303:D308" si="512">SUM(U280,X280,AE303)</f>
        <v>6707.1677523055369</v>
      </c>
      <c r="E303" s="372">
        <f t="shared" ref="E303:E308" si="513">SUM(J301,M301,AF303)</f>
        <v>123125.81303324147</v>
      </c>
      <c r="F303" s="301">
        <f t="shared" ref="F303:F308" si="514">SUM(P301,S301,AG303)</f>
        <v>46155.733976887146</v>
      </c>
      <c r="G303" s="379">
        <f t="shared" ref="G303:G308" si="515">SUM(V301,Y301,AH303)</f>
        <v>11944.739998598878</v>
      </c>
      <c r="I303" s="533"/>
      <c r="J303" s="243">
        <f t="shared" si="498"/>
        <v>97165.193797611719</v>
      </c>
      <c r="K303" s="57"/>
      <c r="L303" s="533"/>
      <c r="M303" s="243">
        <f t="shared" si="499"/>
        <v>22861.951810700211</v>
      </c>
      <c r="N303" s="57"/>
      <c r="O303" s="533"/>
      <c r="P303" s="243">
        <f t="shared" si="500"/>
        <v>35801.630413694627</v>
      </c>
      <c r="Q303" s="57"/>
      <c r="R303" s="533"/>
      <c r="S303" s="243">
        <f t="shared" si="501"/>
        <v>8423.7484357542016</v>
      </c>
      <c r="T303" s="57"/>
      <c r="U303" s="533"/>
      <c r="V303" s="243">
        <f t="shared" si="502"/>
        <v>11878.700700490263</v>
      </c>
      <c r="W303" s="57"/>
      <c r="X303" s="533"/>
      <c r="Y303" s="243">
        <f t="shared" si="503"/>
        <v>2064.1950007586829</v>
      </c>
      <c r="AA303" s="670"/>
      <c r="AB303" s="378">
        <f>AB302+0.1</f>
        <v>0.30000000000000004</v>
      </c>
      <c r="AC303" s="372">
        <f t="shared" ref="AC303:AC308" si="516">SUM(AJ280,AM280)</f>
        <v>25598.069523635819</v>
      </c>
      <c r="AD303" s="301">
        <f t="shared" ref="AD303:AD308" si="517">SUM(AP280,AS280)</f>
        <v>10448.475963574365</v>
      </c>
      <c r="AE303" s="373">
        <f t="shared" ref="AE303:AE308" si="518">SUM(AV280,AY280)</f>
        <v>1093.9254637924569</v>
      </c>
      <c r="AF303" s="372">
        <f t="shared" ref="AF303:AF308" si="519">SUM(AK301,AN301)</f>
        <v>41964.744943974219</v>
      </c>
      <c r="AG303" s="301">
        <f t="shared" ref="AG303:AG308" si="520">SUM(AQ301,AT301)</f>
        <v>16251.007292916158</v>
      </c>
      <c r="AH303" s="379">
        <f t="shared" ref="AH303:AH308" si="521">SUM(AW301,AZ301)</f>
        <v>2753.3245775460337</v>
      </c>
      <c r="AJ303" s="533"/>
      <c r="AK303" s="243">
        <f t="shared" si="504"/>
        <v>50239.759913753674</v>
      </c>
      <c r="AL303" s="57"/>
      <c r="AM303" s="533"/>
      <c r="AN303" s="243">
        <f t="shared" si="505"/>
        <v>11820.888995722007</v>
      </c>
      <c r="AO303" s="57"/>
      <c r="AP303" s="533"/>
      <c r="AQ303" s="243">
        <f t="shared" si="506"/>
        <v>19455.538353510299</v>
      </c>
      <c r="AR303" s="57"/>
      <c r="AS303" s="533"/>
      <c r="AT303" s="243">
        <f t="shared" si="507"/>
        <v>4577.6842808099746</v>
      </c>
      <c r="AU303" s="57"/>
      <c r="AV303" s="533"/>
      <c r="AW303" s="243">
        <f t="shared" si="508"/>
        <v>3558.3114340649377</v>
      </c>
      <c r="AX303" s="57"/>
      <c r="AY303" s="533"/>
      <c r="AZ303" s="243">
        <f t="shared" si="509"/>
        <v>618.33771710707083</v>
      </c>
    </row>
    <row r="304" spans="1:52" x14ac:dyDescent="0.3">
      <c r="A304" s="718">
        <f t="shared" ref="A304:A308" si="522">A303+0.1</f>
        <v>0.4</v>
      </c>
      <c r="B304" s="372">
        <f t="shared" si="510"/>
        <v>93489.918772450052</v>
      </c>
      <c r="C304" s="301">
        <f t="shared" si="511"/>
        <v>36769.202000479709</v>
      </c>
      <c r="D304" s="373">
        <f t="shared" si="512"/>
        <v>8137.0228233781609</v>
      </c>
      <c r="E304" s="372">
        <f t="shared" si="513"/>
        <v>152606.80377551453</v>
      </c>
      <c r="F304" s="301">
        <f t="shared" si="514"/>
        <v>57207.167730328125</v>
      </c>
      <c r="G304" s="379">
        <f t="shared" si="515"/>
        <v>15032.142425509912</v>
      </c>
      <c r="I304" s="533"/>
      <c r="J304" s="243">
        <f t="shared" si="498"/>
        <v>116598.23255713408</v>
      </c>
      <c r="K304" s="57"/>
      <c r="L304" s="533"/>
      <c r="M304" s="243">
        <f t="shared" si="499"/>
        <v>22861.951810700211</v>
      </c>
      <c r="N304" s="57"/>
      <c r="O304" s="533"/>
      <c r="P304" s="243">
        <f t="shared" si="500"/>
        <v>42961.956496433559</v>
      </c>
      <c r="Q304" s="57"/>
      <c r="R304" s="533"/>
      <c r="S304" s="243">
        <f t="shared" si="501"/>
        <v>8423.7484357542016</v>
      </c>
      <c r="T304" s="57"/>
      <c r="U304" s="533"/>
      <c r="V304" s="243">
        <f t="shared" si="502"/>
        <v>14254.440840588317</v>
      </c>
      <c r="W304" s="57"/>
      <c r="X304" s="533"/>
      <c r="Y304" s="243">
        <f t="shared" si="503"/>
        <v>2064.1950007586829</v>
      </c>
      <c r="AA304" s="670"/>
      <c r="AB304" s="378">
        <f t="shared" ref="AB304:AB308" si="523">AB303+0.1</f>
        <v>0.4</v>
      </c>
      <c r="AC304" s="372">
        <f t="shared" si="516"/>
        <v>31727.218497804446</v>
      </c>
      <c r="AD304" s="301">
        <f t="shared" si="517"/>
        <v>12950.23749971818</v>
      </c>
      <c r="AE304" s="373">
        <f t="shared" si="518"/>
        <v>1327.1319273167146</v>
      </c>
      <c r="AF304" s="372">
        <f t="shared" si="519"/>
        <v>52012.696926724951</v>
      </c>
      <c r="AG304" s="301">
        <f t="shared" si="520"/>
        <v>20142.114963618216</v>
      </c>
      <c r="AH304" s="379">
        <f t="shared" si="521"/>
        <v>3464.9868643590207</v>
      </c>
      <c r="AJ304" s="533"/>
      <c r="AK304" s="243">
        <f t="shared" si="504"/>
        <v>60287.711896504414</v>
      </c>
      <c r="AL304" s="57"/>
      <c r="AM304" s="533"/>
      <c r="AN304" s="243">
        <f t="shared" si="505"/>
        <v>11820.888995722007</v>
      </c>
      <c r="AO304" s="57"/>
      <c r="AP304" s="533"/>
      <c r="AQ304" s="243">
        <f t="shared" si="506"/>
        <v>23346.646024212361</v>
      </c>
      <c r="AR304" s="57"/>
      <c r="AS304" s="533"/>
      <c r="AT304" s="243">
        <f t="shared" si="507"/>
        <v>4577.6842808099746</v>
      </c>
      <c r="AU304" s="57"/>
      <c r="AV304" s="533"/>
      <c r="AW304" s="243">
        <f t="shared" si="508"/>
        <v>4269.9737208779252</v>
      </c>
      <c r="AX304" s="57"/>
      <c r="AY304" s="533"/>
      <c r="AZ304" s="243">
        <f t="shared" si="509"/>
        <v>618.33771710707083</v>
      </c>
    </row>
    <row r="305" spans="1:52" x14ac:dyDescent="0.3">
      <c r="A305" s="718">
        <f t="shared" si="522"/>
        <v>0.5</v>
      </c>
      <c r="B305" s="372">
        <f t="shared" si="510"/>
        <v>111550.55146796744</v>
      </c>
      <c r="C305" s="301">
        <f t="shared" si="511"/>
        <v>43872.374840476201</v>
      </c>
      <c r="D305" s="373">
        <f t="shared" si="512"/>
        <v>9566.8778944507867</v>
      </c>
      <c r="E305" s="372">
        <f t="shared" si="513"/>
        <v>182087.79451778761</v>
      </c>
      <c r="F305" s="301">
        <f t="shared" si="514"/>
        <v>68258.601483769104</v>
      </c>
      <c r="G305" s="379">
        <f t="shared" si="515"/>
        <v>18119.544852420953</v>
      </c>
      <c r="I305" s="533"/>
      <c r="J305" s="243">
        <f t="shared" si="498"/>
        <v>136031.27131665641</v>
      </c>
      <c r="K305" s="57"/>
      <c r="L305" s="533"/>
      <c r="M305" s="243">
        <f t="shared" si="499"/>
        <v>22861.951810700211</v>
      </c>
      <c r="N305" s="57"/>
      <c r="O305" s="533"/>
      <c r="P305" s="243">
        <f t="shared" si="500"/>
        <v>50122.282579172483</v>
      </c>
      <c r="Q305" s="57"/>
      <c r="R305" s="533"/>
      <c r="S305" s="243">
        <f t="shared" si="501"/>
        <v>8423.7484357542016</v>
      </c>
      <c r="T305" s="57"/>
      <c r="U305" s="533"/>
      <c r="V305" s="243">
        <f t="shared" si="502"/>
        <v>16630.180980686368</v>
      </c>
      <c r="W305" s="57"/>
      <c r="X305" s="533"/>
      <c r="Y305" s="243">
        <f t="shared" si="503"/>
        <v>2064.1950007586829</v>
      </c>
      <c r="AA305" s="670"/>
      <c r="AB305" s="378">
        <f t="shared" si="523"/>
        <v>0.5</v>
      </c>
      <c r="AC305" s="372">
        <f t="shared" si="516"/>
        <v>37856.367471973077</v>
      </c>
      <c r="AD305" s="301">
        <f t="shared" si="517"/>
        <v>15451.999035861994</v>
      </c>
      <c r="AE305" s="373">
        <f t="shared" si="518"/>
        <v>1560.3383908409724</v>
      </c>
      <c r="AF305" s="372">
        <f t="shared" si="519"/>
        <v>62060.648909475683</v>
      </c>
      <c r="AG305" s="301">
        <f t="shared" si="520"/>
        <v>24033.222634320275</v>
      </c>
      <c r="AH305" s="379">
        <f t="shared" si="521"/>
        <v>4176.6491511720087</v>
      </c>
      <c r="AJ305" s="533"/>
      <c r="AK305" s="243">
        <f t="shared" si="504"/>
        <v>70335.663879255153</v>
      </c>
      <c r="AL305" s="57"/>
      <c r="AM305" s="533"/>
      <c r="AN305" s="243">
        <f t="shared" si="505"/>
        <v>11820.888995722007</v>
      </c>
      <c r="AO305" s="57"/>
      <c r="AP305" s="533"/>
      <c r="AQ305" s="243">
        <f t="shared" si="506"/>
        <v>27237.753694914423</v>
      </c>
      <c r="AR305" s="57"/>
      <c r="AS305" s="533"/>
      <c r="AT305" s="243">
        <f t="shared" si="507"/>
        <v>4577.6842808099746</v>
      </c>
      <c r="AU305" s="57"/>
      <c r="AV305" s="533"/>
      <c r="AW305" s="243">
        <f t="shared" si="508"/>
        <v>4981.6360076909132</v>
      </c>
      <c r="AX305" s="57"/>
      <c r="AY305" s="533"/>
      <c r="AZ305" s="243">
        <f t="shared" si="509"/>
        <v>618.33771710707083</v>
      </c>
    </row>
    <row r="306" spans="1:52" x14ac:dyDescent="0.3">
      <c r="A306" s="718">
        <f t="shared" si="522"/>
        <v>0.6</v>
      </c>
      <c r="B306" s="372">
        <f t="shared" si="510"/>
        <v>129611.18416348481</v>
      </c>
      <c r="C306" s="301">
        <f t="shared" si="511"/>
        <v>50975.547680472708</v>
      </c>
      <c r="D306" s="373">
        <f t="shared" si="512"/>
        <v>10996.73296552341</v>
      </c>
      <c r="E306" s="372">
        <f t="shared" si="513"/>
        <v>211568.78526006071</v>
      </c>
      <c r="F306" s="301">
        <f t="shared" si="514"/>
        <v>79310.03523721009</v>
      </c>
      <c r="G306" s="379">
        <f t="shared" si="515"/>
        <v>21206.947279331995</v>
      </c>
      <c r="I306" s="533"/>
      <c r="J306" s="243">
        <f t="shared" si="498"/>
        <v>155464.31007617872</v>
      </c>
      <c r="K306" s="57"/>
      <c r="L306" s="533"/>
      <c r="M306" s="243">
        <f t="shared" si="499"/>
        <v>22861.951810700211</v>
      </c>
      <c r="N306" s="57"/>
      <c r="O306" s="533"/>
      <c r="P306" s="243">
        <f t="shared" si="500"/>
        <v>57282.608661911399</v>
      </c>
      <c r="Q306" s="57"/>
      <c r="R306" s="533"/>
      <c r="S306" s="243">
        <f t="shared" si="501"/>
        <v>8423.7484357542016</v>
      </c>
      <c r="T306" s="57"/>
      <c r="U306" s="533"/>
      <c r="V306" s="243">
        <f t="shared" si="502"/>
        <v>19005.921120784416</v>
      </c>
      <c r="W306" s="57"/>
      <c r="X306" s="533"/>
      <c r="Y306" s="243">
        <f t="shared" si="503"/>
        <v>2064.1950007586829</v>
      </c>
      <c r="AA306" s="670"/>
      <c r="AB306" s="378">
        <f t="shared" si="523"/>
        <v>0.6</v>
      </c>
      <c r="AC306" s="372">
        <f t="shared" si="516"/>
        <v>43985.516446141708</v>
      </c>
      <c r="AD306" s="301">
        <f t="shared" si="517"/>
        <v>17953.760572005809</v>
      </c>
      <c r="AE306" s="373">
        <f t="shared" si="518"/>
        <v>1793.5448543652301</v>
      </c>
      <c r="AF306" s="372">
        <f t="shared" si="519"/>
        <v>72108.600892226415</v>
      </c>
      <c r="AG306" s="301">
        <f t="shared" si="520"/>
        <v>27924.330305022337</v>
      </c>
      <c r="AH306" s="379">
        <f t="shared" si="521"/>
        <v>4888.3114379849958</v>
      </c>
      <c r="AJ306" s="533"/>
      <c r="AK306" s="243">
        <f t="shared" si="504"/>
        <v>80383.61586200587</v>
      </c>
      <c r="AL306" s="57"/>
      <c r="AM306" s="533"/>
      <c r="AN306" s="243">
        <f t="shared" si="505"/>
        <v>11820.888995722007</v>
      </c>
      <c r="AO306" s="57"/>
      <c r="AP306" s="533"/>
      <c r="AQ306" s="243">
        <f t="shared" si="506"/>
        <v>31128.861365616474</v>
      </c>
      <c r="AR306" s="57"/>
      <c r="AS306" s="533"/>
      <c r="AT306" s="243">
        <f t="shared" si="507"/>
        <v>4577.6842808099746</v>
      </c>
      <c r="AU306" s="57"/>
      <c r="AV306" s="533"/>
      <c r="AW306" s="243">
        <f t="shared" si="508"/>
        <v>5693.2982945038993</v>
      </c>
      <c r="AX306" s="57"/>
      <c r="AY306" s="533"/>
      <c r="AZ306" s="243">
        <f t="shared" si="509"/>
        <v>618.33771710707083</v>
      </c>
    </row>
    <row r="307" spans="1:52" x14ac:dyDescent="0.3">
      <c r="A307" s="718">
        <f t="shared" si="522"/>
        <v>0.7</v>
      </c>
      <c r="B307" s="372">
        <f t="shared" si="510"/>
        <v>147671.81685900217</v>
      </c>
      <c r="C307" s="301">
        <f t="shared" si="511"/>
        <v>58078.7205204692</v>
      </c>
      <c r="D307" s="373">
        <f t="shared" si="512"/>
        <v>12426.588036596035</v>
      </c>
      <c r="E307" s="372">
        <f t="shared" si="513"/>
        <v>241049.77600233379</v>
      </c>
      <c r="F307" s="301">
        <f t="shared" si="514"/>
        <v>90361.46899065109</v>
      </c>
      <c r="G307" s="379">
        <f t="shared" si="515"/>
        <v>24294.349706243032</v>
      </c>
      <c r="I307" s="532"/>
      <c r="J307" s="528"/>
      <c r="K307" s="57"/>
      <c r="L307" s="532"/>
      <c r="M307" s="528"/>
      <c r="N307" s="57"/>
      <c r="O307" s="532"/>
      <c r="P307" s="528"/>
      <c r="Q307" s="57"/>
      <c r="R307" s="532"/>
      <c r="S307" s="528"/>
      <c r="T307" s="57"/>
      <c r="U307" s="532"/>
      <c r="V307" s="528"/>
      <c r="W307" s="57"/>
      <c r="X307" s="532"/>
      <c r="Y307" s="528"/>
      <c r="AA307" s="670"/>
      <c r="AB307" s="378">
        <f t="shared" si="523"/>
        <v>0.7</v>
      </c>
      <c r="AC307" s="372">
        <f t="shared" si="516"/>
        <v>50114.665420310339</v>
      </c>
      <c r="AD307" s="301">
        <f t="shared" si="517"/>
        <v>20455.522108149624</v>
      </c>
      <c r="AE307" s="373">
        <f t="shared" si="518"/>
        <v>2026.7513178894878</v>
      </c>
      <c r="AF307" s="372">
        <f t="shared" si="519"/>
        <v>82156.552874977162</v>
      </c>
      <c r="AG307" s="301">
        <f t="shared" si="520"/>
        <v>31815.437975724399</v>
      </c>
      <c r="AH307" s="379">
        <f t="shared" si="521"/>
        <v>5599.9737247979838</v>
      </c>
      <c r="AJ307" s="532"/>
      <c r="AK307" s="528"/>
      <c r="AL307" s="57"/>
      <c r="AM307" s="532"/>
      <c r="AN307" s="528"/>
      <c r="AO307" s="57"/>
      <c r="AP307" s="532"/>
      <c r="AQ307" s="528"/>
      <c r="AR307" s="57"/>
      <c r="AS307" s="532"/>
      <c r="AT307" s="528"/>
      <c r="AU307" s="57"/>
      <c r="AV307" s="532"/>
      <c r="AW307" s="528"/>
      <c r="AX307" s="57"/>
      <c r="AY307" s="532"/>
      <c r="AZ307" s="528"/>
    </row>
    <row r="308" spans="1:52" x14ac:dyDescent="0.3">
      <c r="A308" s="718">
        <f t="shared" si="522"/>
        <v>0.79999999999999993</v>
      </c>
      <c r="B308" s="372">
        <f>SUM(I285,L285,AC308)</f>
        <v>165732.44955451955</v>
      </c>
      <c r="C308" s="301">
        <f t="shared" si="511"/>
        <v>65181.893360465707</v>
      </c>
      <c r="D308" s="373">
        <f t="shared" si="512"/>
        <v>13856.44310766866</v>
      </c>
      <c r="E308" s="372">
        <f t="shared" si="513"/>
        <v>270530.76674460678</v>
      </c>
      <c r="F308" s="301">
        <f t="shared" si="514"/>
        <v>101412.90274409205</v>
      </c>
      <c r="G308" s="379">
        <f t="shared" si="515"/>
        <v>27381.75213315407</v>
      </c>
      <c r="I308" s="532"/>
      <c r="J308" s="528"/>
      <c r="K308" s="57"/>
      <c r="L308" s="532"/>
      <c r="M308" s="528"/>
      <c r="N308" s="57"/>
      <c r="O308" s="532"/>
      <c r="P308" s="528"/>
      <c r="Q308" s="57"/>
      <c r="R308" s="532"/>
      <c r="S308" s="528"/>
      <c r="T308" s="57"/>
      <c r="U308" s="532"/>
      <c r="V308" s="528"/>
      <c r="W308" s="57"/>
      <c r="X308" s="532"/>
      <c r="Y308" s="528"/>
      <c r="AA308" s="670"/>
      <c r="AB308" s="378">
        <f t="shared" si="523"/>
        <v>0.79999999999999993</v>
      </c>
      <c r="AC308" s="374">
        <f t="shared" si="516"/>
        <v>56243.81439447897</v>
      </c>
      <c r="AD308" s="367">
        <f t="shared" si="517"/>
        <v>22957.283644293439</v>
      </c>
      <c r="AE308" s="375">
        <f t="shared" si="518"/>
        <v>2259.9577814137456</v>
      </c>
      <c r="AF308" s="374">
        <f t="shared" si="519"/>
        <v>92204.504857727879</v>
      </c>
      <c r="AG308" s="367">
        <f t="shared" si="520"/>
        <v>35706.54564642645</v>
      </c>
      <c r="AH308" s="380">
        <f t="shared" si="521"/>
        <v>6311.6360116109699</v>
      </c>
      <c r="AJ308" s="532"/>
      <c r="AK308" s="528"/>
      <c r="AL308" s="57"/>
      <c r="AM308" s="532"/>
      <c r="AN308" s="528"/>
      <c r="AO308" s="57"/>
      <c r="AP308" s="532"/>
      <c r="AQ308" s="528"/>
      <c r="AR308" s="57"/>
      <c r="AS308" s="532"/>
      <c r="AT308" s="528"/>
      <c r="AU308" s="57"/>
      <c r="AV308" s="532"/>
      <c r="AW308" s="528"/>
      <c r="AX308" s="57"/>
      <c r="AY308" s="532"/>
      <c r="AZ308" s="528"/>
    </row>
    <row r="309" spans="1:52" ht="15" thickBot="1" x14ac:dyDescent="0.35">
      <c r="A309" s="133"/>
      <c r="B309" s="134"/>
      <c r="C309" s="134"/>
      <c r="D309" s="134"/>
      <c r="E309" s="134"/>
      <c r="F309" s="134"/>
      <c r="G309" s="135"/>
      <c r="I309" s="533"/>
      <c r="J309" s="528"/>
      <c r="K309" s="57"/>
      <c r="L309" s="533"/>
      <c r="M309" s="528"/>
      <c r="N309" s="57"/>
      <c r="O309" s="533"/>
      <c r="P309" s="528"/>
      <c r="Q309" s="57"/>
      <c r="R309" s="533"/>
      <c r="S309" s="528"/>
      <c r="T309" s="57"/>
      <c r="U309" s="533"/>
      <c r="V309" s="528"/>
      <c r="W309" s="57"/>
      <c r="X309" s="533"/>
      <c r="Y309" s="528"/>
      <c r="AA309" s="670"/>
      <c r="AB309" s="133"/>
      <c r="AC309" s="134"/>
      <c r="AD309" s="134"/>
      <c r="AE309" s="134"/>
      <c r="AF309" s="134"/>
      <c r="AG309" s="134"/>
      <c r="AH309" s="135"/>
      <c r="AJ309" s="533"/>
      <c r="AK309" s="528"/>
      <c r="AL309" s="57"/>
      <c r="AM309" s="533"/>
      <c r="AN309" s="528"/>
      <c r="AO309" s="57"/>
      <c r="AP309" s="533"/>
      <c r="AQ309" s="528"/>
      <c r="AR309" s="57"/>
      <c r="AS309" s="533"/>
      <c r="AT309" s="528"/>
      <c r="AU309" s="57"/>
      <c r="AV309" s="533"/>
      <c r="AW309" s="528"/>
      <c r="AX309" s="57"/>
      <c r="AY309" s="533"/>
      <c r="AZ309" s="528"/>
    </row>
    <row r="310" spans="1:52" x14ac:dyDescent="0.3">
      <c r="I310" s="533"/>
      <c r="J310" s="528"/>
      <c r="K310" s="57"/>
      <c r="L310" s="533"/>
      <c r="M310" s="528"/>
      <c r="N310" s="57"/>
      <c r="O310" s="533"/>
      <c r="P310" s="528"/>
      <c r="Q310" s="57"/>
      <c r="R310" s="533"/>
      <c r="S310" s="528"/>
      <c r="T310" s="57"/>
      <c r="U310" s="533"/>
      <c r="V310" s="528"/>
      <c r="W310" s="57"/>
      <c r="X310" s="533"/>
      <c r="Y310" s="528"/>
      <c r="AA310" s="670"/>
      <c r="AJ310" s="533"/>
      <c r="AK310" s="528"/>
      <c r="AL310" s="57"/>
      <c r="AM310" s="533"/>
      <c r="AN310" s="528"/>
      <c r="AO310" s="57"/>
      <c r="AP310" s="533"/>
      <c r="AQ310" s="528"/>
      <c r="AR310" s="57"/>
      <c r="AS310" s="533"/>
      <c r="AT310" s="528"/>
      <c r="AU310" s="57"/>
      <c r="AV310" s="533"/>
      <c r="AW310" s="528"/>
      <c r="AX310" s="57"/>
      <c r="AY310" s="533"/>
      <c r="AZ310" s="528"/>
    </row>
    <row r="311" spans="1:52" x14ac:dyDescent="0.3">
      <c r="A311" t="s">
        <v>369</v>
      </c>
      <c r="I311" s="533"/>
      <c r="J311" s="528"/>
      <c r="K311" s="57"/>
      <c r="L311" s="533"/>
      <c r="M311" s="528"/>
      <c r="N311" s="57"/>
      <c r="O311" s="533"/>
      <c r="P311" s="528"/>
      <c r="Q311" s="57"/>
      <c r="R311" s="533"/>
      <c r="S311" s="528"/>
      <c r="T311" s="57"/>
      <c r="U311" s="533"/>
      <c r="V311" s="528"/>
      <c r="W311" s="57"/>
      <c r="X311" s="533"/>
      <c r="Y311" s="528"/>
      <c r="AA311" s="670"/>
      <c r="AJ311" s="533"/>
      <c r="AK311" s="528"/>
      <c r="AL311" s="57"/>
      <c r="AM311" s="533"/>
      <c r="AN311" s="528"/>
      <c r="AO311" s="57"/>
      <c r="AP311" s="533"/>
      <c r="AQ311" s="528"/>
      <c r="AR311" s="57"/>
      <c r="AS311" s="533"/>
      <c r="AT311" s="528"/>
      <c r="AU311" s="57"/>
      <c r="AV311" s="533"/>
      <c r="AW311" s="528"/>
      <c r="AX311" s="57"/>
      <c r="AY311" s="533"/>
      <c r="AZ311" s="528"/>
    </row>
    <row r="312" spans="1:52" x14ac:dyDescent="0.3">
      <c r="B312" s="8">
        <f t="shared" ref="B312:G312" si="524">((B308-B302)/($A$308-$A$302))/100</f>
        <v>1806.0632695517381</v>
      </c>
      <c r="C312" s="8">
        <f t="shared" si="524"/>
        <v>710.31728399965039</v>
      </c>
      <c r="D312" s="8">
        <f t="shared" si="524"/>
        <v>142.98550710726252</v>
      </c>
      <c r="E312" s="8">
        <f t="shared" si="524"/>
        <v>2948.099074227307</v>
      </c>
      <c r="F312" s="8">
        <f t="shared" si="524"/>
        <v>1105.1433753440986</v>
      </c>
      <c r="G312" s="8">
        <f t="shared" si="524"/>
        <v>308.74024269110396</v>
      </c>
      <c r="I312" s="533"/>
      <c r="J312" s="528"/>
      <c r="K312" s="57"/>
      <c r="L312" s="533"/>
      <c r="M312" s="528"/>
      <c r="N312" s="57"/>
      <c r="O312" s="533"/>
      <c r="P312" s="528"/>
      <c r="Q312" s="57"/>
      <c r="R312" s="533"/>
      <c r="S312" s="528"/>
      <c r="T312" s="57"/>
      <c r="U312" s="533"/>
      <c r="V312" s="528"/>
      <c r="W312" s="57"/>
      <c r="X312" s="533"/>
      <c r="Y312" s="528"/>
      <c r="AA312" s="670"/>
      <c r="AJ312" s="533"/>
      <c r="AK312" s="528"/>
      <c r="AL312" s="57"/>
      <c r="AM312" s="533"/>
      <c r="AN312" s="528"/>
      <c r="AO312" s="57"/>
      <c r="AP312" s="533"/>
      <c r="AQ312" s="528"/>
      <c r="AR312" s="57"/>
      <c r="AS312" s="533"/>
      <c r="AT312" s="528"/>
      <c r="AU312" s="57"/>
      <c r="AV312" s="533"/>
      <c r="AW312" s="528"/>
      <c r="AX312" s="57"/>
      <c r="AY312" s="533"/>
      <c r="AZ312" s="528"/>
    </row>
    <row r="313" spans="1:52" x14ac:dyDescent="0.3">
      <c r="I313" s="533"/>
      <c r="J313" s="528"/>
      <c r="K313" s="57"/>
      <c r="L313" s="533"/>
      <c r="M313" s="528"/>
      <c r="N313" s="57"/>
      <c r="O313" s="533"/>
      <c r="P313" s="528"/>
      <c r="Q313" s="57"/>
      <c r="R313" s="533"/>
      <c r="S313" s="528"/>
      <c r="T313" s="57"/>
      <c r="U313" s="533"/>
      <c r="V313" s="528"/>
      <c r="W313" s="57"/>
      <c r="X313" s="533"/>
      <c r="Y313" s="528"/>
      <c r="AA313" s="670"/>
      <c r="AJ313" s="533"/>
      <c r="AK313" s="528"/>
      <c r="AL313" s="57"/>
      <c r="AM313" s="533"/>
      <c r="AN313" s="528"/>
      <c r="AO313" s="57"/>
      <c r="AP313" s="533"/>
      <c r="AQ313" s="528"/>
      <c r="AR313" s="57"/>
      <c r="AS313" s="533"/>
      <c r="AT313" s="528"/>
      <c r="AU313" s="57"/>
      <c r="AV313" s="533"/>
      <c r="AW313" s="528"/>
      <c r="AX313" s="57"/>
      <c r="AY313" s="533"/>
      <c r="AZ313" s="528"/>
    </row>
    <row r="314" spans="1:52" x14ac:dyDescent="0.3">
      <c r="B314" s="28"/>
      <c r="I314" s="533"/>
      <c r="J314" s="528"/>
      <c r="K314" s="57"/>
      <c r="L314" s="533"/>
      <c r="M314" s="528"/>
      <c r="N314" s="57"/>
      <c r="O314" s="533"/>
      <c r="P314" s="528"/>
      <c r="Q314" s="57"/>
      <c r="R314" s="533"/>
      <c r="S314" s="528"/>
      <c r="T314" s="57"/>
      <c r="U314" s="533"/>
      <c r="V314" s="528"/>
      <c r="W314" s="57"/>
      <c r="X314" s="533"/>
      <c r="Y314" s="528"/>
      <c r="AA314" s="670"/>
      <c r="AJ314" s="533"/>
      <c r="AK314" s="528"/>
      <c r="AL314" s="57"/>
      <c r="AM314" s="533"/>
      <c r="AN314" s="528"/>
      <c r="AO314" s="57"/>
      <c r="AP314" s="533"/>
      <c r="AQ314" s="528"/>
      <c r="AR314" s="57"/>
      <c r="AS314" s="533"/>
      <c r="AT314" s="528"/>
      <c r="AU314" s="57"/>
      <c r="AV314" s="533"/>
      <c r="AW314" s="528"/>
      <c r="AX314" s="57"/>
      <c r="AY314" s="533"/>
      <c r="AZ314" s="528"/>
    </row>
    <row r="315" spans="1:52" x14ac:dyDescent="0.3">
      <c r="I315" s="533"/>
      <c r="J315" s="528"/>
      <c r="K315" s="57"/>
      <c r="L315" s="533"/>
      <c r="M315" s="528"/>
      <c r="N315" s="57"/>
      <c r="O315" s="533"/>
      <c r="P315" s="528"/>
      <c r="Q315" s="57"/>
      <c r="R315" s="533"/>
      <c r="S315" s="528"/>
      <c r="T315" s="57"/>
      <c r="U315" s="533"/>
      <c r="V315" s="528"/>
      <c r="W315" s="57"/>
      <c r="X315" s="533"/>
      <c r="Y315" s="528"/>
      <c r="AA315" s="670"/>
      <c r="AJ315" s="533"/>
      <c r="AK315" s="528"/>
      <c r="AL315" s="57"/>
      <c r="AM315" s="533"/>
      <c r="AN315" s="528"/>
      <c r="AO315" s="57"/>
      <c r="AP315" s="533"/>
      <c r="AQ315" s="528"/>
      <c r="AR315" s="57"/>
      <c r="AS315" s="533"/>
      <c r="AT315" s="528"/>
      <c r="AU315" s="57"/>
      <c r="AV315" s="533"/>
      <c r="AW315" s="528"/>
      <c r="AX315" s="57"/>
      <c r="AY315" s="533"/>
      <c r="AZ315" s="528"/>
    </row>
    <row r="316" spans="1:52" x14ac:dyDescent="0.3">
      <c r="AA316" s="670"/>
    </row>
    <row r="317" spans="1:52" x14ac:dyDescent="0.3">
      <c r="AA317" s="670"/>
    </row>
  </sheetData>
  <mergeCells count="176">
    <mergeCell ref="L3:M3"/>
    <mergeCell ref="J271:K271"/>
    <mergeCell ref="L271:M271"/>
    <mergeCell ref="J93:K93"/>
    <mergeCell ref="L103:M103"/>
    <mergeCell ref="J105:J106"/>
    <mergeCell ref="R271:S271"/>
    <mergeCell ref="L193:M193"/>
    <mergeCell ref="L183:M183"/>
    <mergeCell ref="Q124:R124"/>
    <mergeCell ref="L93:M93"/>
    <mergeCell ref="N93:O93"/>
    <mergeCell ref="P93:Q93"/>
    <mergeCell ref="O100:P100"/>
    <mergeCell ref="P183:Q183"/>
    <mergeCell ref="Q214:R214"/>
    <mergeCell ref="P207:Q207"/>
    <mergeCell ref="P190:Q190"/>
    <mergeCell ref="N271:O271"/>
    <mergeCell ref="P271:Q271"/>
    <mergeCell ref="R183:S183"/>
    <mergeCell ref="V93:W93"/>
    <mergeCell ref="V183:W183"/>
    <mergeCell ref="V3:W3"/>
    <mergeCell ref="U97:V97"/>
    <mergeCell ref="T93:U93"/>
    <mergeCell ref="U109:V109"/>
    <mergeCell ref="T183:U183"/>
    <mergeCell ref="R3:S3"/>
    <mergeCell ref="N183:O183"/>
    <mergeCell ref="R93:S93"/>
    <mergeCell ref="T3:U3"/>
    <mergeCell ref="N3:O3"/>
    <mergeCell ref="P3:Q3"/>
    <mergeCell ref="D3:E3"/>
    <mergeCell ref="F3:G3"/>
    <mergeCell ref="H3:I3"/>
    <mergeCell ref="J3:K3"/>
    <mergeCell ref="J195:J196"/>
    <mergeCell ref="D93:E93"/>
    <mergeCell ref="F93:G93"/>
    <mergeCell ref="H93:I93"/>
    <mergeCell ref="D183:E183"/>
    <mergeCell ref="F183:G183"/>
    <mergeCell ref="H183:I183"/>
    <mergeCell ref="J183:K183"/>
    <mergeCell ref="AB286:AB287"/>
    <mergeCell ref="AC286:AC287"/>
    <mergeCell ref="AJ297:AN297"/>
    <mergeCell ref="AP297:AT297"/>
    <mergeCell ref="AV297:AZ297"/>
    <mergeCell ref="AB277:AB278"/>
    <mergeCell ref="AC277:AC278"/>
    <mergeCell ref="AJ277:AK277"/>
    <mergeCell ref="AM277:AN277"/>
    <mergeCell ref="AP277:AQ277"/>
    <mergeCell ref="AD276:AD277"/>
    <mergeCell ref="AE276:AE277"/>
    <mergeCell ref="AJ276:AN276"/>
    <mergeCell ref="AP276:AT276"/>
    <mergeCell ref="AV276:AZ276"/>
    <mergeCell ref="AS277:AT277"/>
    <mergeCell ref="AV277:AW277"/>
    <mergeCell ref="AY277:AZ277"/>
    <mergeCell ref="X298:Y298"/>
    <mergeCell ref="T271:U271"/>
    <mergeCell ref="V271:W271"/>
    <mergeCell ref="U199:V199"/>
    <mergeCell ref="U276:Y276"/>
    <mergeCell ref="U277:V277"/>
    <mergeCell ref="X277:Y277"/>
    <mergeCell ref="U297:Y297"/>
    <mergeCell ref="L277:M277"/>
    <mergeCell ref="I276:M276"/>
    <mergeCell ref="I297:M297"/>
    <mergeCell ref="O297:S297"/>
    <mergeCell ref="O276:S276"/>
    <mergeCell ref="A286:A287"/>
    <mergeCell ref="I277:J277"/>
    <mergeCell ref="A277:A278"/>
    <mergeCell ref="B277:B278"/>
    <mergeCell ref="B286:B287"/>
    <mergeCell ref="C276:C277"/>
    <mergeCell ref="D276:D277"/>
    <mergeCell ref="U187:V187"/>
    <mergeCell ref="U298:V298"/>
    <mergeCell ref="B300:D300"/>
    <mergeCell ref="B299:D299"/>
    <mergeCell ref="E300:G300"/>
    <mergeCell ref="O298:P298"/>
    <mergeCell ref="R298:S298"/>
    <mergeCell ref="L298:M298"/>
    <mergeCell ref="I298:J298"/>
    <mergeCell ref="E299:G299"/>
    <mergeCell ref="O277:P277"/>
    <mergeCell ref="R277:S277"/>
    <mergeCell ref="N2:O2"/>
    <mergeCell ref="P2:Q2"/>
    <mergeCell ref="R2:S2"/>
    <mergeCell ref="T2:U2"/>
    <mergeCell ref="V2:W2"/>
    <mergeCell ref="D2:E2"/>
    <mergeCell ref="F2:G2"/>
    <mergeCell ref="H2:I2"/>
    <mergeCell ref="J2:K2"/>
    <mergeCell ref="L2:M2"/>
    <mergeCell ref="AW3:AX3"/>
    <mergeCell ref="AE3:AF3"/>
    <mergeCell ref="AG3:AH3"/>
    <mergeCell ref="AI3:AJ3"/>
    <mergeCell ref="AK3:AL3"/>
    <mergeCell ref="AM3:AN3"/>
    <mergeCell ref="AO2:AP2"/>
    <mergeCell ref="AQ2:AR2"/>
    <mergeCell ref="AS2:AT2"/>
    <mergeCell ref="AU2:AV2"/>
    <mergeCell ref="AW2:AX2"/>
    <mergeCell ref="AE2:AF2"/>
    <mergeCell ref="AG2:AH2"/>
    <mergeCell ref="AI2:AJ2"/>
    <mergeCell ref="AK2:AL2"/>
    <mergeCell ref="AM2:AN2"/>
    <mergeCell ref="AE93:AF93"/>
    <mergeCell ref="AG93:AH93"/>
    <mergeCell ref="AI93:AJ93"/>
    <mergeCell ref="AK93:AL93"/>
    <mergeCell ref="AM93:AN93"/>
    <mergeCell ref="AO3:AP3"/>
    <mergeCell ref="AQ3:AR3"/>
    <mergeCell ref="AS3:AT3"/>
    <mergeCell ref="AU3:AV3"/>
    <mergeCell ref="AV97:AW97"/>
    <mergeCell ref="AP100:AQ100"/>
    <mergeCell ref="AM103:AN103"/>
    <mergeCell ref="AK105:AK106"/>
    <mergeCell ref="AV109:AW109"/>
    <mergeCell ref="AO93:AP93"/>
    <mergeCell ref="AQ93:AR93"/>
    <mergeCell ref="AS93:AT93"/>
    <mergeCell ref="AU93:AV93"/>
    <mergeCell ref="AW93:AX93"/>
    <mergeCell ref="AU183:AV183"/>
    <mergeCell ref="AW183:AX183"/>
    <mergeCell ref="AV187:AW187"/>
    <mergeCell ref="AQ190:AR190"/>
    <mergeCell ref="AM193:AN193"/>
    <mergeCell ref="AR124:AS124"/>
    <mergeCell ref="AE183:AF183"/>
    <mergeCell ref="AG183:AH183"/>
    <mergeCell ref="AI183:AJ183"/>
    <mergeCell ref="AK183:AL183"/>
    <mergeCell ref="AM183:AN183"/>
    <mergeCell ref="AO183:AP183"/>
    <mergeCell ref="AQ183:AR183"/>
    <mergeCell ref="AS183:AT183"/>
    <mergeCell ref="AK195:AK196"/>
    <mergeCell ref="AV199:AW199"/>
    <mergeCell ref="AQ207:AR207"/>
    <mergeCell ref="AR214:AS214"/>
    <mergeCell ref="AK271:AL271"/>
    <mergeCell ref="AM271:AN271"/>
    <mergeCell ref="AO271:AP271"/>
    <mergeCell ref="AQ271:AR271"/>
    <mergeCell ref="AS271:AT271"/>
    <mergeCell ref="AU271:AV271"/>
    <mergeCell ref="AW271:AX271"/>
    <mergeCell ref="AY298:AZ298"/>
    <mergeCell ref="AC299:AE299"/>
    <mergeCell ref="AF299:AH299"/>
    <mergeCell ref="AC300:AE300"/>
    <mergeCell ref="AF300:AH300"/>
    <mergeCell ref="AJ298:AK298"/>
    <mergeCell ref="AM298:AN298"/>
    <mergeCell ref="AP298:AQ298"/>
    <mergeCell ref="AS298:AT298"/>
    <mergeCell ref="AV298:AW298"/>
  </mergeCells>
  <conditionalFormatting sqref="A94:V96 A127:G127 I127:J127 A128:J135 A99:J105 A98:V98 A97:T97 A107:J126 A106:I106 A158:M159 AB157:AW157 AB156:AT156 AV156:AW156 AU155 AP159:AT159 AV159:AW159 AU158 AB163:AW179 AB162:AT162 AV162:AW162 AU161 AB253:AW269 AB252:AT252 AV252:AW252 AU251 AP249:AT249 AV249:AW249 AU248 AB247:AW247 AB246:AT246 AV246:AW246 AU245 A157:V157 A156:S156 U156:V156 A136:V155 O159:S159 U159:V159 O158:V158 A163:V179 A162:S162 U162:V162 A160:V161">
    <cfRule type="cellIs" dxfId="39" priority="8" operator="equal">
      <formula>0</formula>
    </cfRule>
  </conditionalFormatting>
  <conditionalFormatting sqref="A184:V185 A186:M208 A248:J249 A209:S209 O248:V249 A250:V269 A210:V247">
    <cfRule type="cellIs" dxfId="38" priority="7" operator="equal">
      <formula>0</formula>
    </cfRule>
  </conditionalFormatting>
  <conditionalFormatting sqref="N186:V186 N188:V188 N187:T187">
    <cfRule type="cellIs" dxfId="37" priority="6" operator="equal">
      <formula>0</formula>
    </cfRule>
  </conditionalFormatting>
  <conditionalFormatting sqref="K248:M249">
    <cfRule type="cellIs" dxfId="36" priority="5" operator="equal">
      <formula>0</formula>
    </cfRule>
  </conditionalFormatting>
  <conditionalFormatting sqref="AB94:AW96 AB127:AH127 AJ127:AK127 AB128:AK135 AB99:AK105 AB98:AW98 AB97:AU97 AB107:AK126 AB106:AJ106 AB158:AN159 AB136:AW154 AB160:AW160 AB155:AT155 AV155:AW155 AP158:AT158 AV158:AW158 AB161:AT161 AV161:AW161">
    <cfRule type="cellIs" dxfId="35" priority="4" operator="equal">
      <formula>0</formula>
    </cfRule>
  </conditionalFormatting>
  <conditionalFormatting sqref="AB184:AW185 AB186:AN208 AB248:AK249 AB209:AT209 AB250:AW250 AB251:AT251 AV251:AW251 AP248:AT248 AV248:AW248 AB245:AT245 AV245:AW245 AB210:AW244">
    <cfRule type="cellIs" dxfId="34" priority="3" operator="equal">
      <formula>0</formula>
    </cfRule>
  </conditionalFormatting>
  <conditionalFormatting sqref="AO186:AW186 AO188:AW188 AO187:AU187">
    <cfRule type="cellIs" dxfId="33" priority="2" operator="equal">
      <formula>0</formula>
    </cfRule>
  </conditionalFormatting>
  <conditionalFormatting sqref="AL248:AN249">
    <cfRule type="cellIs" dxfId="32" priority="1" operator="equal">
      <formula>0</formula>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B595"/>
  <sheetViews>
    <sheetView showGridLines="0" topLeftCell="AM1" zoomScaleNormal="100" workbookViewId="0">
      <selection activeCell="BC23" sqref="BC23"/>
    </sheetView>
  </sheetViews>
  <sheetFormatPr defaultRowHeight="14.4" x14ac:dyDescent="0.3"/>
  <cols>
    <col min="1" max="1" width="16.44140625" customWidth="1"/>
    <col min="2" max="2" width="16.5546875" customWidth="1"/>
    <col min="3" max="3" width="13.33203125" bestFit="1" customWidth="1"/>
    <col min="4" max="4" width="13.109375" customWidth="1"/>
    <col min="5" max="5" width="13.44140625" customWidth="1"/>
    <col min="6" max="6" width="11.6640625" customWidth="1"/>
    <col min="7" max="7" width="13.44140625" customWidth="1"/>
    <col min="8" max="8" width="11" customWidth="1"/>
    <col min="9" max="9" width="13.33203125" bestFit="1" customWidth="1"/>
    <col min="10" max="10" width="12.5546875" customWidth="1"/>
    <col min="11" max="11" width="11.44140625" customWidth="1"/>
    <col min="12" max="12" width="10.6640625" customWidth="1"/>
    <col min="13" max="13" width="10.109375" customWidth="1"/>
    <col min="14" max="14" width="11" customWidth="1"/>
    <col min="15" max="15" width="10.6640625" customWidth="1"/>
    <col min="16" max="16" width="9.6640625" customWidth="1"/>
    <col min="18" max="18" width="15.33203125" customWidth="1"/>
    <col min="19" max="19" width="12.44140625" customWidth="1"/>
    <col min="20" max="21" width="10.6640625" customWidth="1"/>
    <col min="23" max="24" width="11.5546875" bestFit="1" customWidth="1"/>
    <col min="25" max="25" width="10.44140625" customWidth="1"/>
    <col min="30" max="30" width="16.44140625" customWidth="1"/>
    <col min="31" max="31" width="16.5546875" customWidth="1"/>
    <col min="32" max="32" width="11.5546875" bestFit="1" customWidth="1"/>
    <col min="33" max="33" width="13.109375" customWidth="1"/>
    <col min="34" max="34" width="13.44140625" customWidth="1"/>
    <col min="35" max="35" width="11.6640625" customWidth="1"/>
    <col min="36" max="36" width="13.44140625" customWidth="1"/>
    <col min="37" max="37" width="11" customWidth="1"/>
    <col min="38" max="38" width="13.33203125" bestFit="1" customWidth="1"/>
    <col min="39" max="39" width="12.5546875" customWidth="1"/>
    <col min="40" max="40" width="11.44140625" customWidth="1"/>
    <col min="41" max="41" width="10.6640625" customWidth="1"/>
    <col min="42" max="42" width="10.109375" customWidth="1"/>
    <col min="43" max="43" width="11" customWidth="1"/>
    <col min="44" max="44" width="10.6640625" customWidth="1"/>
    <col min="45" max="45" width="9.6640625" customWidth="1"/>
    <col min="47" max="47" width="15.33203125" customWidth="1"/>
    <col min="48" max="48" width="12.44140625" customWidth="1"/>
    <col min="49" max="50" width="10.6640625" customWidth="1"/>
    <col min="52" max="53" width="11.5546875" bestFit="1" customWidth="1"/>
    <col min="54" max="54" width="10.44140625" customWidth="1"/>
    <col min="67" max="67" width="14" customWidth="1"/>
  </cols>
  <sheetData>
    <row r="1" spans="1:57" ht="15" thickBot="1" x14ac:dyDescent="0.35">
      <c r="H1" s="13"/>
      <c r="I1" s="13"/>
      <c r="J1" s="13"/>
      <c r="K1" s="13"/>
      <c r="L1" s="13"/>
      <c r="M1" s="13"/>
      <c r="N1" s="13"/>
      <c r="O1" s="13"/>
      <c r="P1" s="13"/>
      <c r="Q1" s="13"/>
      <c r="R1" s="13"/>
      <c r="S1" s="13"/>
      <c r="T1" s="13"/>
      <c r="U1" s="13"/>
      <c r="AK1" s="13"/>
      <c r="AL1" s="13"/>
      <c r="AM1" s="13"/>
      <c r="AN1" s="13"/>
      <c r="AO1" s="13"/>
      <c r="AP1" s="13"/>
      <c r="AQ1" s="13"/>
      <c r="AR1" s="13"/>
      <c r="AS1" s="13"/>
      <c r="AT1" s="13"/>
      <c r="AU1" s="13"/>
      <c r="AV1" s="13"/>
      <c r="AW1" s="13"/>
      <c r="AX1" s="13"/>
    </row>
    <row r="2" spans="1:57" ht="18.600000000000001" thickBot="1" x14ac:dyDescent="0.4">
      <c r="A2" s="436"/>
      <c r="B2" s="436" t="s">
        <v>349</v>
      </c>
      <c r="C2" s="43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D2" s="682"/>
      <c r="AE2" s="682" t="s">
        <v>350</v>
      </c>
      <c r="AF2" s="682"/>
      <c r="AG2" s="1106"/>
      <c r="AH2" s="1106"/>
      <c r="AI2" s="1106"/>
      <c r="AJ2" s="1106"/>
      <c r="AK2" s="1106"/>
      <c r="AL2" s="1106"/>
      <c r="AM2" s="1106"/>
      <c r="AN2" s="1106"/>
      <c r="AO2" s="1106"/>
      <c r="AP2" s="1106"/>
      <c r="AQ2" s="1106"/>
      <c r="AR2" s="1106"/>
      <c r="AS2" s="1106"/>
      <c r="AT2" s="1106"/>
      <c r="AU2" s="1106"/>
      <c r="AV2" s="1106"/>
      <c r="AW2" s="1106"/>
      <c r="AX2" s="1106"/>
      <c r="AY2" s="1106"/>
      <c r="AZ2" s="1106"/>
      <c r="BA2" s="1106"/>
      <c r="BB2" s="1106"/>
      <c r="BC2" s="1106"/>
      <c r="BD2" s="1106"/>
    </row>
    <row r="3" spans="1:57" x14ac:dyDescent="0.3">
      <c r="H3" s="13"/>
      <c r="I3" s="13"/>
      <c r="J3" s="13"/>
      <c r="K3" s="13"/>
      <c r="L3" s="13"/>
      <c r="M3" s="13"/>
      <c r="N3" s="13"/>
      <c r="O3" s="13"/>
      <c r="P3" s="13"/>
      <c r="Q3" s="13"/>
      <c r="R3" s="13"/>
      <c r="S3" s="13"/>
      <c r="T3" s="13"/>
      <c r="U3" s="13"/>
      <c r="AK3" s="13"/>
      <c r="AL3" s="13"/>
      <c r="AM3" s="13"/>
      <c r="AN3" s="13"/>
      <c r="AO3" s="13"/>
      <c r="AP3" s="13"/>
      <c r="AQ3" s="13"/>
      <c r="AR3" s="13"/>
      <c r="AS3" s="13"/>
      <c r="AT3" s="13"/>
      <c r="AU3" s="13"/>
      <c r="AV3" s="13"/>
      <c r="AW3" s="13"/>
      <c r="AX3" s="13"/>
    </row>
    <row r="4" spans="1:57" x14ac:dyDescent="0.3">
      <c r="A4" t="s">
        <v>68</v>
      </c>
      <c r="H4" s="13"/>
      <c r="I4" s="13"/>
      <c r="J4" s="13"/>
      <c r="K4" s="13"/>
      <c r="L4" s="13"/>
      <c r="M4" t="s">
        <v>5</v>
      </c>
      <c r="N4" s="8">
        <f>N16+N35</f>
        <v>1004972.4610476634</v>
      </c>
      <c r="O4" s="13"/>
      <c r="P4" s="13"/>
      <c r="R4" t="s">
        <v>5</v>
      </c>
      <c r="S4" s="8">
        <f>S10+S22</f>
        <v>149519.46964704155</v>
      </c>
      <c r="T4" s="8"/>
      <c r="U4" s="102"/>
      <c r="V4" s="103"/>
      <c r="W4" t="s">
        <v>5</v>
      </c>
      <c r="X4" s="8">
        <f>X7+X10+X13</f>
        <v>59902.525189236017</v>
      </c>
      <c r="Y4" s="102"/>
      <c r="Z4" s="28"/>
      <c r="AA4" s="19"/>
      <c r="AD4" t="s">
        <v>68</v>
      </c>
      <c r="AK4" s="13"/>
      <c r="AL4" s="13"/>
      <c r="AM4" s="13"/>
      <c r="AN4" s="13"/>
      <c r="AO4" s="13"/>
      <c r="AP4" t="s">
        <v>5</v>
      </c>
      <c r="AQ4" s="8">
        <f>AQ16+AQ35</f>
        <v>1004972.4610476634</v>
      </c>
      <c r="AR4" s="13"/>
      <c r="AS4" s="13"/>
      <c r="AU4" t="s">
        <v>5</v>
      </c>
      <c r="AV4" s="8">
        <f>AV10+AV22</f>
        <v>61369.239320257082</v>
      </c>
      <c r="AW4" s="8"/>
      <c r="AX4" s="102"/>
      <c r="AY4" s="103"/>
      <c r="AZ4" t="s">
        <v>5</v>
      </c>
      <c r="BA4" s="8">
        <f>BA7+BA10+BA13</f>
        <v>13595.952959369357</v>
      </c>
      <c r="BB4" s="102"/>
      <c r="BC4" s="28"/>
      <c r="BD4" s="19"/>
    </row>
    <row r="6" spans="1:57" x14ac:dyDescent="0.3">
      <c r="H6" s="13"/>
      <c r="I6" s="13"/>
      <c r="J6" s="13"/>
      <c r="K6" s="13"/>
      <c r="L6" s="13"/>
      <c r="M6" s="13"/>
      <c r="N6" s="13"/>
      <c r="O6" s="13"/>
      <c r="P6" s="13"/>
      <c r="X6" s="237" t="s">
        <v>160</v>
      </c>
      <c r="Y6" s="237" t="s">
        <v>161</v>
      </c>
      <c r="Z6" s="237" t="s">
        <v>162</v>
      </c>
      <c r="AK6" s="13"/>
      <c r="AL6" s="13"/>
      <c r="AM6" s="13"/>
      <c r="AN6" s="13"/>
      <c r="AO6" s="13"/>
      <c r="AP6" s="13"/>
      <c r="AQ6" s="13"/>
      <c r="AR6" s="13"/>
      <c r="AS6" s="13"/>
      <c r="BA6" s="684" t="s">
        <v>160</v>
      </c>
      <c r="BB6" s="684" t="s">
        <v>161</v>
      </c>
      <c r="BC6" s="684" t="s">
        <v>162</v>
      </c>
    </row>
    <row r="7" spans="1:57" x14ac:dyDescent="0.3">
      <c r="H7" s="13"/>
      <c r="I7" s="13"/>
      <c r="J7" s="13"/>
      <c r="K7" s="13"/>
      <c r="L7" s="88"/>
      <c r="M7" s="13"/>
      <c r="N7" s="88"/>
      <c r="O7" s="13"/>
      <c r="P7" s="13"/>
      <c r="W7" s="2" t="s">
        <v>64</v>
      </c>
      <c r="X7" s="33">
        <f>$N$16*X8</f>
        <v>40729.023493014349</v>
      </c>
      <c r="Y7" s="33">
        <f>$N$16*Y8</f>
        <v>33944.867204507114</v>
      </c>
      <c r="Z7" s="33">
        <f>$N$16*Z8</f>
        <v>47489.09401955051</v>
      </c>
      <c r="AC7" s="13"/>
      <c r="AK7" s="13"/>
      <c r="AL7" s="13"/>
      <c r="AM7" s="13"/>
      <c r="AN7" s="13"/>
      <c r="AO7" s="88"/>
      <c r="AP7" s="13"/>
      <c r="AQ7" s="88"/>
      <c r="AR7" s="13"/>
      <c r="AS7" s="13"/>
      <c r="AZ7" s="2" t="s">
        <v>64</v>
      </c>
      <c r="BA7" s="33">
        <f>$AQ$16*BA8</f>
        <v>9021.4889392231726</v>
      </c>
      <c r="BB7" s="33">
        <f t="shared" ref="BB7:BC7" si="0">$AQ$16*BB8</f>
        <v>7522.4395819925448</v>
      </c>
      <c r="BC7" s="33">
        <f t="shared" si="0"/>
        <v>10591.50087100173</v>
      </c>
    </row>
    <row r="8" spans="1:57" x14ac:dyDescent="0.3">
      <c r="H8" s="13"/>
      <c r="I8" s="13"/>
      <c r="J8" s="13"/>
      <c r="K8" s="13"/>
      <c r="L8" s="13"/>
      <c r="M8" s="13"/>
      <c r="N8" s="13"/>
      <c r="O8" s="13"/>
      <c r="P8" s="13"/>
      <c r="R8" s="14" t="s">
        <v>128</v>
      </c>
      <c r="S8" s="28">
        <f>$N$16*S12</f>
        <v>49759.47192600336</v>
      </c>
      <c r="U8" s="16"/>
      <c r="V8" s="17"/>
      <c r="W8" s="15" t="s">
        <v>84</v>
      </c>
      <c r="X8" s="61">
        <f>'WiS percent RSV_base'!BV70</f>
        <v>5.0659377584529985E-2</v>
      </c>
      <c r="Y8" s="61">
        <f>'WiS percent RSV_low'!$BT$67</f>
        <v>4.2221141026491764E-2</v>
      </c>
      <c r="Z8" s="61">
        <f>'WiS percent RSV_high'!$BT$69</f>
        <v>5.906765590626744E-2</v>
      </c>
      <c r="AC8" s="13"/>
      <c r="AK8" s="13"/>
      <c r="AL8" s="13"/>
      <c r="AM8" s="13"/>
      <c r="AN8" s="13"/>
      <c r="AO8" s="13"/>
      <c r="AP8" s="13"/>
      <c r="AQ8" s="13"/>
      <c r="AR8" s="13"/>
      <c r="AS8" s="13"/>
      <c r="AU8" s="14" t="s">
        <v>128</v>
      </c>
      <c r="AV8" s="28">
        <f>$N$16*AV12</f>
        <v>11283.743060206816</v>
      </c>
      <c r="AX8" s="16"/>
      <c r="AY8" s="17"/>
      <c r="AZ8" s="15" t="s">
        <v>84</v>
      </c>
      <c r="BA8" s="61">
        <f>'OoS percent RSV_base'!BI72</f>
        <v>1.1221064866069132E-2</v>
      </c>
      <c r="BB8" s="61">
        <f>'OoS percent RSV_low'!BI72</f>
        <v>9.3565245237548032E-3</v>
      </c>
      <c r="BC8" s="61">
        <f>'OoS percent RSV_high'!BI72</f>
        <v>1.3173869535639197E-2</v>
      </c>
    </row>
    <row r="9" spans="1:57" x14ac:dyDescent="0.3">
      <c r="H9" s="13"/>
      <c r="I9" s="13"/>
      <c r="J9" s="13"/>
      <c r="K9" s="13"/>
      <c r="L9" s="13"/>
      <c r="M9" s="13"/>
      <c r="N9" s="13"/>
      <c r="O9" s="13"/>
      <c r="P9" s="13"/>
      <c r="R9" s="285" t="s">
        <v>129</v>
      </c>
      <c r="S9" s="28">
        <f>$N$16*S13</f>
        <v>70140.648897049221</v>
      </c>
      <c r="U9" s="11"/>
      <c r="V9" s="13"/>
      <c r="W9" s="2"/>
      <c r="AC9" s="13"/>
      <c r="AK9" s="13"/>
      <c r="AL9" s="13"/>
      <c r="AM9" s="13"/>
      <c r="AN9" s="13"/>
      <c r="AO9" s="13"/>
      <c r="AP9" s="13"/>
      <c r="AQ9" s="13"/>
      <c r="AR9" s="13"/>
      <c r="AS9" s="13"/>
      <c r="AU9" s="285" t="s">
        <v>129</v>
      </c>
      <c r="AV9" s="28">
        <f>$N$16*AV13</f>
        <v>16021.000095818492</v>
      </c>
      <c r="AX9" s="11"/>
      <c r="AY9" s="13"/>
      <c r="AZ9" s="2"/>
    </row>
    <row r="10" spans="1:57" x14ac:dyDescent="0.3">
      <c r="H10" s="13"/>
      <c r="I10" s="13"/>
      <c r="J10" s="13"/>
      <c r="K10" s="13"/>
      <c r="L10" s="13"/>
      <c r="M10" s="13"/>
      <c r="N10" s="13"/>
      <c r="O10" s="13"/>
      <c r="P10" s="13"/>
      <c r="R10" s="12" t="s">
        <v>289</v>
      </c>
      <c r="S10" s="90">
        <f>$N$16*S11</f>
        <v>59902.525189236017</v>
      </c>
      <c r="T10" s="90"/>
      <c r="U10" s="18"/>
      <c r="V10" s="10"/>
      <c r="W10" s="12" t="s">
        <v>65</v>
      </c>
      <c r="X10" s="33">
        <f>$N$16*X11</f>
        <v>12540.653399583756</v>
      </c>
      <c r="Y10" s="33">
        <f>$N$16*Y11</f>
        <v>10734.221251756393</v>
      </c>
      <c r="Z10" s="33">
        <f>$N$16*Z11</f>
        <v>14347.085547411121</v>
      </c>
      <c r="AA10" s="13"/>
      <c r="AC10" s="13"/>
      <c r="AK10" s="13"/>
      <c r="AL10" s="13"/>
      <c r="AM10" s="13"/>
      <c r="AN10" s="13"/>
      <c r="AO10" s="13"/>
      <c r="AP10" s="13"/>
      <c r="AQ10" s="13"/>
      <c r="AR10" s="13"/>
      <c r="AS10" s="13"/>
      <c r="AU10" s="12" t="s">
        <v>289</v>
      </c>
      <c r="AV10" s="90">
        <f>$N$16*AV11</f>
        <v>13595.952959369357</v>
      </c>
      <c r="AW10" s="90"/>
      <c r="AX10" s="18"/>
      <c r="AY10" s="500"/>
      <c r="AZ10" s="12" t="s">
        <v>65</v>
      </c>
      <c r="BA10" s="33">
        <f t="shared" ref="BA10:BC10" si="1">$AQ$16*BA11</f>
        <v>3801.014950167867</v>
      </c>
      <c r="BB10" s="33">
        <f t="shared" si="1"/>
        <v>3254.8356283690659</v>
      </c>
      <c r="BC10" s="33">
        <f t="shared" si="1"/>
        <v>4349.3606801252417</v>
      </c>
      <c r="BD10" s="13"/>
    </row>
    <row r="11" spans="1:57" x14ac:dyDescent="0.3">
      <c r="H11" s="13"/>
      <c r="I11" s="13"/>
      <c r="J11" s="13"/>
      <c r="K11" s="13"/>
      <c r="L11" s="13"/>
      <c r="M11" s="13"/>
      <c r="N11" s="13"/>
      <c r="O11" s="13"/>
      <c r="P11" s="13"/>
      <c r="R11" s="59" t="s">
        <v>87</v>
      </c>
      <c r="S11" s="96">
        <f>X8+X11+X14</f>
        <v>7.4507669999719264E-2</v>
      </c>
      <c r="T11" s="96"/>
      <c r="U11" s="11"/>
      <c r="V11" s="13"/>
      <c r="W11" s="2" t="s">
        <v>85</v>
      </c>
      <c r="X11" s="61">
        <f>'WiS percent RSV_base'!BV46</f>
        <v>1.5598255033912049E-2</v>
      </c>
      <c r="Y11" s="61">
        <f>'WiS percent RSV_low'!$BT$44</f>
        <v>1.3351387311357498E-2</v>
      </c>
      <c r="Z11" s="61">
        <f>'WiS percent RSV_high'!$BT$45</f>
        <v>1.7845122756466599E-2</v>
      </c>
      <c r="AA11" s="13"/>
      <c r="AB11" s="13"/>
      <c r="AC11" s="13"/>
      <c r="AK11" s="13"/>
      <c r="AL11" s="13"/>
      <c r="AM11" s="13"/>
      <c r="AN11" s="13"/>
      <c r="AO11" s="13"/>
      <c r="AP11" s="13"/>
      <c r="AQ11" s="13"/>
      <c r="AR11" s="13"/>
      <c r="AS11" s="13"/>
      <c r="AU11" s="59" t="s">
        <v>87</v>
      </c>
      <c r="AV11" s="96">
        <f>BA8+BA11+BA14</f>
        <v>1.6910852643160803E-2</v>
      </c>
      <c r="AW11" s="96"/>
      <c r="AX11" s="11"/>
      <c r="AY11" s="13"/>
      <c r="AZ11" s="2" t="s">
        <v>85</v>
      </c>
      <c r="BA11" s="20">
        <f>'OoS percent RSV_base'!BI49</f>
        <v>4.7277600848452429E-3</v>
      </c>
      <c r="BB11" s="20">
        <f>'OoS percent RSV_low'!BI49</f>
        <v>4.0484139547664394E-3</v>
      </c>
      <c r="BC11" s="20">
        <f>'OoS percent RSV_high'!BI49</f>
        <v>5.4098008262722964E-3</v>
      </c>
      <c r="BD11" s="13"/>
      <c r="BE11" s="13"/>
    </row>
    <row r="12" spans="1:57" x14ac:dyDescent="0.3">
      <c r="H12" s="13"/>
      <c r="I12" s="13"/>
      <c r="J12" s="13"/>
      <c r="K12" s="13"/>
      <c r="L12" s="13"/>
      <c r="M12" s="13"/>
      <c r="N12" s="13"/>
      <c r="O12" s="13"/>
      <c r="P12" s="13"/>
      <c r="Q12" s="72"/>
      <c r="R12" s="300" t="s">
        <v>128</v>
      </c>
      <c r="S12" s="96">
        <f>Y8+Y11+Y14</f>
        <v>6.1891586404927604E-2</v>
      </c>
      <c r="U12" s="11"/>
      <c r="V12" s="13"/>
      <c r="W12" s="2"/>
      <c r="AA12" s="63"/>
      <c r="AB12" s="13"/>
      <c r="AC12" s="13"/>
      <c r="AK12" s="13"/>
      <c r="AL12" s="13"/>
      <c r="AM12" s="13"/>
      <c r="AN12" s="13"/>
      <c r="AO12" s="13"/>
      <c r="AP12" s="13"/>
      <c r="AQ12" s="13"/>
      <c r="AR12" s="13"/>
      <c r="AS12" s="13"/>
      <c r="AT12" s="72"/>
      <c r="AU12" s="300" t="s">
        <v>128</v>
      </c>
      <c r="AV12" s="96">
        <f>BB8+BB11+BB14</f>
        <v>1.4034890877064114E-2</v>
      </c>
      <c r="AX12" s="11"/>
      <c r="AY12" s="13"/>
      <c r="AZ12" s="2"/>
      <c r="BD12" s="63"/>
      <c r="BE12" s="13"/>
    </row>
    <row r="13" spans="1:57" x14ac:dyDescent="0.3">
      <c r="H13" s="13"/>
      <c r="I13" s="13"/>
      <c r="J13" s="13"/>
      <c r="K13" s="13"/>
      <c r="L13" s="13"/>
      <c r="M13" s="13"/>
      <c r="N13" s="13"/>
      <c r="O13" s="13"/>
      <c r="P13" s="13"/>
      <c r="R13" s="300" t="s">
        <v>129</v>
      </c>
      <c r="S13" s="96">
        <f>Z8+Z11+Z14</f>
        <v>8.7242003656409925E-2</v>
      </c>
      <c r="U13" s="18"/>
      <c r="V13" s="10"/>
      <c r="W13" s="12" t="s">
        <v>66</v>
      </c>
      <c r="X13" s="30">
        <f>$N$16*X14</f>
        <v>6632.848296637917</v>
      </c>
      <c r="Y13" s="30">
        <f>$N$16*Y14</f>
        <v>5080.3834697398506</v>
      </c>
      <c r="Z13" s="30">
        <f>$N$16*Z14</f>
        <v>8304.4693300875933</v>
      </c>
      <c r="AA13" s="13"/>
      <c r="AB13" s="13"/>
      <c r="AC13" s="13"/>
      <c r="AK13" s="13"/>
      <c r="AL13" s="13"/>
      <c r="AM13" s="13"/>
      <c r="AN13" s="13"/>
      <c r="AO13" s="13"/>
      <c r="AP13" s="13"/>
      <c r="AQ13" s="13"/>
      <c r="AR13" s="13"/>
      <c r="AS13" s="13"/>
      <c r="AU13" s="300" t="s">
        <v>129</v>
      </c>
      <c r="AV13" s="96">
        <f>BC8+BC11+BC14</f>
        <v>1.9927163077579416E-2</v>
      </c>
      <c r="AX13" s="18"/>
      <c r="AY13" s="500"/>
      <c r="AZ13" s="12" t="s">
        <v>66</v>
      </c>
      <c r="BA13" s="33">
        <f>$AQ$16*BA14</f>
        <v>773.44906997831754</v>
      </c>
      <c r="BB13" s="33">
        <f t="shared" ref="BB13:BC13" si="2">$AQ$16*BB14</f>
        <v>506.46784984520713</v>
      </c>
      <c r="BC13" s="33">
        <f t="shared" si="2"/>
        <v>1080.1385446915208</v>
      </c>
      <c r="BD13" s="13"/>
      <c r="BE13" s="13"/>
    </row>
    <row r="14" spans="1:57" x14ac:dyDescent="0.3">
      <c r="H14" s="13"/>
      <c r="I14" s="13"/>
      <c r="J14" s="88"/>
      <c r="K14" s="13"/>
      <c r="L14" s="13"/>
      <c r="M14" s="13"/>
      <c r="N14" s="13"/>
      <c r="O14" s="13"/>
      <c r="P14" s="13"/>
      <c r="R14" s="11"/>
      <c r="W14" s="2" t="s">
        <v>86</v>
      </c>
      <c r="X14" s="61">
        <f>'WiS percent RSV_base'!BV21</f>
        <v>8.2500373812772285E-3</v>
      </c>
      <c r="Y14" s="61">
        <f>'WiS percent RSV_low'!$BT$21</f>
        <v>6.3190580670783435E-3</v>
      </c>
      <c r="Z14" s="61">
        <f>'WiS percent RSV_high'!$BT$21</f>
        <v>1.0329224993675888E-2</v>
      </c>
      <c r="AA14" s="13"/>
      <c r="AB14" s="13"/>
      <c r="AC14" s="13"/>
      <c r="AK14" s="13"/>
      <c r="AL14" s="13"/>
      <c r="AM14" s="88"/>
      <c r="AN14" s="13"/>
      <c r="AO14" s="13"/>
      <c r="AP14" s="13"/>
      <c r="AQ14" s="13"/>
      <c r="AR14" s="13"/>
      <c r="AS14" s="13"/>
      <c r="AU14" s="11"/>
      <c r="AZ14" s="2" t="s">
        <v>86</v>
      </c>
      <c r="BA14" s="20">
        <f>'OoS percent RSV_base'!BI28</f>
        <v>9.62027692246428E-4</v>
      </c>
      <c r="BB14" s="20">
        <f>'OoS percent RSV_low'!BI28</f>
        <v>6.2995239854287234E-4</v>
      </c>
      <c r="BC14" s="20">
        <f>'OoS percent RSV_high'!BI28</f>
        <v>1.3434927156679229E-3</v>
      </c>
      <c r="BD14" s="13"/>
      <c r="BE14" s="13"/>
    </row>
    <row r="15" spans="1:57" x14ac:dyDescent="0.3">
      <c r="H15" s="13"/>
      <c r="I15" s="515"/>
      <c r="J15" s="13"/>
      <c r="K15" s="13"/>
      <c r="L15" s="13"/>
      <c r="M15" s="13"/>
      <c r="N15" s="13"/>
      <c r="O15" s="13"/>
      <c r="P15" s="13"/>
      <c r="R15" s="11"/>
      <c r="AK15" s="13"/>
      <c r="AL15" s="515"/>
      <c r="AM15" s="13"/>
      <c r="AN15" s="13"/>
      <c r="AO15" s="13"/>
      <c r="AP15" s="13"/>
      <c r="AQ15" s="13"/>
      <c r="AR15" s="13"/>
      <c r="AS15" s="13"/>
      <c r="AU15" s="11"/>
    </row>
    <row r="16" spans="1:57" x14ac:dyDescent="0.3">
      <c r="H16" s="13"/>
      <c r="I16" s="13"/>
      <c r="J16" s="13"/>
      <c r="K16" s="13"/>
      <c r="L16" s="13"/>
      <c r="M16" s="12" t="s">
        <v>79</v>
      </c>
      <c r="N16" s="30">
        <f>L24*N17</f>
        <v>803977.96883813071</v>
      </c>
      <c r="O16" s="10"/>
      <c r="P16" s="100"/>
      <c r="Q16" s="10"/>
      <c r="R16" s="65" t="s">
        <v>9</v>
      </c>
      <c r="S16" s="62" t="s">
        <v>37</v>
      </c>
      <c r="AC16" s="14"/>
      <c r="AK16" s="13"/>
      <c r="AL16" s="13"/>
      <c r="AM16" s="13"/>
      <c r="AN16" s="13"/>
      <c r="AO16" s="13"/>
      <c r="AP16" s="12" t="s">
        <v>79</v>
      </c>
      <c r="AQ16" s="30">
        <f>AO24*AQ17</f>
        <v>803977.96883813071</v>
      </c>
      <c r="AR16" s="500"/>
      <c r="AS16" s="100"/>
      <c r="AT16" s="500"/>
      <c r="AU16" s="65" t="s">
        <v>9</v>
      </c>
      <c r="AV16" s="62" t="s">
        <v>37</v>
      </c>
    </row>
    <row r="17" spans="1:57" x14ac:dyDescent="0.3">
      <c r="H17" s="13"/>
      <c r="I17" s="13"/>
      <c r="J17" s="13"/>
      <c r="K17" s="13"/>
      <c r="L17" s="13"/>
      <c r="M17" s="59" t="s">
        <v>77</v>
      </c>
      <c r="N17" s="61">
        <f>'Input 6_Product Efficacy'!K15</f>
        <v>0.8</v>
      </c>
      <c r="Q17" s="52"/>
      <c r="R17" s="11"/>
      <c r="W17" s="237" t="s">
        <v>160</v>
      </c>
      <c r="X17" s="237" t="s">
        <v>161</v>
      </c>
      <c r="Y17" s="237" t="s">
        <v>162</v>
      </c>
      <c r="AC17" s="14"/>
      <c r="AK17" s="13"/>
      <c r="AL17" s="13"/>
      <c r="AM17" s="13"/>
      <c r="AN17" s="13"/>
      <c r="AO17" s="13"/>
      <c r="AP17" s="59" t="s">
        <v>77</v>
      </c>
      <c r="AQ17" s="61">
        <f>N17</f>
        <v>0.8</v>
      </c>
      <c r="AT17" s="52"/>
      <c r="AU17" s="11"/>
      <c r="AZ17" s="684" t="s">
        <v>160</v>
      </c>
      <c r="BA17" s="684" t="s">
        <v>161</v>
      </c>
      <c r="BB17" s="684" t="s">
        <v>162</v>
      </c>
    </row>
    <row r="18" spans="1:57" x14ac:dyDescent="0.3">
      <c r="H18" s="13"/>
      <c r="I18" s="13"/>
      <c r="J18" s="13"/>
      <c r="K18" s="13"/>
      <c r="L18" s="13"/>
      <c r="M18" s="11"/>
      <c r="R18" s="11"/>
      <c r="V18" s="12" t="s">
        <v>6</v>
      </c>
      <c r="W18" s="33">
        <f>$L$24*W19</f>
        <v>78961.156328365047</v>
      </c>
      <c r="X18" s="33">
        <f t="shared" ref="X18" si="3">$L$24*X19</f>
        <v>65844.451788307459</v>
      </c>
      <c r="Y18" s="33">
        <f>$L$24*Y19</f>
        <v>92087.896602577268</v>
      </c>
      <c r="AC18" s="14"/>
      <c r="AK18" s="13"/>
      <c r="AL18" s="13"/>
      <c r="AM18" s="13"/>
      <c r="AN18" s="13"/>
      <c r="AO18" s="13"/>
      <c r="AP18" s="11"/>
      <c r="AU18" s="11"/>
      <c r="AY18" s="12" t="s">
        <v>6</v>
      </c>
      <c r="AZ18" s="33">
        <f>$AO$24*AZ19</f>
        <v>41537.592484558467</v>
      </c>
      <c r="BA18" s="33">
        <f t="shared" ref="BA18:BB18" si="4">$AO$24*BA19</f>
        <v>34635.529613353894</v>
      </c>
      <c r="BB18" s="33">
        <f t="shared" si="4"/>
        <v>48763.872143801076</v>
      </c>
    </row>
    <row r="19" spans="1:57" x14ac:dyDescent="0.3">
      <c r="H19" s="13"/>
      <c r="I19" s="13"/>
      <c r="J19" s="13"/>
      <c r="K19" s="13"/>
      <c r="L19" s="13"/>
      <c r="M19" s="11"/>
      <c r="R19" s="59" t="s">
        <v>128</v>
      </c>
      <c r="S19" s="50">
        <f>X19+X22+X25</f>
        <v>9.3034775612124171E-2</v>
      </c>
      <c r="U19" s="16"/>
      <c r="V19" s="2" t="s">
        <v>82</v>
      </c>
      <c r="W19" s="61">
        <f>'WiS percent RSV_base'!BV71</f>
        <v>7.8570467738040953E-2</v>
      </c>
      <c r="X19" s="61">
        <f>'WiS percent RSV_low'!$BT$68</f>
        <v>6.5518662789690735E-2</v>
      </c>
      <c r="Y19" s="61">
        <f>'WiS percent RSV_high'!$BT$70</f>
        <v>9.1632258765158112E-2</v>
      </c>
      <c r="AC19" s="14"/>
      <c r="AK19" s="13"/>
      <c r="AL19" s="13"/>
      <c r="AM19" s="13"/>
      <c r="AN19" s="13"/>
      <c r="AO19" s="13"/>
      <c r="AP19" s="11"/>
      <c r="AU19" s="59" t="s">
        <v>128</v>
      </c>
      <c r="AV19" s="50">
        <f>BA19+BA22+BA25</f>
        <v>4.9343877790169813E-2</v>
      </c>
      <c r="AX19" s="16"/>
      <c r="AY19" s="2" t="s">
        <v>82</v>
      </c>
      <c r="AZ19" s="61">
        <f>'OoS percent RSV_base'!BJ72</f>
        <v>4.133207037460148E-2</v>
      </c>
      <c r="BA19" s="61">
        <f>'OoS percent RSV_low'!BJ72</f>
        <v>3.4464157930503947E-2</v>
      </c>
      <c r="BB19" s="61">
        <f>'OoS percent RSV_high'!BJ72</f>
        <v>4.8522595428103305E-2</v>
      </c>
    </row>
    <row r="20" spans="1:57" x14ac:dyDescent="0.3">
      <c r="H20" s="13"/>
      <c r="I20" s="13"/>
      <c r="J20" s="13"/>
      <c r="K20" s="13"/>
      <c r="L20" s="13"/>
      <c r="M20" s="11"/>
      <c r="R20" s="59" t="s">
        <v>129</v>
      </c>
      <c r="S20" s="50">
        <f>Y19+Y22+Y25</f>
        <v>0.13013380697480248</v>
      </c>
      <c r="U20" s="11"/>
      <c r="V20" s="2"/>
      <c r="Z20" s="13"/>
      <c r="AC20" s="14"/>
      <c r="AK20" s="13"/>
      <c r="AL20" s="13"/>
      <c r="AM20" s="13"/>
      <c r="AN20" s="13"/>
      <c r="AO20" s="13"/>
      <c r="AP20" s="11"/>
      <c r="AU20" s="59" t="s">
        <v>129</v>
      </c>
      <c r="AV20" s="50">
        <f>BB19+BB22+BB25</f>
        <v>7.0051121974803787E-2</v>
      </c>
      <c r="AX20" s="11"/>
      <c r="AY20" s="2"/>
      <c r="BC20" s="13"/>
    </row>
    <row r="21" spans="1:57" x14ac:dyDescent="0.3">
      <c r="H21" s="13"/>
      <c r="I21" s="13"/>
      <c r="J21" s="13"/>
      <c r="K21" s="13"/>
      <c r="L21" s="13"/>
      <c r="M21" s="11"/>
      <c r="R21" s="65" t="s">
        <v>83</v>
      </c>
      <c r="S21" s="97">
        <f>W19+W22+W25</f>
        <v>0.11146691567595504</v>
      </c>
      <c r="T21" s="10"/>
      <c r="U21" s="18"/>
      <c r="V21" s="12" t="s">
        <v>7</v>
      </c>
      <c r="W21" s="33">
        <f>$L$24*W22</f>
        <v>29354.522402194692</v>
      </c>
      <c r="X21" s="33">
        <f t="shared" ref="X21:Y21" si="5">$L$24*X22</f>
        <v>25139.514057264172</v>
      </c>
      <c r="Y21" s="33">
        <f t="shared" si="5"/>
        <v>33589.602215434395</v>
      </c>
      <c r="AC21" s="13"/>
      <c r="AK21" s="13"/>
      <c r="AL21" s="13"/>
      <c r="AM21" s="13"/>
      <c r="AN21" s="13"/>
      <c r="AO21" s="13"/>
      <c r="AP21" s="11"/>
      <c r="AU21" s="65" t="s">
        <v>83</v>
      </c>
      <c r="AV21" s="97">
        <f>AZ19+AZ22+AZ25</f>
        <v>5.9421138653746097E-2</v>
      </c>
      <c r="AW21" s="500"/>
      <c r="AX21" s="18"/>
      <c r="AY21" s="12" t="s">
        <v>7</v>
      </c>
      <c r="AZ21" s="33">
        <f>$AO$24*AZ22</f>
        <v>16251.999227747803</v>
      </c>
      <c r="BA21" s="33">
        <f t="shared" ref="BA21:BB21" si="6">$AO$24*BA22</f>
        <v>13916.883520919588</v>
      </c>
      <c r="BB21" s="33">
        <f t="shared" si="6"/>
        <v>18587.56112913711</v>
      </c>
    </row>
    <row r="22" spans="1:57" x14ac:dyDescent="0.3">
      <c r="H22" s="13"/>
      <c r="I22" s="13"/>
      <c r="J22" s="13"/>
      <c r="K22" s="13"/>
      <c r="L22" s="13"/>
      <c r="M22" s="11"/>
      <c r="N22" s="13"/>
      <c r="O22" s="13"/>
      <c r="P22" s="13"/>
      <c r="R22" s="2" t="s">
        <v>254</v>
      </c>
      <c r="S22" s="28">
        <f>$N$16*S21</f>
        <v>89616.944457805526</v>
      </c>
      <c r="U22" s="11"/>
      <c r="V22" s="2" t="s">
        <v>81</v>
      </c>
      <c r="W22" s="61">
        <f>'WiS percent RSV_base'!BV47</f>
        <v>2.9209280393209185E-2</v>
      </c>
      <c r="X22" s="61">
        <f>'WiS percent RSV_low'!$BT$45</f>
        <v>2.501512731110735E-2</v>
      </c>
      <c r="Y22" s="61">
        <f>'WiS percent RSV_high'!$BT$46</f>
        <v>3.3423405632844821E-2</v>
      </c>
      <c r="AC22" s="13"/>
      <c r="AK22" s="13"/>
      <c r="AL22" s="13"/>
      <c r="AM22" s="13"/>
      <c r="AN22" s="13"/>
      <c r="AO22" s="13"/>
      <c r="AP22" s="11"/>
      <c r="AQ22" s="13"/>
      <c r="AR22" s="13"/>
      <c r="AS22" s="13"/>
      <c r="AU22" s="2" t="s">
        <v>254</v>
      </c>
      <c r="AV22" s="28">
        <f>$N$16*AV21</f>
        <v>47773.286360887723</v>
      </c>
      <c r="AX22" s="11"/>
      <c r="AY22" s="2" t="s">
        <v>81</v>
      </c>
      <c r="AZ22" s="61">
        <f>'OoS percent RSV_base'!BJ49</f>
        <v>1.6171586643086145E-2</v>
      </c>
      <c r="BA22" s="61">
        <f>'OoS percent RSV_low'!BJ49</f>
        <v>1.3848024757227198E-2</v>
      </c>
      <c r="BB22" s="61">
        <f>'OoS percent RSV_high'!BJ49</f>
        <v>1.8495592515798846E-2</v>
      </c>
    </row>
    <row r="23" spans="1:57" x14ac:dyDescent="0.3">
      <c r="H23" s="13"/>
      <c r="I23" s="13"/>
      <c r="J23" s="13"/>
      <c r="K23" s="13"/>
      <c r="L23" s="13"/>
      <c r="M23" s="11"/>
      <c r="N23" s="14"/>
      <c r="O23" s="88"/>
      <c r="P23" s="89"/>
      <c r="R23" s="14" t="s">
        <v>282</v>
      </c>
      <c r="U23" s="11"/>
      <c r="V23" s="2"/>
      <c r="AC23" s="13"/>
      <c r="AK23" s="13"/>
      <c r="AL23" s="13"/>
      <c r="AM23" s="13"/>
      <c r="AN23" s="13"/>
      <c r="AO23" s="13"/>
      <c r="AP23" s="11"/>
      <c r="AQ23" s="14"/>
      <c r="AR23" s="88"/>
      <c r="AS23" s="89"/>
      <c r="AU23" s="14" t="s">
        <v>282</v>
      </c>
      <c r="AX23" s="11"/>
      <c r="AY23" s="2"/>
    </row>
    <row r="24" spans="1:57" x14ac:dyDescent="0.3">
      <c r="H24" s="13"/>
      <c r="I24" s="13"/>
      <c r="J24" s="13"/>
      <c r="K24" s="12" t="s">
        <v>89</v>
      </c>
      <c r="L24" s="90">
        <f>I32*L25</f>
        <v>1004972.4610476634</v>
      </c>
      <c r="M24" s="11"/>
      <c r="N24" s="13"/>
      <c r="O24" s="13"/>
      <c r="P24" s="13"/>
      <c r="R24" s="14" t="s">
        <v>128</v>
      </c>
      <c r="S24" s="301">
        <f>$N$16*S19</f>
        <v>74797.90992794685</v>
      </c>
      <c r="U24" s="18"/>
      <c r="V24" s="12" t="s">
        <v>8</v>
      </c>
      <c r="W24" s="30">
        <f>$L$24*W25</f>
        <v>3705.5018416971602</v>
      </c>
      <c r="X24" s="30">
        <f t="shared" ref="X24:Y24" si="7">$L$24*X25</f>
        <v>2513.4215643619282</v>
      </c>
      <c r="Y24" s="30">
        <f t="shared" si="7"/>
        <v>5103.3934429571782</v>
      </c>
      <c r="AC24" s="13"/>
      <c r="AK24" s="13"/>
      <c r="AL24" s="13"/>
      <c r="AM24" s="13"/>
      <c r="AN24" s="12" t="s">
        <v>89</v>
      </c>
      <c r="AO24" s="90">
        <f>AL32*AO25</f>
        <v>1004972.4610476634</v>
      </c>
      <c r="AP24" s="11"/>
      <c r="AQ24" s="13"/>
      <c r="AR24" s="13"/>
      <c r="AS24" s="13"/>
      <c r="AU24" s="14" t="s">
        <v>128</v>
      </c>
      <c r="AV24" s="301">
        <f>$N$16*AV19</f>
        <v>39671.390640337675</v>
      </c>
      <c r="AX24" s="18"/>
      <c r="AY24" s="12" t="s">
        <v>8</v>
      </c>
      <c r="AZ24" s="30">
        <f>$AO$24*AZ25</f>
        <v>1927.0162388033784</v>
      </c>
      <c r="BA24" s="30">
        <f t="shared" ref="BA24:BB24" si="8">$AO$24*BA25</f>
        <v>1036.8251661486102</v>
      </c>
      <c r="BB24" s="30">
        <f t="shared" si="8"/>
        <v>3048.0151772304202</v>
      </c>
    </row>
    <row r="25" spans="1:57" x14ac:dyDescent="0.3">
      <c r="I25" s="8"/>
      <c r="K25" s="59" t="s">
        <v>75</v>
      </c>
      <c r="L25" s="96">
        <f>'Input 6b_Antibody Transfer'!T26</f>
        <v>0.91860728333333341</v>
      </c>
      <c r="M25" s="11"/>
      <c r="R25" s="285" t="s">
        <v>129</v>
      </c>
      <c r="S25" s="301">
        <f>$N$16*S20</f>
        <v>104624.71380877506</v>
      </c>
      <c r="V25" s="2" t="s">
        <v>80</v>
      </c>
      <c r="W25" s="61">
        <f>'WiS percent RSV_base'!BV22</f>
        <v>3.6871675447049065E-3</v>
      </c>
      <c r="X25" s="61">
        <f>'WiS percent RSV_low'!$BT$22</f>
        <v>2.5009855113260889E-3</v>
      </c>
      <c r="Y25" s="61">
        <f>'WiS percent RSV_high'!$BT$22</f>
        <v>5.078142576799562E-3</v>
      </c>
      <c r="AC25" s="13"/>
      <c r="AL25" s="8"/>
      <c r="AN25" s="59" t="s">
        <v>75</v>
      </c>
      <c r="AO25" s="96">
        <f>L25</f>
        <v>0.91860728333333341</v>
      </c>
      <c r="AP25" s="11"/>
      <c r="AU25" s="285" t="s">
        <v>129</v>
      </c>
      <c r="AV25" s="301">
        <f>$N$16*AV20</f>
        <v>56319.558760134889</v>
      </c>
      <c r="AY25" s="2" t="s">
        <v>80</v>
      </c>
      <c r="AZ25" s="61">
        <f>'OoS percent RSV_base'!BJ28</f>
        <v>1.917481636058468E-3</v>
      </c>
      <c r="BA25" s="61">
        <f>'OoS percent RSV_low'!BJ28</f>
        <v>1.0316951024386689E-3</v>
      </c>
      <c r="BB25" s="61">
        <f>'OoS percent RSV_high'!BJ28</f>
        <v>3.0329340309016295E-3</v>
      </c>
    </row>
    <row r="26" spans="1:57" x14ac:dyDescent="0.3">
      <c r="I26" s="8"/>
      <c r="K26" s="11"/>
      <c r="M26" s="11"/>
      <c r="AC26" s="13"/>
      <c r="AL26" s="8"/>
      <c r="AN26" s="11"/>
      <c r="AP26" s="11"/>
    </row>
    <row r="27" spans="1:57" x14ac:dyDescent="0.3">
      <c r="I27" s="8"/>
      <c r="K27" s="11"/>
      <c r="M27" s="11"/>
      <c r="AC27" s="13"/>
      <c r="AL27" s="8"/>
      <c r="AN27" s="11"/>
      <c r="AP27" s="11"/>
    </row>
    <row r="28" spans="1:57" x14ac:dyDescent="0.3">
      <c r="A28" t="s">
        <v>68</v>
      </c>
      <c r="K28" s="11"/>
      <c r="M28" s="11"/>
      <c r="S28" s="22"/>
      <c r="V28" s="2" t="s">
        <v>5</v>
      </c>
      <c r="W28" s="56">
        <f>W18+W21+W24</f>
        <v>112021.1805722569</v>
      </c>
      <c r="AC28" s="13"/>
      <c r="AD28" t="s">
        <v>68</v>
      </c>
      <c r="AN28" s="11"/>
      <c r="AP28" s="11"/>
      <c r="AV28" s="22"/>
      <c r="AY28" s="2" t="s">
        <v>5</v>
      </c>
      <c r="AZ28" s="56">
        <f>AZ18+AZ21+AZ24</f>
        <v>59716.607951109647</v>
      </c>
    </row>
    <row r="29" spans="1:57" x14ac:dyDescent="0.3">
      <c r="A29" t="s">
        <v>68</v>
      </c>
      <c r="G29" s="13"/>
      <c r="K29" s="11"/>
      <c r="M29" s="11"/>
      <c r="S29" s="8"/>
      <c r="V29" t="s">
        <v>5</v>
      </c>
      <c r="W29" s="8">
        <f>W34+W37+W40</f>
        <v>14975.631297309001</v>
      </c>
      <c r="AC29" s="13"/>
      <c r="AD29" t="s">
        <v>68</v>
      </c>
      <c r="AJ29" s="13"/>
      <c r="AN29" s="11"/>
      <c r="AP29" s="11"/>
      <c r="AV29" s="8"/>
      <c r="AY29" t="s">
        <v>5</v>
      </c>
      <c r="AZ29" s="8">
        <f>AZ34+AZ37+AZ40</f>
        <v>3398.9882398423379</v>
      </c>
    </row>
    <row r="30" spans="1:57" x14ac:dyDescent="0.3">
      <c r="H30" s="95"/>
      <c r="K30" s="11"/>
      <c r="M30" s="11"/>
      <c r="N30" s="13"/>
      <c r="O30" s="13"/>
      <c r="P30" s="13"/>
      <c r="R30" s="13"/>
      <c r="S30" s="13"/>
      <c r="T30" s="13"/>
      <c r="U30" s="13"/>
      <c r="V30" s="14"/>
      <c r="W30" s="98"/>
      <c r="X30" s="13"/>
      <c r="Y30" s="13"/>
      <c r="Z30" s="13"/>
      <c r="AA30" s="13"/>
      <c r="AB30" s="13"/>
      <c r="AC30" s="13"/>
      <c r="AK30" s="95"/>
      <c r="AN30" s="11"/>
      <c r="AP30" s="11"/>
      <c r="AQ30" s="13"/>
      <c r="AR30" s="13"/>
      <c r="AS30" s="13"/>
      <c r="AU30" s="13"/>
      <c r="AV30" s="13"/>
      <c r="AW30" s="13"/>
      <c r="AX30" s="13"/>
      <c r="AY30" s="14"/>
      <c r="AZ30" s="98"/>
      <c r="BA30" s="13"/>
      <c r="BB30" s="13"/>
      <c r="BC30" s="13"/>
      <c r="BD30" s="13"/>
      <c r="BE30" s="13"/>
    </row>
    <row r="31" spans="1:57" x14ac:dyDescent="0.3">
      <c r="H31" s="2" t="s">
        <v>344</v>
      </c>
      <c r="I31" s="28">
        <f>$F$55*I33</f>
        <v>2188035.0379999997</v>
      </c>
      <c r="J31" s="72"/>
      <c r="K31" s="99"/>
      <c r="M31" s="11"/>
      <c r="N31" s="13"/>
      <c r="R31" s="12" t="s">
        <v>9</v>
      </c>
      <c r="S31" s="62" t="s">
        <v>37</v>
      </c>
      <c r="W31" s="13"/>
      <c r="X31" s="13"/>
      <c r="AK31" s="2"/>
      <c r="AL31" s="28"/>
      <c r="AM31" s="72"/>
      <c r="AN31" s="99"/>
      <c r="AP31" s="11"/>
      <c r="AQ31" s="13"/>
      <c r="AU31" s="12" t="s">
        <v>9</v>
      </c>
      <c r="AV31" s="62" t="s">
        <v>37</v>
      </c>
      <c r="AZ31" s="13"/>
      <c r="BA31" s="13"/>
    </row>
    <row r="32" spans="1:57" x14ac:dyDescent="0.3">
      <c r="H32" s="12" t="s">
        <v>358</v>
      </c>
      <c r="I32" s="30">
        <f>($F$55/12*'Input 4_RSV Season'!$AG$27)*I33</f>
        <v>1094017.5189999999</v>
      </c>
      <c r="J32" s="10"/>
      <c r="K32" s="11"/>
      <c r="M32" s="11"/>
      <c r="N32" s="13"/>
      <c r="Q32" s="16"/>
      <c r="S32" s="17"/>
      <c r="W32" s="71"/>
      <c r="X32" s="13"/>
      <c r="AK32" s="12" t="s">
        <v>351</v>
      </c>
      <c r="AL32" s="30">
        <f>I31-I32</f>
        <v>1094017.5189999999</v>
      </c>
      <c r="AM32" s="500"/>
      <c r="AN32" s="11"/>
      <c r="AP32" s="11"/>
      <c r="AQ32" s="13"/>
      <c r="AT32" s="16"/>
      <c r="AV32" s="17"/>
      <c r="AZ32" s="71"/>
      <c r="BA32" s="13"/>
    </row>
    <row r="33" spans="8:77" x14ac:dyDescent="0.3">
      <c r="H33" s="59" t="s">
        <v>28</v>
      </c>
      <c r="I33" s="20">
        <f>1-I80</f>
        <v>0.99019999999999997</v>
      </c>
      <c r="J33" s="52"/>
      <c r="K33" s="11"/>
      <c r="M33" s="11"/>
      <c r="N33" s="13"/>
      <c r="Q33" s="11"/>
      <c r="R33" s="13"/>
      <c r="S33" s="13"/>
      <c r="V33" s="13"/>
      <c r="W33" s="237" t="s">
        <v>160</v>
      </c>
      <c r="X33" s="237" t="s">
        <v>161</v>
      </c>
      <c r="Y33" s="237" t="s">
        <v>162</v>
      </c>
      <c r="AK33" s="59" t="s">
        <v>28</v>
      </c>
      <c r="AL33" s="20">
        <f>1-AL80</f>
        <v>1</v>
      </c>
      <c r="AM33" s="52"/>
      <c r="AN33" s="11"/>
      <c r="AP33" s="11"/>
      <c r="AQ33" s="13"/>
      <c r="AT33" s="11"/>
      <c r="AU33" s="13"/>
      <c r="AV33" s="13"/>
      <c r="AY33" s="13"/>
      <c r="AZ33" s="684" t="s">
        <v>160</v>
      </c>
      <c r="BA33" s="684" t="s">
        <v>161</v>
      </c>
      <c r="BB33" s="684" t="s">
        <v>162</v>
      </c>
    </row>
    <row r="34" spans="8:77" x14ac:dyDescent="0.3">
      <c r="H34" s="11"/>
      <c r="K34" s="11"/>
      <c r="M34" s="65" t="s">
        <v>78</v>
      </c>
      <c r="N34" s="104">
        <f>1-'Input 6_Product Efficacy'!K15</f>
        <v>0.19999999999999996</v>
      </c>
      <c r="O34" s="10"/>
      <c r="P34" s="10"/>
      <c r="Q34" s="11"/>
      <c r="V34" s="12" t="s">
        <v>6</v>
      </c>
      <c r="W34" s="33">
        <f>$N$35*W35</f>
        <v>10182.255873253584</v>
      </c>
      <c r="X34" s="33">
        <f>$N$35*X35</f>
        <v>8486.2168011267768</v>
      </c>
      <c r="Y34" s="33">
        <f>$N$35*Y35</f>
        <v>11872.273504887624</v>
      </c>
      <c r="AK34" s="11"/>
      <c r="AN34" s="11"/>
      <c r="AP34" s="65" t="s">
        <v>78</v>
      </c>
      <c r="AQ34" s="104">
        <f>1-AQ17</f>
        <v>0.19999999999999996</v>
      </c>
      <c r="AR34" s="500"/>
      <c r="AS34" s="500"/>
      <c r="AT34" s="11"/>
      <c r="AY34" s="12" t="s">
        <v>6</v>
      </c>
      <c r="AZ34" s="33">
        <f>$AQ$35*AZ35</f>
        <v>2255.3722348057922</v>
      </c>
      <c r="BA34" s="33">
        <f t="shared" ref="BA34:BB34" si="9">$AQ$35*BA35</f>
        <v>1880.6098954981358</v>
      </c>
      <c r="BB34" s="33">
        <f t="shared" si="9"/>
        <v>2647.8752177504316</v>
      </c>
    </row>
    <row r="35" spans="8:77" x14ac:dyDescent="0.3">
      <c r="H35" s="11"/>
      <c r="K35" s="11"/>
      <c r="M35" s="2" t="s">
        <v>13</v>
      </c>
      <c r="N35" s="71">
        <f>L24*N34</f>
        <v>200994.49220953262</v>
      </c>
      <c r="Q35" s="11"/>
      <c r="R35" s="2" t="s">
        <v>128</v>
      </c>
      <c r="S35" s="50">
        <f>SUM(X35,X38,X41)</f>
        <v>6.1891586404927604E-2</v>
      </c>
      <c r="U35" s="16"/>
      <c r="V35" s="2" t="s">
        <v>43</v>
      </c>
      <c r="W35" s="61">
        <f t="shared" ref="W35:Y35" si="10">X8</f>
        <v>5.0659377584529985E-2</v>
      </c>
      <c r="X35" s="61">
        <f t="shared" si="10"/>
        <v>4.2221141026491764E-2</v>
      </c>
      <c r="Y35" s="61">
        <f t="shared" si="10"/>
        <v>5.906765590626744E-2</v>
      </c>
      <c r="AK35" s="11"/>
      <c r="AN35" s="11"/>
      <c r="AP35" s="2" t="s">
        <v>13</v>
      </c>
      <c r="AQ35" s="71">
        <f>AO24*AQ34</f>
        <v>200994.49220953262</v>
      </c>
      <c r="AT35" s="11"/>
      <c r="AU35" s="2" t="s">
        <v>128</v>
      </c>
      <c r="AV35" s="50">
        <f>SUM(BA35,BA38,BA41)</f>
        <v>1.4034890877064114E-2</v>
      </c>
      <c r="AX35" s="16"/>
      <c r="AY35" s="2" t="s">
        <v>43</v>
      </c>
      <c r="AZ35" s="61">
        <f t="shared" ref="AZ35" si="11">BA8</f>
        <v>1.1221064866069132E-2</v>
      </c>
      <c r="BA35" s="61">
        <f t="shared" ref="BA35" si="12">BB8</f>
        <v>9.3565245237548032E-3</v>
      </c>
      <c r="BB35" s="61">
        <f t="shared" ref="BB35" si="13">BC8</f>
        <v>1.3173869535639197E-2</v>
      </c>
    </row>
    <row r="36" spans="8:77" x14ac:dyDescent="0.3">
      <c r="H36" s="11"/>
      <c r="K36" s="11"/>
      <c r="M36" s="2"/>
      <c r="N36" s="13"/>
      <c r="Q36" s="11"/>
      <c r="R36" s="2" t="s">
        <v>129</v>
      </c>
      <c r="S36" s="50">
        <f>SUM(Y35,Y38,Y41)</f>
        <v>8.7242003656409925E-2</v>
      </c>
      <c r="U36" s="11"/>
      <c r="V36" s="2"/>
      <c r="AK36" s="11"/>
      <c r="AN36" s="11"/>
      <c r="AP36" s="2"/>
      <c r="AQ36" s="13"/>
      <c r="AT36" s="11"/>
      <c r="AU36" s="2" t="s">
        <v>129</v>
      </c>
      <c r="AV36" s="50">
        <f>SUM(BB35,BB38,BB41)</f>
        <v>1.9927163077579416E-2</v>
      </c>
      <c r="AX36" s="11"/>
      <c r="AY36" s="2"/>
    </row>
    <row r="37" spans="8:77" x14ac:dyDescent="0.3">
      <c r="H37" s="11"/>
      <c r="K37" s="11"/>
      <c r="Q37" s="18"/>
      <c r="R37" s="12" t="s">
        <v>46</v>
      </c>
      <c r="S37" s="50">
        <f>SUM(W35,W38,W41)</f>
        <v>7.4507669999719264E-2</v>
      </c>
      <c r="T37" s="10"/>
      <c r="U37" s="18"/>
      <c r="V37" s="12" t="s">
        <v>7</v>
      </c>
      <c r="W37" s="33">
        <f>$N$35*W38</f>
        <v>3135.1633498959382</v>
      </c>
      <c r="X37" s="33">
        <f>$N$35*X38</f>
        <v>2683.5553129390973</v>
      </c>
      <c r="Y37" s="33">
        <f>$N$35*Y38</f>
        <v>3586.771386852779</v>
      </c>
      <c r="AK37" s="11"/>
      <c r="AN37" s="11"/>
      <c r="AT37" s="18"/>
      <c r="AU37" s="12" t="s">
        <v>46</v>
      </c>
      <c r="AV37" s="50">
        <f>SUM(AZ35,AZ38,AZ41)</f>
        <v>1.6910852643160803E-2</v>
      </c>
      <c r="AW37" s="500"/>
      <c r="AX37" s="18"/>
      <c r="AY37" s="12" t="s">
        <v>7</v>
      </c>
      <c r="AZ37" s="33">
        <f>$AQ$35*AZ38</f>
        <v>950.25373754196642</v>
      </c>
      <c r="BA37" s="33">
        <f t="shared" ref="BA37:BB37" si="14">$AQ$35*BA38</f>
        <v>813.70890709226626</v>
      </c>
      <c r="BB37" s="33">
        <f t="shared" si="14"/>
        <v>1087.3401700313102</v>
      </c>
    </row>
    <row r="38" spans="8:77" x14ac:dyDescent="0.3">
      <c r="H38" s="11"/>
      <c r="K38" s="11"/>
      <c r="R38" s="2" t="s">
        <v>10</v>
      </c>
      <c r="S38" s="54">
        <f>$N$35*S37</f>
        <v>14975.631297309001</v>
      </c>
      <c r="U38" s="11"/>
      <c r="V38" s="2" t="s">
        <v>44</v>
      </c>
      <c r="W38" s="61">
        <f t="shared" ref="W38:Y38" si="15">X11</f>
        <v>1.5598255033912049E-2</v>
      </c>
      <c r="X38" s="61">
        <f t="shared" si="15"/>
        <v>1.3351387311357498E-2</v>
      </c>
      <c r="Y38" s="61">
        <f t="shared" si="15"/>
        <v>1.7845122756466599E-2</v>
      </c>
      <c r="AK38" s="11"/>
      <c r="AN38" s="11"/>
      <c r="AU38" s="2" t="s">
        <v>10</v>
      </c>
      <c r="AV38" s="54">
        <f>$N$35*AV37</f>
        <v>3398.9882398423379</v>
      </c>
      <c r="AX38" s="11"/>
      <c r="AY38" s="2" t="s">
        <v>44</v>
      </c>
      <c r="AZ38" s="61">
        <f t="shared" ref="AZ38" si="16">BA11</f>
        <v>4.7277600848452429E-3</v>
      </c>
      <c r="BA38" s="61">
        <f t="shared" ref="BA38" si="17">BB11</f>
        <v>4.0484139547664394E-3</v>
      </c>
      <c r="BB38" s="61">
        <f t="shared" ref="BB38" si="18">BC11</f>
        <v>5.4098008262722964E-3</v>
      </c>
    </row>
    <row r="39" spans="8:77" x14ac:dyDescent="0.3">
      <c r="H39" s="11"/>
      <c r="K39" s="11"/>
      <c r="R39" s="14" t="s">
        <v>128</v>
      </c>
      <c r="S39" s="28">
        <f>$N$35*S35</f>
        <v>12439.867981500836</v>
      </c>
      <c r="U39" s="11"/>
      <c r="V39" s="2"/>
      <c r="AK39" s="11"/>
      <c r="AN39" s="11"/>
      <c r="AU39" s="14" t="s">
        <v>128</v>
      </c>
      <c r="AV39" s="28">
        <f>$N$35*AV35</f>
        <v>2820.9357650517036</v>
      </c>
      <c r="AX39" s="11"/>
      <c r="AY39" s="2"/>
      <c r="BJ39" s="13"/>
      <c r="BK39" s="13"/>
      <c r="BL39" s="13"/>
      <c r="BM39" s="13"/>
      <c r="BN39" s="13"/>
      <c r="BO39" s="13"/>
      <c r="BP39" s="13"/>
      <c r="BQ39" s="13"/>
      <c r="BR39" s="13"/>
      <c r="BS39" s="13"/>
      <c r="BT39" s="13"/>
      <c r="BU39" s="13"/>
      <c r="BV39" s="13"/>
      <c r="BW39" s="13"/>
      <c r="BX39" s="13"/>
      <c r="BY39" s="13"/>
    </row>
    <row r="40" spans="8:77" x14ac:dyDescent="0.3">
      <c r="H40" s="11"/>
      <c r="K40" s="11"/>
      <c r="R40" s="285" t="s">
        <v>129</v>
      </c>
      <c r="S40" s="28">
        <f>$N$35*S36</f>
        <v>17535.162224262302</v>
      </c>
      <c r="U40" s="18"/>
      <c r="V40" s="12" t="s">
        <v>8</v>
      </c>
      <c r="W40" s="33">
        <f>$N$35*W41</f>
        <v>1658.2120741594788</v>
      </c>
      <c r="X40" s="33">
        <f>$N$35*X41</f>
        <v>1270.0958674349624</v>
      </c>
      <c r="Y40" s="33">
        <f>$N$35*Y41</f>
        <v>2076.1173325218979</v>
      </c>
      <c r="AK40" s="11"/>
      <c r="AN40" s="11"/>
      <c r="AU40" s="285" t="s">
        <v>129</v>
      </c>
      <c r="AV40" s="28">
        <f>$N$35*AV36</f>
        <v>4005.2500239546221</v>
      </c>
      <c r="AX40" s="18"/>
      <c r="AY40" s="12" t="s">
        <v>8</v>
      </c>
      <c r="AZ40" s="33">
        <f>$AQ$35*AZ41</f>
        <v>193.36226749457933</v>
      </c>
      <c r="BA40" s="33">
        <f t="shared" ref="BA40:BB40" si="19">$AQ$35*BA41</f>
        <v>126.61696246130174</v>
      </c>
      <c r="BB40" s="33">
        <f t="shared" si="19"/>
        <v>270.03463617288014</v>
      </c>
      <c r="BJ40" s="13"/>
      <c r="BK40" s="13"/>
      <c r="BL40" s="13"/>
      <c r="BM40" s="13"/>
      <c r="BN40" s="13"/>
      <c r="BO40" s="13"/>
      <c r="BP40" s="13"/>
      <c r="BQ40" s="13"/>
      <c r="BR40" s="13"/>
      <c r="BS40" s="13"/>
      <c r="BT40" s="13"/>
      <c r="BU40" s="13"/>
      <c r="BV40" s="13"/>
      <c r="BW40" s="13"/>
      <c r="BX40" s="13"/>
      <c r="BY40" s="13"/>
    </row>
    <row r="41" spans="8:77" x14ac:dyDescent="0.3">
      <c r="H41" s="11"/>
      <c r="K41" s="11"/>
      <c r="N41" s="12" t="s">
        <v>9</v>
      </c>
      <c r="O41" s="62" t="s">
        <v>37</v>
      </c>
      <c r="V41" s="2" t="s">
        <v>45</v>
      </c>
      <c r="W41" s="61">
        <f t="shared" ref="W41:Y41" si="20">X14</f>
        <v>8.2500373812772285E-3</v>
      </c>
      <c r="X41" s="61">
        <f t="shared" si="20"/>
        <v>6.3190580670783435E-3</v>
      </c>
      <c r="Y41" s="61">
        <f t="shared" si="20"/>
        <v>1.0329224993675888E-2</v>
      </c>
      <c r="AK41" s="11"/>
      <c r="AN41" s="11"/>
      <c r="AQ41" s="12" t="s">
        <v>9</v>
      </c>
      <c r="AR41" s="62" t="s">
        <v>37</v>
      </c>
      <c r="AY41" s="2" t="s">
        <v>45</v>
      </c>
      <c r="AZ41" s="61">
        <f t="shared" ref="AZ41" si="21">BA14</f>
        <v>9.62027692246428E-4</v>
      </c>
      <c r="BA41" s="61">
        <f t="shared" ref="BA41" si="22">BB14</f>
        <v>6.2995239854287234E-4</v>
      </c>
      <c r="BB41" s="61">
        <f t="shared" ref="BB41" si="23">BC14</f>
        <v>1.3434927156679229E-3</v>
      </c>
      <c r="BJ41" s="13"/>
      <c r="BK41" s="13"/>
      <c r="BL41" s="13"/>
      <c r="BM41" s="13"/>
      <c r="BN41" s="13"/>
      <c r="BO41" s="13"/>
      <c r="BP41" s="13"/>
      <c r="BQ41" s="14"/>
      <c r="BR41" s="63"/>
      <c r="BS41" s="13"/>
      <c r="BT41" s="13"/>
      <c r="BU41" s="13"/>
      <c r="BV41" s="13"/>
      <c r="BW41" s="13"/>
      <c r="BX41" s="13"/>
      <c r="BY41" s="13"/>
    </row>
    <row r="42" spans="8:77" x14ac:dyDescent="0.3">
      <c r="H42" s="11"/>
      <c r="K42" s="59"/>
      <c r="L42" s="60"/>
      <c r="N42" s="11"/>
      <c r="O42" s="13"/>
      <c r="P42" s="13"/>
      <c r="S42" s="237" t="s">
        <v>160</v>
      </c>
      <c r="T42" s="237" t="s">
        <v>161</v>
      </c>
      <c r="U42" s="237" t="s">
        <v>162</v>
      </c>
      <c r="X42" s="37"/>
      <c r="Y42" s="20"/>
      <c r="AK42" s="11"/>
      <c r="AN42" s="59"/>
      <c r="AO42" s="60"/>
      <c r="AQ42" s="11"/>
      <c r="AR42" s="13"/>
      <c r="AS42" s="13"/>
      <c r="AV42" s="684" t="s">
        <v>160</v>
      </c>
      <c r="AW42" s="684" t="s">
        <v>161</v>
      </c>
      <c r="AX42" s="684" t="s">
        <v>162</v>
      </c>
      <c r="BA42" s="37"/>
      <c r="BB42" s="20"/>
      <c r="BJ42" s="13"/>
      <c r="BK42" s="13"/>
      <c r="BL42" s="13"/>
      <c r="BM42" s="13"/>
      <c r="BN42" s="14"/>
      <c r="BO42" s="66"/>
      <c r="BP42" s="13"/>
      <c r="BQ42" s="13"/>
      <c r="BR42" s="13"/>
      <c r="BS42" s="13"/>
      <c r="BT42" s="13"/>
      <c r="BU42" s="13"/>
      <c r="BV42" s="681"/>
      <c r="BW42" s="681"/>
      <c r="BX42" s="681"/>
      <c r="BY42" s="13"/>
    </row>
    <row r="43" spans="8:77" x14ac:dyDescent="0.3">
      <c r="H43" s="11"/>
      <c r="K43" s="59" t="s">
        <v>76</v>
      </c>
      <c r="L43" s="97">
        <f>1-'Input 6b_Antibody Transfer'!T26</f>
        <v>8.1392716666666587E-2</v>
      </c>
      <c r="M43" s="10"/>
      <c r="N43" s="11"/>
      <c r="R43" s="12" t="s">
        <v>6</v>
      </c>
      <c r="S43" s="33">
        <f>$L$44*S44</f>
        <v>11507.279065919813</v>
      </c>
      <c r="T43" s="33">
        <f>$L$44*T44</f>
        <v>9593.6970745853359</v>
      </c>
      <c r="U43" s="33">
        <f>$L$44*U44</f>
        <v>13419.082635329256</v>
      </c>
      <c r="X43" s="69"/>
      <c r="AK43" s="11"/>
      <c r="AN43" s="59" t="s">
        <v>76</v>
      </c>
      <c r="AO43" s="97">
        <f>1-AO25</f>
        <v>8.1392716666666587E-2</v>
      </c>
      <c r="AP43" s="500"/>
      <c r="AQ43" s="11"/>
      <c r="AU43" s="12" t="s">
        <v>6</v>
      </c>
      <c r="AV43" s="33">
        <f>$AO$44*AV44</f>
        <v>4679.5969730824927</v>
      </c>
      <c r="AW43" s="33">
        <f t="shared" ref="AW43:AX43" si="24">$AO$44*AW44</f>
        <v>3902.0152086504063</v>
      </c>
      <c r="AX43" s="33">
        <f t="shared" si="24"/>
        <v>5493.7652981507508</v>
      </c>
      <c r="BA43" s="69"/>
      <c r="BJ43" s="13"/>
      <c r="BK43" s="13"/>
      <c r="BL43" s="13"/>
      <c r="BM43" s="13"/>
      <c r="BN43" s="14"/>
      <c r="BO43" s="68"/>
      <c r="BP43" s="13"/>
      <c r="BQ43" s="13"/>
      <c r="BR43" s="13"/>
      <c r="BS43" s="13"/>
      <c r="BT43" s="13"/>
      <c r="BU43" s="14"/>
      <c r="BV43" s="71"/>
      <c r="BW43" s="71"/>
      <c r="BX43" s="71"/>
      <c r="BY43" s="13"/>
    </row>
    <row r="44" spans="8:77" x14ac:dyDescent="0.3">
      <c r="H44" s="11"/>
      <c r="K44" s="15" t="s">
        <v>74</v>
      </c>
      <c r="L44" s="28">
        <f>I32*L43</f>
        <v>89045.057952336516</v>
      </c>
      <c r="N44" s="59" t="s">
        <v>128</v>
      </c>
      <c r="O44" s="50">
        <f>SUM(T44,T47,T50)</f>
        <v>0.15492636201705176</v>
      </c>
      <c r="Q44" s="16"/>
      <c r="R44" s="2" t="s">
        <v>43</v>
      </c>
      <c r="S44" s="61">
        <f>S129</f>
        <v>0.12922984532257092</v>
      </c>
      <c r="T44" s="61">
        <f t="shared" ref="T44:U44" si="25">T129</f>
        <v>0.10773980381618248</v>
      </c>
      <c r="U44" s="61">
        <f t="shared" si="25"/>
        <v>0.15069991467142554</v>
      </c>
      <c r="AK44" s="11"/>
      <c r="AN44" s="15" t="s">
        <v>74</v>
      </c>
      <c r="AO44" s="28">
        <f>AL32*AO43</f>
        <v>89045.057952336516</v>
      </c>
      <c r="AQ44" s="59" t="s">
        <v>128</v>
      </c>
      <c r="AR44" s="50">
        <f>SUM(AW44,AW47,AW50)</f>
        <v>6.3378768667233923E-2</v>
      </c>
      <c r="AT44" s="16"/>
      <c r="AU44" s="2" t="s">
        <v>43</v>
      </c>
      <c r="AV44" s="61">
        <f>'OoS percent RSV_base'!BJ73</f>
        <v>5.2553135240670609E-2</v>
      </c>
      <c r="AW44" s="61">
        <f>'OoS percent RSV_low'!BJ73</f>
        <v>4.3820682454258748E-2</v>
      </c>
      <c r="AX44" s="61">
        <f>'OoS percent RSV_high'!BJ73</f>
        <v>6.1696464963742502E-2</v>
      </c>
      <c r="BJ44" s="13"/>
      <c r="BK44" s="13"/>
      <c r="BL44" s="13"/>
      <c r="BM44" s="13"/>
      <c r="BN44" s="14"/>
      <c r="BO44" s="88"/>
      <c r="BP44" s="13"/>
      <c r="BQ44" s="14"/>
      <c r="BR44" s="68"/>
      <c r="BS44" s="13"/>
      <c r="BT44" s="13"/>
      <c r="BU44" s="14"/>
      <c r="BV44" s="98"/>
      <c r="BW44" s="98"/>
      <c r="BX44" s="98"/>
      <c r="BY44" s="13"/>
    </row>
    <row r="45" spans="8:77" x14ac:dyDescent="0.3">
      <c r="H45" s="11"/>
      <c r="K45" s="14"/>
      <c r="L45" s="58"/>
      <c r="N45" s="59" t="s">
        <v>129</v>
      </c>
      <c r="O45" s="50">
        <f>SUM(U44,U47,U50)</f>
        <v>0.21737581063121242</v>
      </c>
      <c r="Q45" s="11"/>
      <c r="R45" s="2"/>
      <c r="AK45" s="11"/>
      <c r="AN45" s="14"/>
      <c r="AO45" s="58"/>
      <c r="AQ45" s="59" t="s">
        <v>129</v>
      </c>
      <c r="AR45" s="50">
        <f>SUM(AX44,AX47,AX50)</f>
        <v>8.99782850523832E-2</v>
      </c>
      <c r="AT45" s="11"/>
      <c r="AU45" s="2"/>
      <c r="BJ45" s="13"/>
      <c r="BK45" s="13"/>
      <c r="BL45" s="13"/>
      <c r="BM45" s="13"/>
      <c r="BN45" s="14"/>
      <c r="BO45" s="58"/>
      <c r="BP45" s="13"/>
      <c r="BQ45" s="14"/>
      <c r="BR45" s="68"/>
      <c r="BS45" s="13"/>
      <c r="BT45" s="13"/>
      <c r="BU45" s="14"/>
      <c r="BV45" s="13"/>
      <c r="BW45" s="13"/>
      <c r="BX45" s="13"/>
      <c r="BY45" s="13"/>
    </row>
    <row r="46" spans="8:77" x14ac:dyDescent="0.3">
      <c r="H46" s="11"/>
      <c r="N46" s="18" t="s">
        <v>46</v>
      </c>
      <c r="O46" s="50">
        <f>SUM(S44,S47,S50)</f>
        <v>0.18597458567567429</v>
      </c>
      <c r="P46" s="10"/>
      <c r="Q46" s="18"/>
      <c r="R46" s="12" t="s">
        <v>7</v>
      </c>
      <c r="S46" s="33">
        <f>$L$44*S47</f>
        <v>3989.8895888093821</v>
      </c>
      <c r="T46" s="33">
        <f>$L$44*T47</f>
        <v>3416.3485179865488</v>
      </c>
      <c r="U46" s="33">
        <f>$L$44*U47</f>
        <v>4565.2090815572456</v>
      </c>
      <c r="AK46" s="11"/>
      <c r="AQ46" s="18" t="s">
        <v>46</v>
      </c>
      <c r="AR46" s="50">
        <f>SUM(AV44,AV47,AV50)</f>
        <v>7.633199129690689E-2</v>
      </c>
      <c r="AS46" s="500"/>
      <c r="AT46" s="18"/>
      <c r="AU46" s="12" t="s">
        <v>7</v>
      </c>
      <c r="AV46" s="33">
        <f>$AO$44*AV47</f>
        <v>1860.9835405546251</v>
      </c>
      <c r="AW46" s="33">
        <f t="shared" ref="AW46:AX46" si="26">$AO$44*AW47</f>
        <v>1593.5894222499121</v>
      </c>
      <c r="AX46" s="33">
        <f t="shared" si="26"/>
        <v>2128.6571355181245</v>
      </c>
      <c r="BJ46" s="13"/>
      <c r="BK46" s="13"/>
      <c r="BL46" s="13"/>
      <c r="BM46" s="13"/>
      <c r="BN46" s="102"/>
      <c r="BO46" s="13"/>
      <c r="BP46" s="13"/>
      <c r="BQ46" s="13"/>
      <c r="BR46" s="68"/>
      <c r="BS46" s="13"/>
      <c r="BT46" s="13"/>
      <c r="BU46" s="14"/>
      <c r="BV46" s="71"/>
      <c r="BW46" s="71"/>
      <c r="BX46" s="71"/>
      <c r="BY46" s="13"/>
    </row>
    <row r="47" spans="8:77" x14ac:dyDescent="0.3">
      <c r="H47" s="11"/>
      <c r="N47" s="2" t="s">
        <v>10</v>
      </c>
      <c r="O47" s="54">
        <f>$L$44*O46</f>
        <v>16560.117759152188</v>
      </c>
      <c r="Q47" s="11"/>
      <c r="R47" s="2" t="s">
        <v>44</v>
      </c>
      <c r="S47" s="61">
        <f>S132</f>
        <v>4.4807535427121237E-2</v>
      </c>
      <c r="T47" s="61">
        <f t="shared" ref="T47:U47" si="27">T132</f>
        <v>3.8366514622464848E-2</v>
      </c>
      <c r="U47" s="61">
        <f t="shared" si="27"/>
        <v>5.1268528389311424E-2</v>
      </c>
      <c r="AK47" s="11"/>
      <c r="AQ47" s="2" t="s">
        <v>10</v>
      </c>
      <c r="AR47" s="54">
        <f>$L$44*AR46</f>
        <v>6796.9865886503203</v>
      </c>
      <c r="AT47" s="11"/>
      <c r="AU47" s="2" t="s">
        <v>44</v>
      </c>
      <c r="AV47" s="61">
        <f>'OoS percent RSV_base'!BJ50</f>
        <v>2.0899346727931388E-2</v>
      </c>
      <c r="AW47" s="61">
        <f>'OoS percent RSV_low'!BJ50</f>
        <v>1.7896438711993638E-2</v>
      </c>
      <c r="AX47" s="61">
        <f>'OoS percent RSV_high'!BJ50</f>
        <v>2.3905393342071143E-2</v>
      </c>
      <c r="BJ47" s="13"/>
      <c r="BK47" s="13"/>
      <c r="BL47" s="13"/>
      <c r="BM47" s="13"/>
      <c r="BN47" s="13"/>
      <c r="BO47" s="13"/>
      <c r="BP47" s="13"/>
      <c r="BQ47" s="14"/>
      <c r="BR47" s="71"/>
      <c r="BS47" s="13"/>
      <c r="BT47" s="13"/>
      <c r="BU47" s="14"/>
      <c r="BV47" s="98"/>
      <c r="BW47" s="98"/>
      <c r="BX47" s="98"/>
      <c r="BY47" s="13"/>
    </row>
    <row r="48" spans="8:77" x14ac:dyDescent="0.3">
      <c r="H48" s="11"/>
      <c r="N48" s="14" t="s">
        <v>128</v>
      </c>
      <c r="O48" s="71">
        <f>$L$44*O44</f>
        <v>13795.426884153041</v>
      </c>
      <c r="Q48" s="11"/>
      <c r="R48" s="2"/>
      <c r="AK48" s="11"/>
      <c r="AQ48" s="14" t="s">
        <v>128</v>
      </c>
      <c r="AR48" s="71">
        <f>$L$44*AR44</f>
        <v>5643.5661289215741</v>
      </c>
      <c r="AT48" s="11"/>
      <c r="AU48" s="2"/>
      <c r="BJ48" s="13"/>
      <c r="BK48" s="13"/>
      <c r="BL48" s="13"/>
      <c r="BM48" s="13"/>
      <c r="BN48" s="13"/>
      <c r="BO48" s="13"/>
      <c r="BP48" s="13"/>
      <c r="BQ48" s="14"/>
      <c r="BR48" s="71"/>
      <c r="BS48" s="13"/>
      <c r="BT48" s="13"/>
      <c r="BU48" s="14"/>
      <c r="BV48" s="13"/>
      <c r="BW48" s="13"/>
      <c r="BX48" s="13"/>
      <c r="BY48" s="13"/>
    </row>
    <row r="49" spans="1:77" x14ac:dyDescent="0.3">
      <c r="H49" s="11"/>
      <c r="N49" s="285" t="s">
        <v>129</v>
      </c>
      <c r="O49" s="71">
        <f t="shared" ref="O49" si="28">$L$44*O45</f>
        <v>19356.241655092439</v>
      </c>
      <c r="Q49" s="18"/>
      <c r="R49" s="12" t="s">
        <v>8</v>
      </c>
      <c r="S49" s="30">
        <f>$L$44*S50</f>
        <v>1062.949104422996</v>
      </c>
      <c r="T49" s="30">
        <f>$L$44*T50</f>
        <v>785.38129158115635</v>
      </c>
      <c r="U49" s="30">
        <f>$L$44*U50</f>
        <v>1371.9499382059366</v>
      </c>
      <c r="AK49" s="11"/>
      <c r="AQ49" s="285" t="s">
        <v>129</v>
      </c>
      <c r="AR49" s="71">
        <f t="shared" ref="AR49" si="29">$L$44*AR45</f>
        <v>8012.1216069413167</v>
      </c>
      <c r="AT49" s="18"/>
      <c r="AU49" s="12" t="s">
        <v>8</v>
      </c>
      <c r="AV49" s="33">
        <f>$AO$44*AV50</f>
        <v>256.40607501320306</v>
      </c>
      <c r="AW49" s="33">
        <f t="shared" ref="AW49:AX49" si="30">$AO$44*AW50</f>
        <v>147.96149802125649</v>
      </c>
      <c r="AX49" s="33">
        <f t="shared" si="30"/>
        <v>389.69917327244133</v>
      </c>
      <c r="BJ49" s="13"/>
      <c r="BK49" s="13"/>
      <c r="BL49" s="13"/>
      <c r="BM49" s="13"/>
      <c r="BN49" s="13"/>
      <c r="BO49" s="13"/>
      <c r="BP49" s="13"/>
      <c r="BQ49" s="285"/>
      <c r="BR49" s="71"/>
      <c r="BS49" s="13"/>
      <c r="BT49" s="13"/>
      <c r="BU49" s="14"/>
      <c r="BV49" s="71"/>
      <c r="BW49" s="71"/>
      <c r="BX49" s="71"/>
      <c r="BY49" s="13"/>
    </row>
    <row r="50" spans="1:77" x14ac:dyDescent="0.3">
      <c r="H50" s="11"/>
      <c r="L50" s="22"/>
      <c r="O50" s="71"/>
      <c r="R50" s="2" t="s">
        <v>45</v>
      </c>
      <c r="S50" s="61">
        <f>S135</f>
        <v>1.1937204925982133E-2</v>
      </c>
      <c r="T50" s="61">
        <f t="shared" ref="T50:U50" si="31">T135</f>
        <v>8.8200435784044334E-3</v>
      </c>
      <c r="U50" s="61">
        <f t="shared" si="31"/>
        <v>1.540736757047545E-2</v>
      </c>
      <c r="AK50" s="11"/>
      <c r="AO50" s="22"/>
      <c r="AR50" s="71"/>
      <c r="AU50" s="2" t="s">
        <v>45</v>
      </c>
      <c r="AV50" s="61">
        <f>'OoS percent RSV_base'!BJ29</f>
        <v>2.879509328304896E-3</v>
      </c>
      <c r="AW50" s="61">
        <f>'OoS percent RSV_low'!BJ29</f>
        <v>1.6616475009815412E-3</v>
      </c>
      <c r="AX50" s="61">
        <f>'OoS percent RSV_high'!BJ29</f>
        <v>4.3764267465695519E-3</v>
      </c>
      <c r="BJ50" s="13"/>
      <c r="BK50" s="13"/>
      <c r="BL50" s="13"/>
      <c r="BM50" s="13"/>
      <c r="BN50" s="13"/>
      <c r="BO50" s="515"/>
      <c r="BP50" s="13"/>
      <c r="BQ50" s="13"/>
      <c r="BR50" s="71"/>
      <c r="BS50" s="13"/>
      <c r="BT50" s="13"/>
      <c r="BU50" s="14"/>
      <c r="BV50" s="98"/>
      <c r="BW50" s="98"/>
      <c r="BX50" s="98"/>
      <c r="BY50" s="13"/>
    </row>
    <row r="51" spans="1:77" x14ac:dyDescent="0.3">
      <c r="H51" s="11"/>
      <c r="AK51" s="11"/>
      <c r="BJ51" s="13"/>
      <c r="BK51" s="13"/>
      <c r="BL51" s="13"/>
      <c r="BM51" s="13"/>
      <c r="BN51" s="13"/>
      <c r="BO51" s="13"/>
      <c r="BP51" s="13"/>
      <c r="BQ51" s="13"/>
      <c r="BR51" s="13"/>
      <c r="BS51" s="13"/>
      <c r="BT51" s="13"/>
      <c r="BU51" s="13"/>
      <c r="BV51" s="13"/>
      <c r="BW51" s="13"/>
      <c r="BX51" s="13"/>
      <c r="BY51" s="13"/>
    </row>
    <row r="52" spans="1:77" x14ac:dyDescent="0.3">
      <c r="A52" t="s">
        <v>68</v>
      </c>
      <c r="H52" s="11"/>
      <c r="K52" s="2"/>
      <c r="L52" s="21"/>
      <c r="M52" s="28"/>
      <c r="N52" s="55"/>
      <c r="O52" s="21"/>
      <c r="P52" s="28"/>
      <c r="Q52" s="28"/>
      <c r="R52" s="55" t="s">
        <v>5</v>
      </c>
      <c r="S52" s="56">
        <f>S43+S46+S49</f>
        <v>16560.117759152188</v>
      </c>
      <c r="T52" s="56"/>
      <c r="V52" s="55" t="s">
        <v>5</v>
      </c>
      <c r="W52" s="56">
        <f>W34+W37+W40</f>
        <v>14975.631297309001</v>
      </c>
      <c r="AD52" t="s">
        <v>68</v>
      </c>
      <c r="AK52" s="11"/>
      <c r="AN52" s="2"/>
      <c r="AO52" s="21"/>
      <c r="AP52" s="28"/>
      <c r="AQ52" s="55"/>
      <c r="AR52" s="21"/>
      <c r="AS52" s="28"/>
      <c r="AT52" s="28"/>
      <c r="AU52" s="55" t="s">
        <v>5</v>
      </c>
      <c r="AV52" s="56">
        <f>AV43+AV46+AV49</f>
        <v>6796.9865886503212</v>
      </c>
      <c r="AW52" s="56"/>
      <c r="AY52" s="55" t="s">
        <v>5</v>
      </c>
      <c r="AZ52" s="56">
        <f>AZ34+AZ37+AZ40</f>
        <v>3398.9882398423379</v>
      </c>
      <c r="BJ52" s="13"/>
      <c r="BK52" s="13"/>
      <c r="BL52" s="13"/>
      <c r="BM52" s="13"/>
      <c r="BN52" s="13"/>
      <c r="BO52" s="13"/>
      <c r="BP52" s="13"/>
      <c r="BQ52" s="13"/>
      <c r="BR52" s="13"/>
      <c r="BS52" s="13"/>
      <c r="BT52" s="13"/>
      <c r="BU52" s="13"/>
      <c r="BV52" s="13"/>
      <c r="BW52" s="13"/>
      <c r="BX52" s="13"/>
      <c r="BY52" s="13"/>
    </row>
    <row r="53" spans="1:77" x14ac:dyDescent="0.3">
      <c r="H53" s="11"/>
      <c r="AK53" s="11"/>
      <c r="BJ53" s="13"/>
      <c r="BK53" s="13"/>
      <c r="BL53" s="13"/>
      <c r="BM53" s="13"/>
      <c r="BN53" s="13"/>
      <c r="BO53" s="13"/>
      <c r="BP53" s="13"/>
      <c r="BQ53" s="13"/>
      <c r="BR53" s="13"/>
      <c r="BS53" s="13"/>
      <c r="BT53" s="13"/>
      <c r="BU53" s="13"/>
      <c r="BV53" s="13"/>
      <c r="BW53" s="13"/>
      <c r="BX53" s="13"/>
      <c r="BY53" s="13"/>
    </row>
    <row r="54" spans="1:77" x14ac:dyDescent="0.3">
      <c r="H54" s="11"/>
      <c r="AK54" s="11"/>
      <c r="BJ54" s="13"/>
      <c r="BK54" s="13"/>
      <c r="BL54" s="13"/>
      <c r="BM54" s="13"/>
      <c r="BN54" s="13"/>
      <c r="BO54" s="13"/>
      <c r="BP54" s="13"/>
      <c r="BQ54" s="13"/>
      <c r="BR54" s="13"/>
      <c r="BS54" s="13"/>
      <c r="BT54" s="13"/>
      <c r="BU54" s="13"/>
      <c r="BV54" s="13"/>
      <c r="BW54" s="13"/>
      <c r="BX54" s="13"/>
      <c r="BY54" s="13"/>
    </row>
    <row r="55" spans="1:77" x14ac:dyDescent="0.3">
      <c r="D55" s="10" t="s">
        <v>255</v>
      </c>
      <c r="E55" s="10"/>
      <c r="F55" s="33">
        <f>C97*F56</f>
        <v>2209690</v>
      </c>
      <c r="G55" s="10"/>
      <c r="H55" s="11"/>
      <c r="AG55" s="500" t="s">
        <v>255</v>
      </c>
      <c r="AH55" s="500"/>
      <c r="AI55" s="33">
        <f>AF97*AI56</f>
        <v>0</v>
      </c>
      <c r="AJ55" s="500"/>
      <c r="AK55" s="11"/>
      <c r="BG55" s="13"/>
      <c r="BH55" s="13"/>
      <c r="BI55" s="13"/>
      <c r="BJ55" s="13"/>
      <c r="BK55" s="13"/>
      <c r="BL55" s="13"/>
      <c r="BM55" s="13"/>
      <c r="BN55" s="13"/>
      <c r="BO55" s="13"/>
      <c r="BP55" s="13"/>
      <c r="BQ55" s="13"/>
      <c r="BR55" s="13"/>
      <c r="BS55" s="13"/>
      <c r="BT55" s="13"/>
      <c r="BU55" s="13"/>
      <c r="BV55" s="13"/>
      <c r="BW55" s="13"/>
      <c r="BX55" s="13"/>
      <c r="BY55" s="13"/>
    </row>
    <row r="56" spans="1:77" x14ac:dyDescent="0.3">
      <c r="D56" s="11"/>
      <c r="E56" s="14" t="s">
        <v>50</v>
      </c>
      <c r="F56" s="50">
        <f>'Input 5_Product Uptake'!M20</f>
        <v>0.56000000000000005</v>
      </c>
      <c r="H56" s="11"/>
      <c r="AG56" s="11"/>
      <c r="AH56" s="14" t="s">
        <v>50</v>
      </c>
      <c r="AI56" s="50">
        <f>'Input 5_Product Uptake'!AP20</f>
        <v>0</v>
      </c>
      <c r="AK56" s="11"/>
      <c r="BG56" s="13"/>
      <c r="BH56" s="13"/>
      <c r="BI56" s="13"/>
      <c r="BJ56" s="13"/>
      <c r="BK56" s="13"/>
      <c r="BL56" s="13"/>
      <c r="BM56" s="13"/>
      <c r="BN56" s="13"/>
      <c r="BO56" s="13"/>
      <c r="BP56" s="13"/>
      <c r="BQ56" s="13"/>
      <c r="BR56" s="13"/>
      <c r="BS56" s="13"/>
      <c r="BT56" s="13"/>
      <c r="BU56" s="13"/>
      <c r="BV56" s="13"/>
      <c r="BW56" s="13"/>
      <c r="BX56" s="13"/>
      <c r="BY56" s="13"/>
    </row>
    <row r="57" spans="1:77" x14ac:dyDescent="0.3">
      <c r="A57" t="s">
        <v>68</v>
      </c>
      <c r="D57" s="11"/>
      <c r="E57" s="14"/>
      <c r="F57" s="50"/>
      <c r="H57" s="11"/>
      <c r="K57" t="s">
        <v>5</v>
      </c>
      <c r="L57" s="8">
        <f>L24+L44</f>
        <v>1094017.5189999999</v>
      </c>
      <c r="O57" s="28"/>
      <c r="Q57" s="2" t="s">
        <v>5</v>
      </c>
      <c r="R57" s="28">
        <f>R64+R76</f>
        <v>9123.6363899214084</v>
      </c>
      <c r="S57" s="28"/>
      <c r="V57" s="2" t="s">
        <v>5</v>
      </c>
      <c r="W57" s="21">
        <f>W61+W64+W67</f>
        <v>4653.054558859918</v>
      </c>
      <c r="AD57" t="s">
        <v>68</v>
      </c>
      <c r="AG57" s="11"/>
      <c r="AH57" s="14"/>
      <c r="AI57" s="50"/>
      <c r="AK57" s="11"/>
      <c r="AN57" t="s">
        <v>5</v>
      </c>
      <c r="AO57" s="8">
        <f>AO24+AO44</f>
        <v>1094017.5189999999</v>
      </c>
      <c r="AR57" s="28"/>
      <c r="AT57" s="2" t="s">
        <v>5</v>
      </c>
      <c r="AU57" s="28" t="e">
        <f>AU64+AU76</f>
        <v>#REF!</v>
      </c>
      <c r="AV57" s="28"/>
      <c r="AY57" s="2" t="s">
        <v>5</v>
      </c>
      <c r="AZ57" s="21">
        <f>AZ61+AZ64+AZ67</f>
        <v>2333.8386416771882</v>
      </c>
      <c r="BG57" s="13"/>
      <c r="BH57" s="13"/>
      <c r="BI57" s="13"/>
      <c r="BJ57" s="13"/>
      <c r="BK57" s="13"/>
      <c r="BL57" s="13"/>
      <c r="BM57" s="13"/>
      <c r="BN57" s="13"/>
      <c r="BO57" s="13"/>
      <c r="BP57" s="13"/>
      <c r="BQ57" s="13"/>
      <c r="BR57" s="13"/>
      <c r="BS57" s="13"/>
      <c r="BT57" s="13"/>
      <c r="BU57" s="13"/>
      <c r="BV57" s="13"/>
      <c r="BW57" s="13"/>
      <c r="BX57" s="13"/>
      <c r="BY57" s="13"/>
    </row>
    <row r="58" spans="1:77" x14ac:dyDescent="0.3">
      <c r="A58" t="s">
        <v>68</v>
      </c>
      <c r="D58" s="11"/>
      <c r="H58" s="11"/>
      <c r="V58" s="2" t="s">
        <v>5</v>
      </c>
      <c r="W58" s="21">
        <f>W72+W75+W78</f>
        <v>6716.5163394128367</v>
      </c>
      <c r="AD58" t="s">
        <v>68</v>
      </c>
      <c r="AG58" s="11"/>
      <c r="AK58" s="11"/>
      <c r="AY58" s="2" t="s">
        <v>5</v>
      </c>
      <c r="AZ58" s="21">
        <f>AZ72+AZ75+AZ78</f>
        <v>2242.3155576898475</v>
      </c>
      <c r="BG58" s="13"/>
      <c r="BH58" s="13"/>
      <c r="BI58" s="13"/>
      <c r="BJ58" s="13"/>
      <c r="BK58" s="13"/>
      <c r="BL58" s="13"/>
      <c r="BM58" s="13"/>
      <c r="BN58" s="13"/>
      <c r="BO58" s="13"/>
      <c r="BP58" s="13"/>
      <c r="BQ58" s="13"/>
      <c r="BR58" s="13"/>
      <c r="BS58" s="13"/>
      <c r="BT58" s="13"/>
      <c r="BU58" s="13"/>
      <c r="BV58" s="14"/>
      <c r="BW58" s="52"/>
      <c r="BX58" s="13"/>
      <c r="BY58" s="13"/>
    </row>
    <row r="59" spans="1:77" x14ac:dyDescent="0.3">
      <c r="D59" s="11"/>
      <c r="H59" s="11"/>
      <c r="AG59" s="11"/>
      <c r="AK59" s="11"/>
      <c r="BG59" s="13"/>
      <c r="BH59" s="13"/>
      <c r="BI59" s="13"/>
      <c r="BJ59" s="13"/>
      <c r="BK59" s="13"/>
      <c r="BL59" s="13"/>
      <c r="BM59" s="13"/>
      <c r="BN59" s="13"/>
      <c r="BO59" s="13"/>
      <c r="BP59" s="13"/>
      <c r="BQ59" s="13"/>
      <c r="BR59" s="13"/>
      <c r="BS59" s="13"/>
      <c r="BT59" s="13"/>
      <c r="BU59" s="13"/>
      <c r="BV59" s="13"/>
      <c r="BW59" s="13"/>
      <c r="BX59" s="13"/>
      <c r="BY59" s="13"/>
    </row>
    <row r="60" spans="1:77" x14ac:dyDescent="0.3">
      <c r="D60" s="11"/>
      <c r="H60" s="11"/>
      <c r="L60" s="8"/>
      <c r="O60" s="28"/>
      <c r="Q60" s="2"/>
      <c r="R60" s="28"/>
      <c r="S60" s="19"/>
      <c r="W60" s="237" t="s">
        <v>160</v>
      </c>
      <c r="X60" s="237" t="s">
        <v>161</v>
      </c>
      <c r="Y60" s="237" t="s">
        <v>162</v>
      </c>
      <c r="AG60" s="11"/>
      <c r="AK60" s="11"/>
      <c r="AO60" s="8"/>
      <c r="AR60" s="28"/>
      <c r="AT60" s="2"/>
      <c r="AU60" s="28"/>
      <c r="AV60" s="19"/>
      <c r="AZ60" s="684" t="s">
        <v>160</v>
      </c>
      <c r="BA60" s="684" t="s">
        <v>161</v>
      </c>
      <c r="BB60" s="684" t="s">
        <v>162</v>
      </c>
      <c r="BG60" s="13"/>
      <c r="BH60" s="13"/>
      <c r="BI60" s="13"/>
      <c r="BJ60" s="13"/>
      <c r="BK60" s="13"/>
      <c r="BL60" s="71"/>
      <c r="BM60" s="13"/>
      <c r="BN60" s="13"/>
      <c r="BO60" s="88"/>
      <c r="BP60" s="13"/>
      <c r="BQ60" s="14"/>
      <c r="BR60" s="88"/>
      <c r="BS60" s="89"/>
      <c r="BT60" s="13"/>
      <c r="BU60" s="13"/>
      <c r="BV60" s="13"/>
      <c r="BW60" s="681"/>
      <c r="BX60" s="681"/>
      <c r="BY60" s="681"/>
    </row>
    <row r="61" spans="1:77" x14ac:dyDescent="0.3">
      <c r="D61" s="11"/>
      <c r="H61" s="11"/>
      <c r="L61" s="8"/>
      <c r="O61" s="28"/>
      <c r="Q61" s="2"/>
      <c r="R61" s="28"/>
      <c r="S61" s="19"/>
      <c r="V61" s="2" t="s">
        <v>64</v>
      </c>
      <c r="W61" s="33">
        <f>$L$74*$R$65*W62</f>
        <v>3128.8049063757953</v>
      </c>
      <c r="X61" s="33">
        <f>$L$74*$R$65*X62</f>
        <v>2608.5309489119718</v>
      </c>
      <c r="Y61" s="33">
        <f>$L$74*$R$65*Y62</f>
        <v>3648.7675089877539</v>
      </c>
      <c r="AG61" s="11"/>
      <c r="AK61" s="11"/>
      <c r="AO61" s="8"/>
      <c r="AR61" s="28"/>
      <c r="AT61" s="2"/>
      <c r="AU61" s="28"/>
      <c r="AV61" s="19"/>
      <c r="AY61" s="2" t="s">
        <v>64</v>
      </c>
      <c r="AZ61" s="33">
        <f>$AO$74*$AU$65*AZ62</f>
        <v>1607.0191797845375</v>
      </c>
      <c r="BA61" s="33">
        <f t="shared" ref="BA61:BB61" si="32">$AO$74*$AU$65*BA62</f>
        <v>1339.9904959853218</v>
      </c>
      <c r="BB61" s="33">
        <f t="shared" si="32"/>
        <v>1886.6138837172327</v>
      </c>
      <c r="BG61" s="13"/>
      <c r="BH61" s="13"/>
      <c r="BI61" s="13"/>
      <c r="BJ61" s="13"/>
      <c r="BK61" s="13"/>
      <c r="BL61" s="71"/>
      <c r="BM61" s="13"/>
      <c r="BN61" s="13"/>
      <c r="BO61" s="88"/>
      <c r="BP61" s="13"/>
      <c r="BQ61" s="14"/>
      <c r="BR61" s="88"/>
      <c r="BS61" s="89"/>
      <c r="BT61" s="13"/>
      <c r="BU61" s="13"/>
      <c r="BV61" s="14"/>
      <c r="BW61" s="71"/>
      <c r="BX61" s="71"/>
      <c r="BY61" s="71"/>
    </row>
    <row r="62" spans="1:77" x14ac:dyDescent="0.3">
      <c r="D62" s="11"/>
      <c r="H62" s="11"/>
      <c r="T62" s="16"/>
      <c r="U62" s="17"/>
      <c r="V62" s="15" t="s">
        <v>40</v>
      </c>
      <c r="W62" s="61">
        <f>'WiS percent RSV_base'!AX70</f>
        <v>1.4910674201012974</v>
      </c>
      <c r="X62" s="61">
        <f>'WiS percent RSV_low'!AW67</f>
        <v>1.2431249721971007</v>
      </c>
      <c r="Y62" s="61">
        <f>'WiS percent RSV_high'!AW69</f>
        <v>1.7388614883239231</v>
      </c>
      <c r="AG62" s="11"/>
      <c r="AK62" s="11"/>
      <c r="AW62" s="16"/>
      <c r="AX62" s="17"/>
      <c r="AY62" s="15" t="s">
        <v>40</v>
      </c>
      <c r="AZ62" s="61">
        <f>'OoS percent RSV_base'!AH72</f>
        <v>0.76584319385710953</v>
      </c>
      <c r="BA62" s="61">
        <f>'OoS percent RSV_low'!AH72</f>
        <v>0.6385876497884504</v>
      </c>
      <c r="BB62" s="61">
        <f>'OoS percent RSV_high'!AH72</f>
        <v>0.89908721716369955</v>
      </c>
      <c r="BG62" s="13"/>
      <c r="BH62" s="13"/>
      <c r="BI62" s="13"/>
      <c r="BJ62" s="13"/>
      <c r="BK62" s="13"/>
      <c r="BL62" s="13"/>
      <c r="BM62" s="13"/>
      <c r="BN62" s="13"/>
      <c r="BO62" s="13"/>
      <c r="BP62" s="13"/>
      <c r="BQ62" s="13"/>
      <c r="BR62" s="13"/>
      <c r="BS62" s="13"/>
      <c r="BT62" s="13"/>
      <c r="BU62" s="13"/>
      <c r="BV62" s="14"/>
      <c r="BW62" s="13"/>
      <c r="BX62" s="13"/>
      <c r="BY62" s="13"/>
    </row>
    <row r="63" spans="1:77" x14ac:dyDescent="0.3">
      <c r="D63" s="11"/>
      <c r="H63" s="11"/>
      <c r="T63" s="11"/>
      <c r="U63" s="13"/>
      <c r="V63" s="2"/>
      <c r="AG63" s="11"/>
      <c r="AK63" s="11"/>
      <c r="AW63" s="11"/>
      <c r="AX63" s="13"/>
      <c r="AY63" s="2"/>
      <c r="BG63" s="13"/>
      <c r="BH63" s="13"/>
      <c r="BI63" s="13"/>
      <c r="BJ63" s="13"/>
      <c r="BK63" s="13"/>
      <c r="BL63" s="13"/>
      <c r="BM63" s="13"/>
      <c r="BN63" s="13"/>
      <c r="BO63" s="13"/>
      <c r="BP63" s="13"/>
      <c r="BQ63" s="13"/>
      <c r="BR63" s="13"/>
      <c r="BS63" s="13"/>
      <c r="BT63" s="13"/>
      <c r="BU63" s="13"/>
      <c r="BV63" s="14"/>
      <c r="BW63" s="13"/>
      <c r="BX63" s="13"/>
      <c r="BY63" s="13"/>
    </row>
    <row r="64" spans="1:77" x14ac:dyDescent="0.3">
      <c r="D64" s="11"/>
      <c r="H64" s="11"/>
      <c r="Q64" s="531" t="s">
        <v>12</v>
      </c>
      <c r="R64" s="33">
        <f>O69*R65</f>
        <v>4653.054558859918</v>
      </c>
      <c r="T64" s="18"/>
      <c r="U64" s="10"/>
      <c r="V64" s="12" t="s">
        <v>65</v>
      </c>
      <c r="W64" s="33">
        <f>$L$74*$R$65*W65</f>
        <v>1175.0532109326552</v>
      </c>
      <c r="X64" s="33">
        <f>$L$74*$R$65*X65</f>
        <v>1005.9875263708027</v>
      </c>
      <c r="Y64" s="33">
        <f>$L$74*$R$65*Y65</f>
        <v>1344.4302503463709</v>
      </c>
      <c r="AG64" s="11"/>
      <c r="AK64" s="11"/>
      <c r="AT64" s="531" t="s">
        <v>12</v>
      </c>
      <c r="AU64" s="33" t="e">
        <f>AR69*AU65</f>
        <v>#REF!</v>
      </c>
      <c r="AW64" s="18"/>
      <c r="AX64" s="500"/>
      <c r="AY64" s="12" t="s">
        <v>65</v>
      </c>
      <c r="AZ64" s="33">
        <f>$AO$74*$AU$65*AZ65</f>
        <v>638.72292748453822</v>
      </c>
      <c r="BA64" s="33">
        <f t="shared" ref="BA64:BB64" si="33">$AO$74*$AU$65*BA65</f>
        <v>546.94977977902488</v>
      </c>
      <c r="BB64" s="33">
        <f t="shared" si="33"/>
        <v>730.59841121727197</v>
      </c>
      <c r="BG64" s="13"/>
      <c r="BH64" s="13"/>
      <c r="BI64" s="13"/>
      <c r="BJ64" s="13"/>
      <c r="BK64" s="13"/>
      <c r="BL64" s="13"/>
      <c r="BM64" s="13"/>
      <c r="BN64" s="13"/>
      <c r="BO64" s="13"/>
      <c r="BP64" s="13"/>
      <c r="BQ64" s="102"/>
      <c r="BR64" s="71"/>
      <c r="BS64" s="13"/>
      <c r="BT64" s="13"/>
      <c r="BU64" s="13"/>
      <c r="BV64" s="14"/>
      <c r="BW64" s="71"/>
      <c r="BX64" s="71"/>
      <c r="BY64" s="71"/>
    </row>
    <row r="65" spans="4:77" x14ac:dyDescent="0.3">
      <c r="D65" s="11"/>
      <c r="H65" s="11"/>
      <c r="Q65" s="59" t="s">
        <v>47</v>
      </c>
      <c r="R65" s="66">
        <f>'Input 6_Product Efficacy'!K9</f>
        <v>0.51</v>
      </c>
      <c r="S65" s="17"/>
      <c r="T65" s="11"/>
      <c r="U65" s="13"/>
      <c r="V65" s="2" t="s">
        <v>41</v>
      </c>
      <c r="W65" s="61">
        <f>'WiS percent RSV_base'!AX46</f>
        <v>0.55998491824682028</v>
      </c>
      <c r="X65" s="61">
        <f>'WiS percent RSV_low'!AW44</f>
        <v>0.47941475115407434</v>
      </c>
      <c r="Y65" s="61">
        <f>'WiS percent RSV_high'!AW45</f>
        <v>0.64070346502113651</v>
      </c>
      <c r="AG65" s="11"/>
      <c r="AK65" s="11"/>
      <c r="AT65" s="59" t="s">
        <v>47</v>
      </c>
      <c r="AU65" s="66">
        <f>R65</f>
        <v>0.51</v>
      </c>
      <c r="AV65" s="17"/>
      <c r="AW65" s="11"/>
      <c r="AX65" s="13"/>
      <c r="AY65" s="2" t="s">
        <v>41</v>
      </c>
      <c r="AZ65" s="61">
        <f>'OoS percent RSV_base'!AH49</f>
        <v>0.30439064631456758</v>
      </c>
      <c r="BA65" s="61">
        <f>'OoS percent RSV_low'!AH49</f>
        <v>0.26065511320255214</v>
      </c>
      <c r="BB65" s="61">
        <f>'OoS percent RSV_high'!AH49</f>
        <v>0.34817494881958039</v>
      </c>
      <c r="BG65" s="13"/>
      <c r="BH65" s="13"/>
      <c r="BI65" s="13"/>
      <c r="BJ65" s="13"/>
      <c r="BK65" s="13"/>
      <c r="BL65" s="13"/>
      <c r="BM65" s="13"/>
      <c r="BN65" s="13"/>
      <c r="BO65" s="13"/>
      <c r="BP65" s="13"/>
      <c r="BQ65" s="14"/>
      <c r="BR65" s="66"/>
      <c r="BS65" s="13"/>
      <c r="BT65" s="13"/>
      <c r="BU65" s="13"/>
      <c r="BV65" s="14"/>
      <c r="BW65" s="13"/>
      <c r="BX65" s="13"/>
      <c r="BY65" s="13"/>
    </row>
    <row r="66" spans="4:77" x14ac:dyDescent="0.3">
      <c r="D66" s="11"/>
      <c r="H66" s="11"/>
      <c r="Q66" s="11"/>
      <c r="T66" s="11"/>
      <c r="U66" s="13"/>
      <c r="V66" s="2"/>
      <c r="AG66" s="11"/>
      <c r="AK66" s="11"/>
      <c r="AT66" s="11"/>
      <c r="AW66" s="11"/>
      <c r="AX66" s="13"/>
      <c r="AY66" s="2"/>
      <c r="BG66" s="13"/>
      <c r="BH66" s="13"/>
      <c r="BI66" s="13"/>
      <c r="BJ66" s="13"/>
      <c r="BK66" s="13"/>
      <c r="BL66" s="13"/>
      <c r="BM66" s="13"/>
      <c r="BN66" s="13"/>
      <c r="BO66" s="13"/>
      <c r="BP66" s="13"/>
      <c r="BQ66" s="13"/>
      <c r="BR66" s="13"/>
      <c r="BS66" s="13"/>
      <c r="BT66" s="13"/>
      <c r="BU66" s="13"/>
      <c r="BV66" s="14"/>
      <c r="BW66" s="13"/>
      <c r="BX66" s="13"/>
      <c r="BY66" s="13"/>
    </row>
    <row r="67" spans="4:77" x14ac:dyDescent="0.3">
      <c r="D67" s="11"/>
      <c r="H67" s="11"/>
      <c r="N67" s="14" t="s">
        <v>128</v>
      </c>
      <c r="O67" s="28">
        <f>$L$74*O71</f>
        <v>7824.5471004997989</v>
      </c>
      <c r="Q67" s="11"/>
      <c r="T67" s="18"/>
      <c r="U67" s="10"/>
      <c r="V67" s="12" t="s">
        <v>66</v>
      </c>
      <c r="W67" s="30">
        <f>$L$74*$R$65*W68</f>
        <v>349.19644155146779</v>
      </c>
      <c r="X67" s="30">
        <f>$L$74*$R$65*X68</f>
        <v>376.00054597212312</v>
      </c>
      <c r="Y67" s="30">
        <f>$L$74*$R$65*Y68</f>
        <v>329.44552212108584</v>
      </c>
      <c r="AG67" s="11"/>
      <c r="AK67" s="11"/>
      <c r="AQ67" s="14" t="s">
        <v>128</v>
      </c>
      <c r="AR67" s="28" t="e">
        <f>$L$74*AR71</f>
        <v>#REF!</v>
      </c>
      <c r="AT67" s="11"/>
      <c r="AW67" s="18"/>
      <c r="AX67" s="500"/>
      <c r="AY67" s="12" t="s">
        <v>66</v>
      </c>
      <c r="AZ67" s="33">
        <f>$AO$74*$AU$65*AZ68</f>
        <v>88.096534408112319</v>
      </c>
      <c r="BA67" s="33">
        <f t="shared" ref="BA67:BB67" si="34">$AO$74*$AU$65*BA68</f>
        <v>73.276112182167509</v>
      </c>
      <c r="BB67" s="33">
        <f t="shared" si="34"/>
        <v>98.686699650288517</v>
      </c>
      <c r="BG67" s="13"/>
      <c r="BH67" s="13"/>
      <c r="BI67" s="13"/>
      <c r="BJ67" s="13"/>
      <c r="BK67" s="13"/>
      <c r="BL67" s="13"/>
      <c r="BM67" s="13"/>
      <c r="BN67" s="14"/>
      <c r="BO67" s="88"/>
      <c r="BP67" s="13"/>
      <c r="BQ67" s="13"/>
      <c r="BR67" s="13"/>
      <c r="BS67" s="13"/>
      <c r="BT67" s="13"/>
      <c r="BU67" s="13"/>
      <c r="BV67" s="14"/>
      <c r="BW67" s="71"/>
      <c r="BX67" s="71"/>
      <c r="BY67" s="71"/>
    </row>
    <row r="68" spans="4:77" x14ac:dyDescent="0.3">
      <c r="D68" s="11"/>
      <c r="H68" s="11"/>
      <c r="J68" s="13"/>
      <c r="N68" s="285" t="s">
        <v>129</v>
      </c>
      <c r="O68" s="28">
        <f>$L$74*O72</f>
        <v>10436.555453833747</v>
      </c>
      <c r="Q68" s="11"/>
      <c r="R68" s="13"/>
      <c r="V68" s="2" t="s">
        <v>40</v>
      </c>
      <c r="W68" s="61">
        <f>'WiS percent RSV_base'!AX21</f>
        <v>0.16641351979207206</v>
      </c>
      <c r="X68" s="61">
        <f>'WiS percent RSV_low'!AW21</f>
        <v>0.17918731938091481</v>
      </c>
      <c r="Y68" s="61">
        <f>'WiS percent RSV_high'!AW21</f>
        <v>0.15700099540626716</v>
      </c>
      <c r="AG68" s="11"/>
      <c r="AK68" s="11"/>
      <c r="AM68" s="13"/>
      <c r="AQ68" s="285" t="s">
        <v>129</v>
      </c>
      <c r="AR68" s="28" t="e">
        <f>$L$74*AR72</f>
        <v>#REF!</v>
      </c>
      <c r="AT68" s="11"/>
      <c r="AU68" s="13"/>
      <c r="AY68" s="2" t="s">
        <v>40</v>
      </c>
      <c r="AZ68" s="61">
        <f>'OoS percent RSV_base'!AH28</f>
        <v>4.1983401397796216E-2</v>
      </c>
      <c r="BA68" s="61">
        <f>'OoS percent RSV_low'!AH28</f>
        <v>3.4920561305651056E-2</v>
      </c>
      <c r="BB68" s="61">
        <f>'OoS percent RSV_high'!AH28</f>
        <v>4.7030264605508632E-2</v>
      </c>
      <c r="BG68" s="13"/>
      <c r="BH68" s="13"/>
      <c r="BI68" s="13"/>
      <c r="BJ68" s="13"/>
      <c r="BK68" s="13"/>
      <c r="BL68" s="13"/>
      <c r="BM68" s="13"/>
      <c r="BN68" s="285"/>
      <c r="BO68" s="88"/>
      <c r="BP68" s="13"/>
      <c r="BQ68" s="13"/>
      <c r="BR68" s="13"/>
      <c r="BS68" s="13"/>
      <c r="BT68" s="13"/>
      <c r="BU68" s="13"/>
      <c r="BV68" s="14"/>
      <c r="BW68" s="13"/>
      <c r="BX68" s="13"/>
      <c r="BY68" s="13"/>
    </row>
    <row r="69" spans="4:77" x14ac:dyDescent="0.3">
      <c r="D69" s="11"/>
      <c r="H69" s="11"/>
      <c r="N69" s="2" t="s">
        <v>163</v>
      </c>
      <c r="O69" s="33">
        <f>$L$74*O70</f>
        <v>9123.6363899214084</v>
      </c>
      <c r="Q69" s="11"/>
      <c r="AG69" s="11"/>
      <c r="AK69" s="11"/>
      <c r="AQ69" s="2" t="s">
        <v>163</v>
      </c>
      <c r="AR69" s="33" t="e">
        <f>$L$74*AR70</f>
        <v>#REF!</v>
      </c>
      <c r="AT69" s="11"/>
      <c r="BG69" s="13"/>
      <c r="BH69" s="13"/>
      <c r="BI69" s="13"/>
      <c r="BJ69" s="13"/>
      <c r="BK69" s="13"/>
      <c r="BL69" s="13"/>
      <c r="BM69" s="13"/>
      <c r="BN69" s="14"/>
      <c r="BO69" s="71"/>
      <c r="BP69" s="13"/>
      <c r="BQ69" s="13"/>
      <c r="BR69" s="13"/>
      <c r="BS69" s="13"/>
      <c r="BT69" s="13"/>
      <c r="BU69" s="13"/>
      <c r="BV69" s="13"/>
      <c r="BW69" s="13"/>
      <c r="BX69" s="13"/>
      <c r="BY69" s="13"/>
    </row>
    <row r="70" spans="4:77" x14ac:dyDescent="0.3">
      <c r="D70" s="11"/>
      <c r="H70" s="11"/>
      <c r="N70" s="16" t="s">
        <v>42</v>
      </c>
      <c r="O70" s="68">
        <f>W73+W76+W79</f>
        <v>2.2174658581401898</v>
      </c>
      <c r="P70" s="17"/>
      <c r="Q70" s="11"/>
      <c r="AG70" s="11"/>
      <c r="AK70" s="11"/>
      <c r="AQ70" s="16" t="s">
        <v>42</v>
      </c>
      <c r="AR70" s="68" t="e">
        <f>#REF!+#REF!+#REF!</f>
        <v>#REF!</v>
      </c>
      <c r="AS70" s="17"/>
      <c r="AT70" s="11"/>
      <c r="BG70" s="13"/>
      <c r="BH70" s="13"/>
      <c r="BI70" s="13"/>
      <c r="BJ70" s="13"/>
      <c r="BK70" s="13"/>
      <c r="BL70" s="13"/>
      <c r="BM70" s="13"/>
      <c r="BN70" s="13"/>
      <c r="BO70" s="68"/>
      <c r="BP70" s="13"/>
      <c r="BQ70" s="13"/>
      <c r="BR70" s="13"/>
      <c r="BS70" s="13"/>
      <c r="BT70" s="13"/>
      <c r="BU70" s="13"/>
      <c r="BV70" s="13"/>
      <c r="BW70" s="13"/>
      <c r="BX70" s="13"/>
      <c r="BY70" s="13"/>
    </row>
    <row r="71" spans="4:77" x14ac:dyDescent="0.3">
      <c r="D71" s="11"/>
      <c r="H71" s="11"/>
      <c r="N71" s="59" t="s">
        <v>128</v>
      </c>
      <c r="O71" s="68">
        <f>X73+X76+X79</f>
        <v>1.9017270427320898</v>
      </c>
      <c r="Q71" s="11"/>
      <c r="R71" s="13"/>
      <c r="S71" s="13"/>
      <c r="W71" s="237" t="s">
        <v>160</v>
      </c>
      <c r="X71" s="237" t="s">
        <v>161</v>
      </c>
      <c r="Y71" s="237" t="s">
        <v>162</v>
      </c>
      <c r="AG71" s="11"/>
      <c r="AK71" s="11"/>
      <c r="AQ71" s="59" t="s">
        <v>128</v>
      </c>
      <c r="AR71" s="68" t="e">
        <f>#REF!+#REF!+#REF!</f>
        <v>#REF!</v>
      </c>
      <c r="AT71" s="11"/>
      <c r="AU71" s="13"/>
      <c r="AV71" s="13"/>
      <c r="AZ71" s="684" t="s">
        <v>160</v>
      </c>
      <c r="BA71" s="684" t="s">
        <v>161</v>
      </c>
      <c r="BB71" s="684" t="s">
        <v>162</v>
      </c>
      <c r="BG71" s="13"/>
      <c r="BH71" s="13"/>
      <c r="BI71" s="13"/>
      <c r="BJ71" s="13"/>
      <c r="BK71" s="13"/>
      <c r="BL71" s="13"/>
      <c r="BM71" s="13"/>
      <c r="BN71" s="14"/>
      <c r="BO71" s="68"/>
      <c r="BP71" s="13"/>
      <c r="BQ71" s="13"/>
      <c r="BR71" s="13"/>
      <c r="BS71" s="13"/>
      <c r="BT71" s="13"/>
      <c r="BU71" s="13"/>
      <c r="BV71" s="13"/>
      <c r="BW71" s="681"/>
      <c r="BX71" s="681"/>
      <c r="BY71" s="681"/>
    </row>
    <row r="72" spans="4:77" x14ac:dyDescent="0.3">
      <c r="D72" s="11"/>
      <c r="H72" s="11"/>
      <c r="N72" s="59" t="s">
        <v>129</v>
      </c>
      <c r="O72" s="68">
        <f>Y73+Y76+Y79</f>
        <v>2.5365659487513268</v>
      </c>
      <c r="Q72" s="11"/>
      <c r="R72" s="13"/>
      <c r="V72" s="517" t="s">
        <v>6</v>
      </c>
      <c r="W72" s="518">
        <f>($L$74*$R$75*W73)+($L$74*W74)</f>
        <v>4771.6718347318292</v>
      </c>
      <c r="X72" s="518">
        <f>($L$74*$R$75*X73)+($L$74*X74)</f>
        <v>3978.1504172738055</v>
      </c>
      <c r="Y72" s="518">
        <f t="shared" ref="Y72" si="35">($L$74*$R$75*Y73)+($L$74*Y74)</f>
        <v>5564.283607622644</v>
      </c>
      <c r="AG72" s="11"/>
      <c r="AK72" s="11"/>
      <c r="AQ72" s="59" t="s">
        <v>129</v>
      </c>
      <c r="AR72" s="68" t="e">
        <f>#REF!+#REF!+#REF!</f>
        <v>#REF!</v>
      </c>
      <c r="AT72" s="11"/>
      <c r="AU72" s="13"/>
      <c r="AY72" s="517" t="s">
        <v>6</v>
      </c>
      <c r="AZ72" s="518">
        <f>($AO$74*$AU$75*AZ73)+($BL$74*AZ74)</f>
        <v>1543.9988197929872</v>
      </c>
      <c r="BA72" s="518">
        <f t="shared" ref="BA72:BB72" si="36">($AO$74*$AU$75*BA73)+($BL$74*BA74)</f>
        <v>1287.4418490839366</v>
      </c>
      <c r="BB72" s="518">
        <f t="shared" si="36"/>
        <v>1812.6290255322431</v>
      </c>
      <c r="BG72" s="13"/>
      <c r="BH72" s="13"/>
      <c r="BI72" s="13"/>
      <c r="BJ72" s="13"/>
      <c r="BK72" s="13"/>
      <c r="BL72" s="13"/>
      <c r="BM72" s="13"/>
      <c r="BN72" s="14"/>
      <c r="BO72" s="68"/>
      <c r="BP72" s="13"/>
      <c r="BQ72" s="13"/>
      <c r="BR72" s="13"/>
      <c r="BS72" s="13"/>
      <c r="BT72" s="13"/>
      <c r="BU72" s="13"/>
      <c r="BV72" s="353"/>
      <c r="BW72" s="557"/>
      <c r="BX72" s="557"/>
      <c r="BY72" s="557"/>
    </row>
    <row r="73" spans="4:77" x14ac:dyDescent="0.3">
      <c r="D73" s="11"/>
      <c r="H73" s="11"/>
      <c r="N73" s="11"/>
      <c r="Q73" s="11"/>
      <c r="R73" s="13"/>
      <c r="T73" s="16"/>
      <c r="U73" s="17"/>
      <c r="V73" s="15" t="s">
        <v>40</v>
      </c>
      <c r="W73" s="61">
        <f t="shared" ref="W73:Y73" si="37">W62</f>
        <v>1.4910674201012974</v>
      </c>
      <c r="X73" s="61">
        <f t="shared" si="37"/>
        <v>1.2431249721971007</v>
      </c>
      <c r="Y73" s="61">
        <f t="shared" si="37"/>
        <v>1.7388614883239231</v>
      </c>
      <c r="AG73" s="11"/>
      <c r="AK73" s="11"/>
      <c r="AQ73" s="11"/>
      <c r="AT73" s="11"/>
      <c r="AU73" s="13"/>
      <c r="AW73" s="16"/>
      <c r="AX73" s="17"/>
      <c r="AY73" s="15" t="s">
        <v>40</v>
      </c>
      <c r="AZ73" s="61">
        <f>AZ62</f>
        <v>0.76584319385710953</v>
      </c>
      <c r="BA73" s="61">
        <f>BA62</f>
        <v>0.6385876497884504</v>
      </c>
      <c r="BB73" s="61">
        <f>BB62</f>
        <v>0.89908721716369955</v>
      </c>
      <c r="BG73" s="13"/>
      <c r="BH73" s="13"/>
      <c r="BI73" s="13"/>
      <c r="BJ73" s="13"/>
      <c r="BK73" s="13"/>
      <c r="BL73" s="13"/>
      <c r="BM73" s="13"/>
      <c r="BN73" s="13"/>
      <c r="BO73" s="13"/>
      <c r="BP73" s="13"/>
      <c r="BQ73" s="13"/>
      <c r="BR73" s="13"/>
      <c r="BS73" s="13"/>
      <c r="BT73" s="13"/>
      <c r="BU73" s="13"/>
      <c r="BV73" s="14"/>
      <c r="BW73" s="13"/>
      <c r="BX73" s="13"/>
      <c r="BY73" s="13"/>
    </row>
    <row r="74" spans="4:77" x14ac:dyDescent="0.3">
      <c r="D74" s="11"/>
      <c r="H74" s="11"/>
      <c r="K74" s="12" t="s">
        <v>71</v>
      </c>
      <c r="L74" s="30">
        <f>I81*L75</f>
        <v>4114.4427800000003</v>
      </c>
      <c r="M74" s="10"/>
      <c r="N74" s="11"/>
      <c r="O74" s="13"/>
      <c r="P74" s="13"/>
      <c r="Q74" s="11"/>
      <c r="R74" s="13"/>
      <c r="T74" s="11"/>
      <c r="U74" s="13"/>
      <c r="V74" s="2"/>
      <c r="W74" s="27">
        <f>'WiS percent RSV_base'!$AX$71</f>
        <v>0.42911403910169688</v>
      </c>
      <c r="X74" s="27">
        <f>'WiS percent RSV_low'!$AW$68</f>
        <v>0.35774341226631784</v>
      </c>
      <c r="Y74" s="27">
        <f>'WiS percent RSV_high'!$AW$70</f>
        <v>0.50033628625550552</v>
      </c>
      <c r="AG74" s="11"/>
      <c r="AK74" s="11"/>
      <c r="AN74" s="12" t="s">
        <v>71</v>
      </c>
      <c r="AO74" s="30">
        <f>AL81*AO75</f>
        <v>4114.4427800000003</v>
      </c>
      <c r="AP74" s="500"/>
      <c r="AQ74" s="11"/>
      <c r="AR74" s="13"/>
      <c r="AS74" s="13"/>
      <c r="AT74" s="11"/>
      <c r="AU74" s="13"/>
      <c r="AW74" s="11"/>
      <c r="AX74" s="13"/>
      <c r="AY74" s="2"/>
      <c r="AZ74" s="27">
        <f>'OoS percent RSV_base'!AI72</f>
        <v>1.5025619072578801E-2</v>
      </c>
      <c r="BA74" s="27">
        <f>'OoS percent RSV_low'!AI72</f>
        <v>1.2528675300836938E-2</v>
      </c>
      <c r="BB74" s="27">
        <f>'OoS percent RSV_high'!AI72</f>
        <v>1.7639161530294788E-2</v>
      </c>
      <c r="BG74" s="13"/>
      <c r="BH74" s="13"/>
      <c r="BI74" s="13"/>
      <c r="BJ74" s="13"/>
      <c r="BK74" s="14"/>
      <c r="BL74" s="88"/>
      <c r="BM74" s="13"/>
      <c r="BN74" s="13"/>
      <c r="BO74" s="13"/>
      <c r="BP74" s="13"/>
      <c r="BQ74" s="13"/>
      <c r="BR74" s="13"/>
      <c r="BS74" s="13"/>
      <c r="BT74" s="13"/>
      <c r="BU74" s="13"/>
      <c r="BV74" s="14"/>
      <c r="BW74" s="13"/>
      <c r="BX74" s="13"/>
      <c r="BY74" s="13"/>
    </row>
    <row r="75" spans="4:77" x14ac:dyDescent="0.3">
      <c r="D75" s="11"/>
      <c r="H75" s="11"/>
      <c r="K75" s="59" t="s">
        <v>29</v>
      </c>
      <c r="L75" s="60">
        <f>'Input 5_Product Uptake'!M9</f>
        <v>0.38</v>
      </c>
      <c r="N75" s="11"/>
      <c r="O75" s="13"/>
      <c r="Q75" s="65" t="s">
        <v>48</v>
      </c>
      <c r="R75" s="67">
        <f>1-'Input 6_Product Efficacy'!K9</f>
        <v>0.49</v>
      </c>
      <c r="S75" s="10"/>
      <c r="T75" s="18"/>
      <c r="U75" s="10"/>
      <c r="V75" s="359" t="s">
        <v>7</v>
      </c>
      <c r="W75" s="518">
        <f>($L$74*$R$75*W76)+($L$74*W77)</f>
        <v>1564.2589857561568</v>
      </c>
      <c r="X75" s="518">
        <f t="shared" ref="X75:Y75" si="38">($L$74*$R$75*X76)+($L$74*X77)</f>
        <v>1339.5523576671776</v>
      </c>
      <c r="Y75" s="518">
        <f t="shared" si="38"/>
        <v>1789.8752584123447</v>
      </c>
      <c r="AG75" s="11"/>
      <c r="AK75" s="11"/>
      <c r="AN75" s="59" t="s">
        <v>29</v>
      </c>
      <c r="AO75" s="60">
        <f>L75</f>
        <v>0.38</v>
      </c>
      <c r="AQ75" s="11"/>
      <c r="AR75" s="13"/>
      <c r="AT75" s="65" t="s">
        <v>48</v>
      </c>
      <c r="AU75" s="67">
        <f>R75</f>
        <v>0.49</v>
      </c>
      <c r="AV75" s="500"/>
      <c r="AW75" s="18"/>
      <c r="AX75" s="500"/>
      <c r="AY75" s="359" t="s">
        <v>7</v>
      </c>
      <c r="AZ75" s="518">
        <f>($AO$74*$AU$75*AZ76)+($BL$74*AZ77)</f>
        <v>613.67496954396802</v>
      </c>
      <c r="BA75" s="518">
        <f t="shared" ref="BA75:BB75" si="39">($AO$74*$AU$75*BA76)+($BL$74*BA77)</f>
        <v>525.50076880729841</v>
      </c>
      <c r="BB75" s="518">
        <f t="shared" si="39"/>
        <v>701.94749313032014</v>
      </c>
      <c r="BG75" s="13"/>
      <c r="BH75" s="13"/>
      <c r="BI75" s="13"/>
      <c r="BJ75" s="13"/>
      <c r="BK75" s="14"/>
      <c r="BL75" s="66"/>
      <c r="BM75" s="13"/>
      <c r="BN75" s="13"/>
      <c r="BO75" s="13"/>
      <c r="BP75" s="13"/>
      <c r="BQ75" s="14"/>
      <c r="BR75" s="66"/>
      <c r="BS75" s="13"/>
      <c r="BT75" s="13"/>
      <c r="BU75" s="13"/>
      <c r="BV75" s="353"/>
      <c r="BW75" s="557"/>
      <c r="BX75" s="557"/>
      <c r="BY75" s="557"/>
    </row>
    <row r="76" spans="4:77" x14ac:dyDescent="0.3">
      <c r="D76" s="11"/>
      <c r="H76" s="11"/>
      <c r="K76" s="11"/>
      <c r="N76" s="11"/>
      <c r="O76" s="13"/>
      <c r="Q76" s="514" t="s">
        <v>297</v>
      </c>
      <c r="R76" s="71">
        <f>O69*R75</f>
        <v>4470.5818310614904</v>
      </c>
      <c r="T76" s="11"/>
      <c r="U76" s="13"/>
      <c r="V76" s="2" t="s">
        <v>41</v>
      </c>
      <c r="W76" s="61">
        <f t="shared" ref="W76:Y76" si="40">W65</f>
        <v>0.55998491824682028</v>
      </c>
      <c r="X76" s="61">
        <f t="shared" si="40"/>
        <v>0.47941475115407434</v>
      </c>
      <c r="Y76" s="61">
        <f t="shared" si="40"/>
        <v>0.64070346502113651</v>
      </c>
      <c r="AG76" s="11"/>
      <c r="AK76" s="11"/>
      <c r="AN76" s="11"/>
      <c r="AQ76" s="11"/>
      <c r="AR76" s="13"/>
      <c r="AT76" s="514" t="s">
        <v>297</v>
      </c>
      <c r="AU76" s="71" t="e">
        <f>AR69*AU75</f>
        <v>#REF!</v>
      </c>
      <c r="AW76" s="11"/>
      <c r="AX76" s="13"/>
      <c r="AY76" s="2" t="s">
        <v>41</v>
      </c>
      <c r="AZ76" s="61">
        <f>AZ65</f>
        <v>0.30439064631456758</v>
      </c>
      <c r="BA76" s="61">
        <f>BA65</f>
        <v>0.26065511320255214</v>
      </c>
      <c r="BB76" s="61">
        <f>BB65</f>
        <v>0.34817494881958039</v>
      </c>
      <c r="BG76" s="13"/>
      <c r="BH76" s="13"/>
      <c r="BI76" s="13"/>
      <c r="BJ76" s="13"/>
      <c r="BK76" s="13"/>
      <c r="BL76" s="13"/>
      <c r="BM76" s="13"/>
      <c r="BN76" s="13"/>
      <c r="BO76" s="13"/>
      <c r="BP76" s="13"/>
      <c r="BQ76" s="102"/>
      <c r="BR76" s="71"/>
      <c r="BS76" s="13"/>
      <c r="BT76" s="13"/>
      <c r="BU76" s="13"/>
      <c r="BV76" s="14"/>
      <c r="BW76" s="13"/>
      <c r="BX76" s="13"/>
      <c r="BY76" s="13"/>
    </row>
    <row r="77" spans="4:77" x14ac:dyDescent="0.3">
      <c r="D77" s="11"/>
      <c r="H77" s="11"/>
      <c r="K77" s="11"/>
      <c r="N77" s="11"/>
      <c r="O77" s="13"/>
      <c r="Q77" s="514" t="s">
        <v>298</v>
      </c>
      <c r="R77" s="13"/>
      <c r="T77" s="11"/>
      <c r="U77" s="13"/>
      <c r="V77" s="2"/>
      <c r="W77" s="27">
        <f>'WiS percent RSV_base'!$AX$47</f>
        <v>0.10579471295971989</v>
      </c>
      <c r="X77" s="27">
        <f>'WiS percent RSV_low'!$AW$45</f>
        <v>9.0659985439535573E-2</v>
      </c>
      <c r="Y77" s="27">
        <f>'WiS percent RSV_high'!$AW$46</f>
        <v>0.12107782016147464</v>
      </c>
      <c r="AG77" s="11"/>
      <c r="AK77" s="11"/>
      <c r="AN77" s="11"/>
      <c r="AQ77" s="11"/>
      <c r="AR77" s="13"/>
      <c r="AT77" s="514" t="s">
        <v>298</v>
      </c>
      <c r="AU77" s="13"/>
      <c r="AW77" s="11"/>
      <c r="AX77" s="13"/>
      <c r="AY77" s="2"/>
      <c r="AZ77" s="27">
        <f>'OoS percent RSV_base'!AI49</f>
        <v>6.1454995444528478E-3</v>
      </c>
      <c r="BA77" s="27">
        <f>'OoS percent RSV_low'!AI49</f>
        <v>5.2618637523912512E-3</v>
      </c>
      <c r="BB77" s="27">
        <f>'OoS percent RSV_high'!AI49</f>
        <v>7.0270012858450514E-3</v>
      </c>
      <c r="BG77" s="13"/>
      <c r="BH77" s="13"/>
      <c r="BI77" s="13"/>
      <c r="BJ77" s="13"/>
      <c r="BK77" s="13"/>
      <c r="BL77" s="13"/>
      <c r="BM77" s="13"/>
      <c r="BN77" s="13"/>
      <c r="BO77" s="13"/>
      <c r="BP77" s="13"/>
      <c r="BQ77" s="102"/>
      <c r="BR77" s="13"/>
      <c r="BS77" s="13"/>
      <c r="BT77" s="13"/>
      <c r="BU77" s="13"/>
      <c r="BV77" s="14"/>
      <c r="BW77" s="13"/>
      <c r="BX77" s="13"/>
      <c r="BY77" s="13"/>
    </row>
    <row r="78" spans="4:77" x14ac:dyDescent="0.3">
      <c r="D78" s="11"/>
      <c r="H78" s="11"/>
      <c r="K78" s="11"/>
      <c r="N78" s="11"/>
      <c r="T78" s="18"/>
      <c r="U78" s="10"/>
      <c r="V78" s="359" t="s">
        <v>8</v>
      </c>
      <c r="W78" s="518">
        <f>($L$74*$R$75*W79)+($L$74*W80)</f>
        <v>380.58551892485076</v>
      </c>
      <c r="X78" s="518">
        <f t="shared" ref="X78" si="41">($L$74*$R$75*X79)+($L$74*X80)</f>
        <v>398.96340395140066</v>
      </c>
      <c r="Y78" s="518">
        <f>($L$74*$R$75*Y79)+($L$74*Y80)</f>
        <v>366.21621388120707</v>
      </c>
      <c r="AG78" s="11"/>
      <c r="AK78" s="11"/>
      <c r="AN78" s="11"/>
      <c r="AQ78" s="11"/>
      <c r="AW78" s="18"/>
      <c r="AX78" s="500"/>
      <c r="AY78" s="359" t="s">
        <v>8</v>
      </c>
      <c r="AZ78" s="518">
        <f>($AO$74*$AU$75*AZ79)+($BL$74*AZ80)</f>
        <v>84.641768352892228</v>
      </c>
      <c r="BA78" s="518">
        <f t="shared" ref="BA78:BB78" si="42">($AO$74*$AU$75*BA79)+($BL$74*BA80)</f>
        <v>70.402539155415852</v>
      </c>
      <c r="BB78" s="518">
        <f t="shared" si="42"/>
        <v>94.816632997336029</v>
      </c>
      <c r="BG78" s="13"/>
      <c r="BH78" s="13"/>
      <c r="BI78" s="13"/>
      <c r="BJ78" s="13"/>
      <c r="BK78" s="13"/>
      <c r="BL78" s="13"/>
      <c r="BM78" s="13"/>
      <c r="BN78" s="13"/>
      <c r="BO78" s="13"/>
      <c r="BP78" s="13"/>
      <c r="BQ78" s="13"/>
      <c r="BR78" s="13"/>
      <c r="BS78" s="13"/>
      <c r="BT78" s="13"/>
      <c r="BU78" s="13"/>
      <c r="BV78" s="353"/>
      <c r="BW78" s="557"/>
      <c r="BX78" s="557"/>
      <c r="BY78" s="557"/>
    </row>
    <row r="79" spans="4:77" x14ac:dyDescent="0.3">
      <c r="D79" s="11"/>
      <c r="H79" s="11"/>
      <c r="K79" s="11"/>
      <c r="N79" s="18"/>
      <c r="O79" s="10"/>
      <c r="P79" s="10"/>
      <c r="V79" s="2" t="s">
        <v>40</v>
      </c>
      <c r="W79" s="61">
        <f t="shared" ref="W79:Y79" si="43">W68</f>
        <v>0.16641351979207206</v>
      </c>
      <c r="X79" s="61">
        <f t="shared" si="43"/>
        <v>0.17918731938091481</v>
      </c>
      <c r="Y79" s="61">
        <f t="shared" si="43"/>
        <v>0.15700099540626716</v>
      </c>
      <c r="AG79" s="11"/>
      <c r="AK79" s="11"/>
      <c r="AN79" s="11"/>
      <c r="AQ79" s="18"/>
      <c r="AR79" s="500"/>
      <c r="AS79" s="500"/>
      <c r="AY79" s="2" t="s">
        <v>40</v>
      </c>
      <c r="AZ79" s="61">
        <f>AZ68</f>
        <v>4.1983401397796216E-2</v>
      </c>
      <c r="BA79" s="61">
        <f>BA68</f>
        <v>3.4920561305651056E-2</v>
      </c>
      <c r="BB79" s="61">
        <f>BB68</f>
        <v>4.7030264605508632E-2</v>
      </c>
      <c r="BG79" s="13"/>
      <c r="BH79" s="13"/>
      <c r="BI79" s="13"/>
      <c r="BJ79" s="13"/>
      <c r="BK79" s="13"/>
      <c r="BL79" s="13"/>
      <c r="BM79" s="13"/>
      <c r="BN79" s="13"/>
      <c r="BO79" s="13"/>
      <c r="BP79" s="13"/>
      <c r="BQ79" s="13"/>
      <c r="BR79" s="13"/>
      <c r="BS79" s="13"/>
      <c r="BT79" s="13"/>
      <c r="BU79" s="13"/>
      <c r="BV79" s="14"/>
      <c r="BW79" s="13"/>
      <c r="BX79" s="13"/>
      <c r="BY79" s="13"/>
    </row>
    <row r="80" spans="4:77" x14ac:dyDescent="0.3">
      <c r="D80" s="11"/>
      <c r="H80" s="59" t="s">
        <v>27</v>
      </c>
      <c r="I80" s="281">
        <f>'Input 1_Population'!G24</f>
        <v>9.7999999999999997E-3</v>
      </c>
      <c r="J80" s="51"/>
      <c r="K80" s="11"/>
      <c r="N80" s="2" t="s">
        <v>9</v>
      </c>
      <c r="O80" s="63" t="s">
        <v>37</v>
      </c>
      <c r="P80" s="13"/>
      <c r="W80" s="27">
        <f>'WiS percent RSV_base'!$AX$22</f>
        <v>1.095726879289363E-2</v>
      </c>
      <c r="X80" s="27">
        <f>'WiS percent RSV_low'!$AW$22</f>
        <v>9.1647835309462584E-3</v>
      </c>
      <c r="Y80" s="27">
        <f>'WiS percent RSV_high'!$AW$22</f>
        <v>1.2076999646635939E-2</v>
      </c>
      <c r="AG80" s="11"/>
      <c r="AK80" s="59" t="s">
        <v>27</v>
      </c>
      <c r="AL80" s="281">
        <f>'Input 1_Population'!AJ24</f>
        <v>0</v>
      </c>
      <c r="AM80" s="51"/>
      <c r="AN80" s="11"/>
      <c r="AQ80" s="2" t="s">
        <v>9</v>
      </c>
      <c r="AR80" s="63" t="s">
        <v>37</v>
      </c>
      <c r="AS80" s="13"/>
      <c r="AZ80" s="27">
        <f>'OoS percent RSV_base'!AI28</f>
        <v>8.0222919714660352E-4</v>
      </c>
      <c r="BA80" s="27">
        <f>'OoS percent RSV_low'!AI28</f>
        <v>5.6393469779488815E-4</v>
      </c>
      <c r="BB80" s="27">
        <f>'OoS percent RSV_high'!AI28</f>
        <v>9.9594470125398036E-4</v>
      </c>
      <c r="BG80" s="13"/>
      <c r="BH80" s="14"/>
      <c r="BI80" s="77"/>
      <c r="BJ80" s="13"/>
      <c r="BK80" s="13"/>
      <c r="BL80" s="13"/>
      <c r="BM80" s="13"/>
      <c r="BN80" s="14"/>
      <c r="BO80" s="63"/>
      <c r="BP80" s="13"/>
      <c r="BQ80" s="13"/>
      <c r="BR80" s="13"/>
      <c r="BS80" s="13"/>
      <c r="BT80" s="13"/>
      <c r="BU80" s="13"/>
      <c r="BV80" s="13"/>
      <c r="BW80" s="13"/>
      <c r="BX80" s="13"/>
      <c r="BY80" s="13"/>
    </row>
    <row r="81" spans="1:77" x14ac:dyDescent="0.3">
      <c r="D81" s="11"/>
      <c r="H81" s="15" t="s">
        <v>357</v>
      </c>
      <c r="I81" s="28">
        <f>($F$55/12*'Input 4_RSV Season'!$AG$27)*I80</f>
        <v>10827.481</v>
      </c>
      <c r="K81" s="11"/>
      <c r="AG81" s="11"/>
      <c r="AK81" s="15" t="s">
        <v>356</v>
      </c>
      <c r="AL81" s="28">
        <f>I82-I81</f>
        <v>10827.481</v>
      </c>
      <c r="AN81" s="11"/>
      <c r="BG81" s="13"/>
      <c r="BH81" s="14"/>
      <c r="BI81" s="88"/>
      <c r="BJ81" s="13"/>
      <c r="BK81" s="13"/>
      <c r="BL81" s="13"/>
      <c r="BM81" s="13"/>
      <c r="BN81" s="13"/>
      <c r="BO81" s="13"/>
      <c r="BP81" s="13"/>
      <c r="BQ81" s="13"/>
      <c r="BR81" s="13"/>
      <c r="BS81" s="13"/>
      <c r="BT81" s="13"/>
      <c r="BU81" s="13"/>
      <c r="BV81" s="13"/>
      <c r="BW81" s="13"/>
      <c r="BX81" s="13"/>
      <c r="BY81" s="13"/>
    </row>
    <row r="82" spans="1:77" x14ac:dyDescent="0.3">
      <c r="D82" s="11"/>
      <c r="H82" s="2" t="s">
        <v>342</v>
      </c>
      <c r="I82" s="28">
        <f>$F$55*I80</f>
        <v>21654.962</v>
      </c>
      <c r="K82" s="11"/>
      <c r="AG82" s="11"/>
      <c r="AK82" s="2"/>
      <c r="AL82" s="28"/>
      <c r="AN82" s="11"/>
      <c r="BG82" s="13"/>
      <c r="BH82" s="13"/>
      <c r="BI82" s="13"/>
      <c r="BJ82" s="13"/>
      <c r="BK82" s="13"/>
      <c r="BL82" s="13"/>
      <c r="BM82" s="13"/>
      <c r="BN82" s="13"/>
      <c r="BO82" s="13"/>
      <c r="BP82" s="13"/>
      <c r="BQ82" s="13"/>
      <c r="BR82" s="13"/>
      <c r="BS82" s="13"/>
      <c r="BT82" s="13"/>
      <c r="BU82" s="13"/>
      <c r="BV82" s="13"/>
      <c r="BW82" s="13"/>
      <c r="BX82" s="13"/>
      <c r="BY82" s="13"/>
    </row>
    <row r="83" spans="1:77" x14ac:dyDescent="0.3">
      <c r="D83" s="11"/>
      <c r="K83" s="11"/>
      <c r="N83" s="2" t="s">
        <v>9</v>
      </c>
      <c r="O83" s="62" t="s">
        <v>37</v>
      </c>
      <c r="AG83" s="11"/>
      <c r="AN83" s="11"/>
      <c r="AQ83" s="2" t="s">
        <v>9</v>
      </c>
      <c r="AR83" s="62" t="s">
        <v>37</v>
      </c>
      <c r="BG83" s="13"/>
      <c r="BH83" s="13"/>
      <c r="BI83" s="13"/>
      <c r="BJ83" s="13"/>
      <c r="BK83" s="13"/>
      <c r="BL83" s="13"/>
      <c r="BM83" s="13"/>
      <c r="BN83" s="14"/>
      <c r="BO83" s="63"/>
      <c r="BP83" s="13"/>
      <c r="BQ83" s="13"/>
      <c r="BR83" s="13"/>
      <c r="BS83" s="13"/>
      <c r="BT83" s="13"/>
      <c r="BU83" s="13"/>
      <c r="BV83" s="13"/>
      <c r="BW83" s="13"/>
      <c r="BX83" s="13"/>
      <c r="BY83" s="13"/>
    </row>
    <row r="84" spans="1:77" x14ac:dyDescent="0.3">
      <c r="D84" s="11"/>
      <c r="K84" s="11"/>
      <c r="N84" s="16"/>
      <c r="P84" s="17"/>
      <c r="X84" s="29"/>
      <c r="AG84" s="11"/>
      <c r="AN84" s="11"/>
      <c r="AQ84" s="16"/>
      <c r="AS84" s="17"/>
      <c r="BA84" s="29"/>
      <c r="BG84" s="13"/>
      <c r="BH84" s="13"/>
      <c r="BI84" s="13"/>
      <c r="BJ84" s="13"/>
      <c r="BK84" s="13"/>
      <c r="BL84" s="13"/>
      <c r="BM84" s="13"/>
      <c r="BN84" s="13"/>
      <c r="BO84" s="13"/>
      <c r="BP84" s="13"/>
      <c r="BQ84" s="13"/>
      <c r="BR84" s="13"/>
      <c r="BS84" s="13"/>
      <c r="BT84" s="13"/>
      <c r="BU84" s="13"/>
      <c r="BV84" s="13"/>
      <c r="BW84" s="13"/>
      <c r="BX84" s="42"/>
      <c r="BY84" s="13"/>
    </row>
    <row r="85" spans="1:77" x14ac:dyDescent="0.3">
      <c r="D85" s="11"/>
      <c r="K85" s="11"/>
      <c r="N85" s="11"/>
      <c r="O85" s="13"/>
      <c r="P85" s="13"/>
      <c r="S85" s="237" t="s">
        <v>160</v>
      </c>
      <c r="T85" s="237" t="s">
        <v>161</v>
      </c>
      <c r="U85" s="237" t="s">
        <v>162</v>
      </c>
      <c r="W85" s="37"/>
      <c r="X85" s="20"/>
      <c r="AG85" s="11"/>
      <c r="AN85" s="11"/>
      <c r="AQ85" s="11"/>
      <c r="AR85" s="13"/>
      <c r="AS85" s="13"/>
      <c r="AV85" s="684" t="s">
        <v>160</v>
      </c>
      <c r="AW85" s="684" t="s">
        <v>161</v>
      </c>
      <c r="AX85" s="684" t="s">
        <v>162</v>
      </c>
      <c r="AZ85" s="37"/>
      <c r="BA85" s="20"/>
      <c r="BG85" s="13"/>
      <c r="BH85" s="13"/>
      <c r="BI85" s="13"/>
      <c r="BJ85" s="13"/>
      <c r="BK85" s="13"/>
      <c r="BL85" s="13"/>
      <c r="BM85" s="13"/>
      <c r="BN85" s="13"/>
      <c r="BO85" s="13"/>
      <c r="BP85" s="13"/>
      <c r="BQ85" s="13"/>
      <c r="BR85" s="13"/>
      <c r="BS85" s="681"/>
      <c r="BT85" s="681"/>
      <c r="BU85" s="681"/>
      <c r="BV85" s="13"/>
      <c r="BW85" s="697"/>
      <c r="BX85" s="77"/>
      <c r="BY85" s="13"/>
    </row>
    <row r="86" spans="1:77" x14ac:dyDescent="0.3">
      <c r="D86" s="11"/>
      <c r="K86" s="59" t="s">
        <v>30</v>
      </c>
      <c r="L86" s="67">
        <f>1-'Input 5_Product Uptake'!M9</f>
        <v>0.62</v>
      </c>
      <c r="M86" s="10"/>
      <c r="N86" s="59"/>
      <c r="R86" s="12" t="s">
        <v>6</v>
      </c>
      <c r="S86" s="30">
        <f>$L$87*S87</f>
        <v>12890.25152496507</v>
      </c>
      <c r="T86" s="30">
        <f>$L$87*T87</f>
        <v>10746.690650092583</v>
      </c>
      <c r="U86" s="30">
        <f>$L$87*U87</f>
        <v>15031.820242890646</v>
      </c>
      <c r="W86" s="69"/>
      <c r="AG86" s="11"/>
      <c r="AN86" s="59" t="s">
        <v>30</v>
      </c>
      <c r="AO86" s="67">
        <f>L86</f>
        <v>0.62</v>
      </c>
      <c r="AP86" s="500"/>
      <c r="AQ86" s="59"/>
      <c r="AU86" s="12" t="s">
        <v>6</v>
      </c>
      <c r="AV86" s="30">
        <f>$AO$87*AV87</f>
        <v>5242.0021860030274</v>
      </c>
      <c r="AW86" s="30">
        <f t="shared" ref="AW86:AX86" si="44">$AO$87*AW87</f>
        <v>4370.96877599033</v>
      </c>
      <c r="AX86" s="30">
        <f t="shared" si="44"/>
        <v>6154.0192174549766</v>
      </c>
      <c r="AZ86" s="69"/>
      <c r="BG86" s="13"/>
      <c r="BH86" s="13"/>
      <c r="BI86" s="13"/>
      <c r="BJ86" s="13"/>
      <c r="BK86" s="14"/>
      <c r="BL86" s="66"/>
      <c r="BM86" s="13"/>
      <c r="BN86" s="14"/>
      <c r="BO86" s="13"/>
      <c r="BP86" s="13"/>
      <c r="BQ86" s="13"/>
      <c r="BR86" s="14"/>
      <c r="BS86" s="88"/>
      <c r="BT86" s="88"/>
      <c r="BU86" s="88"/>
      <c r="BV86" s="13"/>
      <c r="BW86" s="698"/>
      <c r="BX86" s="13"/>
      <c r="BY86" s="13"/>
    </row>
    <row r="87" spans="1:77" x14ac:dyDescent="0.3">
      <c r="D87" s="11"/>
      <c r="K87" s="15" t="s">
        <v>72</v>
      </c>
      <c r="L87" s="28">
        <f>I81*L86</f>
        <v>6713.0382199999995</v>
      </c>
      <c r="N87" s="59" t="s">
        <v>128</v>
      </c>
      <c r="O87" s="50">
        <f>SUM(T87,T90,T93)</f>
        <v>2.3592952239688896</v>
      </c>
      <c r="Q87" s="16"/>
      <c r="R87" s="2" t="s">
        <v>40</v>
      </c>
      <c r="S87" s="61">
        <f>'WiS percent RSV_base'!AT69</f>
        <v>1.9201814592029942</v>
      </c>
      <c r="T87" s="61">
        <f>'WiS percent RSV_low'!AT66</f>
        <v>1.6008683844634186</v>
      </c>
      <c r="U87" s="61">
        <f>'WiS percent RSV_high'!AT68</f>
        <v>2.2391977745794285</v>
      </c>
      <c r="AG87" s="11"/>
      <c r="AN87" s="15" t="s">
        <v>72</v>
      </c>
      <c r="AO87" s="28">
        <f>AL81*AO86</f>
        <v>6713.0382199999995</v>
      </c>
      <c r="AQ87" s="59" t="s">
        <v>128</v>
      </c>
      <c r="AR87" s="50" t="e">
        <f>SUM(#REF!,#REF!,#REF!)</f>
        <v>#REF!</v>
      </c>
      <c r="AT87" s="16"/>
      <c r="AU87" s="2" t="s">
        <v>40</v>
      </c>
      <c r="AV87" s="61">
        <f>'OoS percent RSV_base'!AI73</f>
        <v>0.78086881292968835</v>
      </c>
      <c r="AW87" s="61">
        <f>'OoS percent RSV_low'!AI73</f>
        <v>0.6511163250892873</v>
      </c>
      <c r="AX87" s="61">
        <f>'OoS percent RSV_high'!AI73</f>
        <v>0.91672637869399431</v>
      </c>
      <c r="BG87" s="13"/>
      <c r="BH87" s="13"/>
      <c r="BI87" s="13"/>
      <c r="BJ87" s="13"/>
      <c r="BK87" s="14"/>
      <c r="BL87" s="88"/>
      <c r="BM87" s="13"/>
      <c r="BN87" s="14"/>
      <c r="BO87" s="68"/>
      <c r="BP87" s="13"/>
      <c r="BQ87" s="13"/>
      <c r="BR87" s="14"/>
      <c r="BS87" s="13"/>
      <c r="BT87" s="13"/>
      <c r="BU87" s="13"/>
      <c r="BV87" s="13"/>
      <c r="BW87" s="13"/>
      <c r="BX87" s="13"/>
      <c r="BY87" s="13"/>
    </row>
    <row r="88" spans="1:77" x14ac:dyDescent="0.3">
      <c r="D88" s="11"/>
      <c r="K88" s="14"/>
      <c r="L88" s="58"/>
      <c r="N88" s="59" t="s">
        <v>129</v>
      </c>
      <c r="O88" s="50">
        <f>SUM(U87,U90,U93)</f>
        <v>3.1700570548149427</v>
      </c>
      <c r="Q88" s="11"/>
      <c r="R88" s="2"/>
      <c r="AG88" s="11"/>
      <c r="AN88" s="14"/>
      <c r="AO88" s="58"/>
      <c r="AQ88" s="59" t="s">
        <v>129</v>
      </c>
      <c r="AR88" s="50" t="e">
        <f>SUM(#REF!,#REF!,#REF!)</f>
        <v>#REF!</v>
      </c>
      <c r="AT88" s="11"/>
      <c r="AU88" s="2"/>
      <c r="BG88" s="13"/>
      <c r="BH88" s="13"/>
      <c r="BI88" s="13"/>
      <c r="BJ88" s="13"/>
      <c r="BK88" s="14"/>
      <c r="BL88" s="58"/>
      <c r="BM88" s="13"/>
      <c r="BN88" s="14"/>
      <c r="BO88" s="68"/>
      <c r="BP88" s="13"/>
      <c r="BQ88" s="13"/>
      <c r="BR88" s="14"/>
      <c r="BS88" s="13"/>
      <c r="BT88" s="13"/>
      <c r="BU88" s="13"/>
      <c r="BV88" s="13"/>
      <c r="BW88" s="13"/>
      <c r="BX88" s="13"/>
      <c r="BY88" s="13"/>
    </row>
    <row r="89" spans="1:77" x14ac:dyDescent="0.3">
      <c r="D89" s="11"/>
      <c r="K89" s="22"/>
      <c r="N89" s="18" t="s">
        <v>42</v>
      </c>
      <c r="O89" s="50">
        <f>SUM(S87,S90,S93)</f>
        <v>2.7633318789944998</v>
      </c>
      <c r="P89" s="10"/>
      <c r="Q89" s="18"/>
      <c r="R89" s="12" t="s">
        <v>7</v>
      </c>
      <c r="S89" s="30">
        <f>$L$87*S90</f>
        <v>4469.4041103870086</v>
      </c>
      <c r="T89" s="30">
        <f>$L$87*T90</f>
        <v>3826.9334950093353</v>
      </c>
      <c r="U89" s="30">
        <f>$L$87*U90</f>
        <v>5113.866882711588</v>
      </c>
      <c r="AG89" s="11"/>
      <c r="AN89" s="22"/>
      <c r="AQ89" s="18" t="s">
        <v>42</v>
      </c>
      <c r="AR89" s="50" t="e">
        <f>SUM(#REF!,#REF!,#REF!)</f>
        <v>#REF!</v>
      </c>
      <c r="AS89" s="500"/>
      <c r="AT89" s="18"/>
      <c r="AU89" s="12" t="s">
        <v>7</v>
      </c>
      <c r="AV89" s="30">
        <f>$AO$87*AV90</f>
        <v>2084.641015843099</v>
      </c>
      <c r="AW89" s="30">
        <f t="shared" ref="AW89:AX89" si="45">$AO$87*AW90</f>
        <v>1785.110829645394</v>
      </c>
      <c r="AX89" s="30">
        <f t="shared" si="45"/>
        <v>2384.484266876254</v>
      </c>
      <c r="BG89" s="13"/>
      <c r="BH89" s="13"/>
      <c r="BI89" s="13"/>
      <c r="BJ89" s="13"/>
      <c r="BK89" s="515"/>
      <c r="BL89" s="13"/>
      <c r="BM89" s="13"/>
      <c r="BN89" s="13"/>
      <c r="BO89" s="68"/>
      <c r="BP89" s="13"/>
      <c r="BQ89" s="13"/>
      <c r="BR89" s="14"/>
      <c r="BS89" s="88"/>
      <c r="BT89" s="88"/>
      <c r="BU89" s="88"/>
      <c r="BV89" s="13"/>
      <c r="BW89" s="13"/>
      <c r="BX89" s="13"/>
      <c r="BY89" s="13"/>
    </row>
    <row r="90" spans="1:77" x14ac:dyDescent="0.3">
      <c r="D90" s="11"/>
      <c r="N90" s="2" t="s">
        <v>10</v>
      </c>
      <c r="O90" s="54">
        <f>$L$87*O89</f>
        <v>18550.352518234489</v>
      </c>
      <c r="Q90" s="11"/>
      <c r="R90" s="2" t="s">
        <v>41</v>
      </c>
      <c r="S90" s="61">
        <f>'WiS percent RSV_base'!AT45</f>
        <v>0.66577963120654016</v>
      </c>
      <c r="T90" s="61">
        <f>'WiS percent RSV_low'!AT43</f>
        <v>0.57007473659360985</v>
      </c>
      <c r="U90" s="61">
        <f>'WiS percent RSV_high'!AT44</f>
        <v>0.76178128518261112</v>
      </c>
      <c r="AG90" s="11"/>
      <c r="AQ90" s="2" t="s">
        <v>10</v>
      </c>
      <c r="AR90" s="54" t="e">
        <f>$L$87*AR89</f>
        <v>#REF!</v>
      </c>
      <c r="AT90" s="11"/>
      <c r="AU90" s="2" t="s">
        <v>41</v>
      </c>
      <c r="AV90" s="61">
        <f>'OoS percent RSV_base'!AI50</f>
        <v>0.31053614585902045</v>
      </c>
      <c r="AW90" s="61">
        <f>'OoS percent RSV_low'!AI50</f>
        <v>0.26591697695494337</v>
      </c>
      <c r="AX90" s="61">
        <f>'OoS percent RSV_high'!AI50</f>
        <v>0.35520195010542543</v>
      </c>
      <c r="BG90" s="13"/>
      <c r="BH90" s="13"/>
      <c r="BI90" s="13"/>
      <c r="BJ90" s="13"/>
      <c r="BK90" s="13"/>
      <c r="BL90" s="13"/>
      <c r="BM90" s="13"/>
      <c r="BN90" s="14"/>
      <c r="BO90" s="71"/>
      <c r="BP90" s="13"/>
      <c r="BQ90" s="13"/>
      <c r="BR90" s="14"/>
      <c r="BS90" s="13"/>
      <c r="BT90" s="13"/>
      <c r="BU90" s="13"/>
      <c r="BV90" s="13"/>
      <c r="BW90" s="13"/>
      <c r="BX90" s="13"/>
      <c r="BY90" s="13"/>
    </row>
    <row r="91" spans="1:77" x14ac:dyDescent="0.3">
      <c r="D91" s="11"/>
      <c r="N91" s="14" t="s">
        <v>128</v>
      </c>
      <c r="O91" s="28">
        <f>$L$87*O87</f>
        <v>15838.039010766615</v>
      </c>
      <c r="Q91" s="11"/>
      <c r="R91" s="2"/>
      <c r="AG91" s="11"/>
      <c r="AQ91" s="14" t="s">
        <v>128</v>
      </c>
      <c r="AR91" s="28" t="e">
        <f>$L$87*AR87</f>
        <v>#REF!</v>
      </c>
      <c r="AT91" s="11"/>
      <c r="AU91" s="2"/>
      <c r="BG91" s="13"/>
      <c r="BH91" s="13"/>
      <c r="BI91" s="13"/>
      <c r="BJ91" s="13"/>
      <c r="BK91" s="13"/>
      <c r="BL91" s="13"/>
      <c r="BM91" s="13"/>
      <c r="BN91" s="14"/>
      <c r="BO91" s="88"/>
      <c r="BP91" s="13"/>
      <c r="BQ91" s="13"/>
      <c r="BR91" s="14"/>
      <c r="BS91" s="13"/>
      <c r="BT91" s="13"/>
      <c r="BU91" s="13"/>
      <c r="BV91" s="13"/>
      <c r="BW91" s="13"/>
      <c r="BX91" s="13"/>
      <c r="BY91" s="13"/>
    </row>
    <row r="92" spans="1:77" x14ac:dyDescent="0.3">
      <c r="D92" s="11"/>
      <c r="N92" s="285" t="s">
        <v>129</v>
      </c>
      <c r="O92" s="28">
        <f>$L$87*O88</f>
        <v>21280.714168553342</v>
      </c>
      <c r="Q92" s="18"/>
      <c r="R92" s="12" t="s">
        <v>8</v>
      </c>
      <c r="S92" s="30">
        <f>$L$87*S93</f>
        <v>1190.6968828824142</v>
      </c>
      <c r="T92" s="30">
        <f>$L$87*T93</f>
        <v>1264.4148656646967</v>
      </c>
      <c r="U92" s="30">
        <f>$L$87*U93</f>
        <v>1135.0270429511095</v>
      </c>
      <c r="AG92" s="11"/>
      <c r="AQ92" s="285" t="s">
        <v>129</v>
      </c>
      <c r="AR92" s="28" t="e">
        <f>$L$87*AR88</f>
        <v>#REF!</v>
      </c>
      <c r="AT92" s="18"/>
      <c r="AU92" s="12" t="s">
        <v>8</v>
      </c>
      <c r="AV92" s="30">
        <f>$AO$87*AV93</f>
        <v>287.2215734506525</v>
      </c>
      <c r="AW92" s="30">
        <f t="shared" ref="AW92:AX92" si="46">$AO$87*AW93</f>
        <v>238.20877788856984</v>
      </c>
      <c r="AX92" s="30">
        <f t="shared" si="46"/>
        <v>322.40177863801705</v>
      </c>
      <c r="BG92" s="13"/>
      <c r="BH92" s="13"/>
      <c r="BI92" s="13"/>
      <c r="BJ92" s="13"/>
      <c r="BK92" s="13"/>
      <c r="BL92" s="13"/>
      <c r="BM92" s="13"/>
      <c r="BN92" s="285"/>
      <c r="BO92" s="88"/>
      <c r="BP92" s="13"/>
      <c r="BQ92" s="13"/>
      <c r="BR92" s="14"/>
      <c r="BS92" s="88"/>
      <c r="BT92" s="88"/>
      <c r="BU92" s="88"/>
      <c r="BV92" s="13"/>
      <c r="BW92" s="13"/>
      <c r="BX92" s="13"/>
      <c r="BY92" s="13"/>
    </row>
    <row r="93" spans="1:77" x14ac:dyDescent="0.3">
      <c r="D93" s="11"/>
      <c r="L93" s="22"/>
      <c r="R93" s="2" t="s">
        <v>40</v>
      </c>
      <c r="S93" s="61">
        <f>'WiS percent RSV_base'!AT20</f>
        <v>0.17737078858496569</v>
      </c>
      <c r="T93" s="61">
        <f>'WiS percent RSV_low'!AT20</f>
        <v>0.18835210291186108</v>
      </c>
      <c r="U93" s="61">
        <f>'WiS percent RSV_high'!AT20</f>
        <v>0.16907799505290311</v>
      </c>
      <c r="AG93" s="11"/>
      <c r="AO93" s="22"/>
      <c r="AU93" s="2" t="s">
        <v>40</v>
      </c>
      <c r="AV93" s="61">
        <f>'OoS percent RSV_base'!AI29</f>
        <v>4.2785630594942822E-2</v>
      </c>
      <c r="AW93" s="61">
        <f>'OoS percent RSV_low'!AI29</f>
        <v>3.5484496003445942E-2</v>
      </c>
      <c r="AX93" s="61">
        <f>'OoS percent RSV_high'!AI29</f>
        <v>4.8026209306762609E-2</v>
      </c>
      <c r="BG93" s="13"/>
      <c r="BH93" s="13"/>
      <c r="BI93" s="13"/>
      <c r="BJ93" s="13"/>
      <c r="BK93" s="13"/>
      <c r="BL93" s="515"/>
      <c r="BM93" s="13"/>
      <c r="BN93" s="13"/>
      <c r="BO93" s="13"/>
      <c r="BP93" s="13"/>
      <c r="BQ93" s="13"/>
      <c r="BR93" s="14"/>
      <c r="BS93" s="13"/>
      <c r="BT93" s="13"/>
      <c r="BU93" s="13"/>
      <c r="BV93" s="13"/>
      <c r="BW93" s="13"/>
      <c r="BX93" s="13"/>
      <c r="BY93" s="13"/>
    </row>
    <row r="94" spans="1:77" x14ac:dyDescent="0.3">
      <c r="D94" s="11"/>
      <c r="AG94" s="11"/>
      <c r="BG94" s="13"/>
      <c r="BH94" s="13"/>
      <c r="BI94" s="13"/>
      <c r="BJ94" s="13"/>
      <c r="BK94" s="13"/>
      <c r="BL94" s="13"/>
      <c r="BM94" s="13"/>
      <c r="BN94" s="13"/>
      <c r="BO94" s="13"/>
      <c r="BP94" s="13"/>
      <c r="BQ94" s="13"/>
      <c r="BR94" s="13"/>
      <c r="BS94" s="13"/>
      <c r="BT94" s="13"/>
      <c r="BU94" s="13"/>
      <c r="BV94" s="13"/>
      <c r="BW94" s="13"/>
      <c r="BX94" s="13"/>
      <c r="BY94" s="13"/>
    </row>
    <row r="95" spans="1:77" ht="15" customHeight="1" x14ac:dyDescent="0.3">
      <c r="A95" t="s">
        <v>68</v>
      </c>
      <c r="B95" s="75"/>
      <c r="D95" s="11"/>
      <c r="G95" s="2" t="s">
        <v>11</v>
      </c>
      <c r="H95" s="2" t="s">
        <v>5</v>
      </c>
      <c r="I95" s="21">
        <f>I81+I32</f>
        <v>1104844.9999999998</v>
      </c>
      <c r="K95" s="55" t="s">
        <v>5</v>
      </c>
      <c r="L95" s="56">
        <f>L87+L74</f>
        <v>10827.481</v>
      </c>
      <c r="R95" s="55" t="s">
        <v>5</v>
      </c>
      <c r="S95" s="56">
        <f>S86+S89+S92</f>
        <v>18550.352518234493</v>
      </c>
      <c r="AD95" t="s">
        <v>68</v>
      </c>
      <c r="AE95" s="679"/>
      <c r="AG95" s="11"/>
      <c r="AJ95" s="2" t="s">
        <v>11</v>
      </c>
      <c r="AK95" s="2" t="s">
        <v>5</v>
      </c>
      <c r="AL95" s="21">
        <f>AL81+AL32</f>
        <v>1104844.9999999998</v>
      </c>
      <c r="AN95" s="55" t="s">
        <v>5</v>
      </c>
      <c r="AO95" s="56">
        <f>AO87+AO74</f>
        <v>10827.481</v>
      </c>
      <c r="AU95" s="55" t="s">
        <v>5</v>
      </c>
      <c r="AV95" s="56">
        <f>AV86+AV89+AV92</f>
        <v>7613.864775296779</v>
      </c>
    </row>
    <row r="96" spans="1:77" ht="15" customHeight="1" x14ac:dyDescent="0.3">
      <c r="A96" s="75"/>
      <c r="B96" s="75"/>
      <c r="D96" s="11"/>
      <c r="AD96" s="679"/>
      <c r="AE96" s="679"/>
      <c r="AG96" s="11"/>
    </row>
    <row r="97" spans="1:54" x14ac:dyDescent="0.3">
      <c r="A97" s="1115" t="s">
        <v>62</v>
      </c>
      <c r="B97" s="1115"/>
      <c r="C97" s="90">
        <f>Antibody_Candidate!B43</f>
        <v>3945875</v>
      </c>
      <c r="D97" s="11"/>
      <c r="AD97" s="1115" t="s">
        <v>62</v>
      </c>
      <c r="AE97" s="1115"/>
      <c r="AF97" s="90">
        <f>Antibody_Candidate!AE43</f>
        <v>0</v>
      </c>
      <c r="AG97" s="11"/>
    </row>
    <row r="98" spans="1:54" x14ac:dyDescent="0.3">
      <c r="A98" s="1115"/>
      <c r="B98" s="1115"/>
      <c r="D98" s="11"/>
      <c r="AD98" s="1115"/>
      <c r="AE98" s="1115"/>
      <c r="AG98" s="11"/>
    </row>
    <row r="99" spans="1:54" x14ac:dyDescent="0.3">
      <c r="A99" s="1115"/>
      <c r="B99" s="1115"/>
      <c r="D99" s="11"/>
      <c r="AD99" s="1115"/>
      <c r="AE99" s="1115"/>
      <c r="AG99" s="11"/>
    </row>
    <row r="100" spans="1:54" x14ac:dyDescent="0.3">
      <c r="A100" t="s">
        <v>68</v>
      </c>
      <c r="D100" s="11"/>
      <c r="G100" t="s">
        <v>36</v>
      </c>
      <c r="H100" t="s">
        <v>5</v>
      </c>
      <c r="I100" s="8">
        <f>L159+L171</f>
        <v>8507.3064999999988</v>
      </c>
      <c r="Q100" s="2" t="s">
        <v>5</v>
      </c>
      <c r="R100" s="28">
        <f>R107+R118</f>
        <v>0</v>
      </c>
      <c r="S100" s="19"/>
      <c r="V100" s="2" t="s">
        <v>5</v>
      </c>
      <c r="W100" s="21">
        <f>W104+W107+W110</f>
        <v>0</v>
      </c>
      <c r="AD100" t="s">
        <v>68</v>
      </c>
      <c r="AG100" s="11"/>
      <c r="AJ100" t="s">
        <v>36</v>
      </c>
      <c r="AK100" t="s">
        <v>5</v>
      </c>
      <c r="AL100" s="8">
        <f>AO159+AO171</f>
        <v>8507.3064999999988</v>
      </c>
      <c r="AT100" s="2" t="s">
        <v>5</v>
      </c>
      <c r="AU100" s="28">
        <f>AU107+AU118</f>
        <v>0</v>
      </c>
      <c r="AV100" s="19"/>
      <c r="AY100" s="2" t="s">
        <v>5</v>
      </c>
      <c r="AZ100" s="21">
        <f>AZ104+AZ107+AZ110</f>
        <v>0</v>
      </c>
    </row>
    <row r="101" spans="1:54" x14ac:dyDescent="0.3">
      <c r="A101" t="s">
        <v>68</v>
      </c>
      <c r="D101" s="11"/>
      <c r="I101" s="8"/>
      <c r="Q101" s="2"/>
      <c r="R101" s="28"/>
      <c r="S101" s="19"/>
      <c r="V101" s="2" t="s">
        <v>5</v>
      </c>
      <c r="W101" s="21">
        <f>W114+W117+W120</f>
        <v>0</v>
      </c>
      <c r="AD101" t="s">
        <v>68</v>
      </c>
      <c r="AG101" s="11"/>
      <c r="AL101" s="8"/>
      <c r="AT101" s="2"/>
      <c r="AU101" s="28"/>
      <c r="AV101" s="19"/>
      <c r="AY101" s="2" t="s">
        <v>5</v>
      </c>
      <c r="AZ101" s="21">
        <f>AZ114+AZ117+AZ120</f>
        <v>0</v>
      </c>
    </row>
    <row r="102" spans="1:54" x14ac:dyDescent="0.3">
      <c r="D102" s="11"/>
      <c r="AG102" s="11"/>
    </row>
    <row r="103" spans="1:54" x14ac:dyDescent="0.3">
      <c r="D103" s="11"/>
      <c r="I103" s="8"/>
      <c r="Q103" s="2"/>
      <c r="R103" s="28"/>
      <c r="S103" s="19"/>
      <c r="V103" s="2"/>
      <c r="W103" s="237" t="s">
        <v>160</v>
      </c>
      <c r="X103" s="237" t="s">
        <v>161</v>
      </c>
      <c r="Y103" s="237" t="s">
        <v>162</v>
      </c>
      <c r="AG103" s="11"/>
      <c r="AL103" s="8"/>
      <c r="AT103" s="2"/>
      <c r="AU103" s="28"/>
      <c r="AV103" s="19"/>
      <c r="AY103" s="2"/>
      <c r="AZ103" s="684" t="s">
        <v>160</v>
      </c>
      <c r="BA103" s="684" t="s">
        <v>161</v>
      </c>
      <c r="BB103" s="684" t="s">
        <v>162</v>
      </c>
    </row>
    <row r="104" spans="1:54" x14ac:dyDescent="0.3">
      <c r="D104" s="11"/>
      <c r="I104" s="8"/>
      <c r="Q104" s="2"/>
      <c r="R104" s="28"/>
      <c r="S104" s="19"/>
      <c r="V104" s="2" t="s">
        <v>64</v>
      </c>
      <c r="W104" s="33">
        <f>$L$117*$R$108*W105</f>
        <v>0</v>
      </c>
      <c r="X104" s="33">
        <f>$L$117*$R$108*X105</f>
        <v>0</v>
      </c>
      <c r="Y104" s="33">
        <f>$L$117*$R$108*Y105</f>
        <v>0</v>
      </c>
      <c r="AG104" s="11"/>
      <c r="AL104" s="8"/>
      <c r="AT104" s="2"/>
      <c r="AU104" s="28"/>
      <c r="AV104" s="19"/>
      <c r="AY104" s="2" t="s">
        <v>64</v>
      </c>
      <c r="AZ104" s="33">
        <f>$L$117*$R$108*AZ105</f>
        <v>0</v>
      </c>
      <c r="BA104" s="33">
        <f>$L$117*$R$108*BA105</f>
        <v>0</v>
      </c>
      <c r="BB104" s="33">
        <f>$L$117*$R$108*BB105</f>
        <v>0</v>
      </c>
    </row>
    <row r="105" spans="1:54" x14ac:dyDescent="0.3">
      <c r="D105" s="11"/>
      <c r="I105" s="8"/>
      <c r="Q105" s="2"/>
      <c r="R105" s="28"/>
      <c r="S105" s="19"/>
      <c r="T105" s="16"/>
      <c r="U105" s="17"/>
      <c r="V105" s="15" t="s">
        <v>43</v>
      </c>
      <c r="W105" s="61">
        <f>S129</f>
        <v>0.12922984532257092</v>
      </c>
      <c r="X105" s="61">
        <f>T129</f>
        <v>0.10773980381618248</v>
      </c>
      <c r="Y105" s="61">
        <f>U129</f>
        <v>0.15069991467142554</v>
      </c>
      <c r="AG105" s="11"/>
      <c r="AL105" s="8"/>
      <c r="AT105" s="2"/>
      <c r="AU105" s="28"/>
      <c r="AV105" s="19"/>
      <c r="AW105" s="16"/>
      <c r="AX105" s="17"/>
      <c r="AY105" s="15" t="s">
        <v>43</v>
      </c>
      <c r="AZ105" s="61">
        <f>AV129</f>
        <v>5.2553135240670609E-2</v>
      </c>
      <c r="BA105" s="61">
        <f>AW129</f>
        <v>4.3820682454258748E-2</v>
      </c>
      <c r="BB105" s="61">
        <f>AX129</f>
        <v>6.1696464963742502E-2</v>
      </c>
    </row>
    <row r="106" spans="1:54" x14ac:dyDescent="0.3">
      <c r="D106" s="11"/>
      <c r="I106" s="8"/>
      <c r="Q106" s="2"/>
      <c r="R106" s="28"/>
      <c r="S106" s="19"/>
      <c r="T106" s="11"/>
      <c r="U106" s="13"/>
      <c r="V106" s="2"/>
      <c r="AG106" s="11"/>
      <c r="AL106" s="8"/>
      <c r="AT106" s="2"/>
      <c r="AU106" s="28"/>
      <c r="AV106" s="19"/>
      <c r="AW106" s="11"/>
      <c r="AX106" s="13"/>
      <c r="AY106" s="2"/>
    </row>
    <row r="107" spans="1:54" x14ac:dyDescent="0.3">
      <c r="D107" s="11"/>
      <c r="I107" s="8"/>
      <c r="Q107" s="2" t="s">
        <v>12</v>
      </c>
      <c r="R107" s="33">
        <f>O112*R108</f>
        <v>0</v>
      </c>
      <c r="T107" s="18"/>
      <c r="U107" s="10"/>
      <c r="V107" s="12" t="s">
        <v>65</v>
      </c>
      <c r="W107" s="33">
        <f>$L$117*$R$108*W108</f>
        <v>0</v>
      </c>
      <c r="X107" s="33">
        <f>$L$117*$R$108*X108</f>
        <v>0</v>
      </c>
      <c r="Y107" s="33">
        <f>$L$117*$R$108*Y108</f>
        <v>0</v>
      </c>
      <c r="AG107" s="11"/>
      <c r="AL107" s="8"/>
      <c r="AT107" s="2" t="s">
        <v>12</v>
      </c>
      <c r="AU107" s="33">
        <f>AR112*AU108</f>
        <v>0</v>
      </c>
      <c r="AW107" s="18"/>
      <c r="AX107" s="500"/>
      <c r="AY107" s="12" t="s">
        <v>65</v>
      </c>
      <c r="AZ107" s="33">
        <f>$L$117*$R$108*AZ108</f>
        <v>0</v>
      </c>
      <c r="BA107" s="33">
        <f>$L$117*$R$108*BA108</f>
        <v>0</v>
      </c>
      <c r="BB107" s="33">
        <f>$L$117*$R$108*BB108</f>
        <v>0</v>
      </c>
    </row>
    <row r="108" spans="1:54" x14ac:dyDescent="0.3">
      <c r="D108" s="11"/>
      <c r="I108" s="8"/>
      <c r="Q108" s="106" t="s">
        <v>49</v>
      </c>
      <c r="R108" s="107">
        <f>1-R117</f>
        <v>1</v>
      </c>
      <c r="S108" s="17"/>
      <c r="T108" s="11"/>
      <c r="U108" s="13"/>
      <c r="V108" s="2" t="s">
        <v>44</v>
      </c>
      <c r="W108" s="61">
        <f>S132</f>
        <v>4.4807535427121237E-2</v>
      </c>
      <c r="X108" s="61">
        <f>T132</f>
        <v>3.8366514622464848E-2</v>
      </c>
      <c r="Y108" s="61">
        <f>U132</f>
        <v>5.1268528389311424E-2</v>
      </c>
      <c r="AG108" s="11"/>
      <c r="AL108" s="8"/>
      <c r="AT108" s="106" t="s">
        <v>49</v>
      </c>
      <c r="AU108" s="107">
        <f>1-AU117</f>
        <v>1</v>
      </c>
      <c r="AV108" s="17"/>
      <c r="AW108" s="11"/>
      <c r="AX108" s="13"/>
      <c r="AY108" s="2" t="s">
        <v>44</v>
      </c>
      <c r="AZ108" s="61">
        <f>AV132</f>
        <v>2.0899346727931388E-2</v>
      </c>
      <c r="BA108" s="61">
        <f>AW132</f>
        <v>1.7896438711993638E-2</v>
      </c>
      <c r="BB108" s="61">
        <f>AX132</f>
        <v>2.3905393342071143E-2</v>
      </c>
    </row>
    <row r="109" spans="1:54" x14ac:dyDescent="0.3">
      <c r="D109" s="11"/>
      <c r="I109" s="8"/>
      <c r="Q109" s="108"/>
      <c r="R109" s="109"/>
      <c r="S109" s="19"/>
      <c r="T109" s="11"/>
      <c r="U109" s="13"/>
      <c r="V109" s="2"/>
      <c r="AG109" s="11"/>
      <c r="AL109" s="8"/>
      <c r="AT109" s="108"/>
      <c r="AU109" s="109"/>
      <c r="AV109" s="19"/>
      <c r="AW109" s="11"/>
      <c r="AX109" s="13"/>
      <c r="AY109" s="2"/>
    </row>
    <row r="110" spans="1:54" x14ac:dyDescent="0.3">
      <c r="D110" s="11"/>
      <c r="N110" s="14" t="s">
        <v>128</v>
      </c>
      <c r="O110" s="299">
        <f>$L$117*O114</f>
        <v>0</v>
      </c>
      <c r="Q110" s="110"/>
      <c r="R110" s="101"/>
      <c r="T110" s="18"/>
      <c r="U110" s="10"/>
      <c r="V110" s="12" t="s">
        <v>66</v>
      </c>
      <c r="W110" s="30">
        <f>$L$117*$R$108*W111</f>
        <v>0</v>
      </c>
      <c r="X110" s="30">
        <f>$L$117*$R$108*X111</f>
        <v>0</v>
      </c>
      <c r="Y110" s="30">
        <f>$L$117*$R$108*Y111</f>
        <v>0</v>
      </c>
      <c r="AG110" s="11"/>
      <c r="AQ110" s="14" t="s">
        <v>128</v>
      </c>
      <c r="AR110" s="299">
        <f>$L$117*AR114</f>
        <v>0</v>
      </c>
      <c r="AT110" s="110"/>
      <c r="AU110" s="101"/>
      <c r="AW110" s="18"/>
      <c r="AX110" s="500"/>
      <c r="AY110" s="12" t="s">
        <v>66</v>
      </c>
      <c r="AZ110" s="30">
        <f>$L$117*$R$108*AZ111</f>
        <v>0</v>
      </c>
      <c r="BA110" s="30">
        <f>$L$117*$R$108*BA111</f>
        <v>0</v>
      </c>
      <c r="BB110" s="30">
        <f>$L$117*$R$108*BB111</f>
        <v>0</v>
      </c>
    </row>
    <row r="111" spans="1:54" x14ac:dyDescent="0.3">
      <c r="D111" s="11"/>
      <c r="N111" s="285" t="s">
        <v>129</v>
      </c>
      <c r="O111" s="299">
        <f>$L$117*O115</f>
        <v>0</v>
      </c>
      <c r="Q111" s="110"/>
      <c r="R111" s="24"/>
      <c r="V111" s="2" t="s">
        <v>45</v>
      </c>
      <c r="W111" s="61">
        <f>S135</f>
        <v>1.1937204925982133E-2</v>
      </c>
      <c r="X111" s="61">
        <f>T135</f>
        <v>8.8200435784044334E-3</v>
      </c>
      <c r="Y111" s="61">
        <f>U135</f>
        <v>1.540736757047545E-2</v>
      </c>
      <c r="AG111" s="11"/>
      <c r="AQ111" s="285" t="s">
        <v>129</v>
      </c>
      <c r="AR111" s="299">
        <f>$L$117*AR115</f>
        <v>0</v>
      </c>
      <c r="AT111" s="110"/>
      <c r="AU111" s="24"/>
      <c r="AY111" s="2" t="s">
        <v>45</v>
      </c>
      <c r="AZ111" s="61">
        <f>AV135</f>
        <v>2.879509328304896E-3</v>
      </c>
      <c r="BA111" s="61">
        <f>AW135</f>
        <v>1.6616475009815412E-3</v>
      </c>
      <c r="BB111" s="61">
        <f>AX135</f>
        <v>4.3764267465695519E-3</v>
      </c>
    </row>
    <row r="112" spans="1:54" x14ac:dyDescent="0.3">
      <c r="D112" s="11"/>
      <c r="G112" s="13"/>
      <c r="N112" s="2" t="s">
        <v>165</v>
      </c>
      <c r="O112" s="33">
        <f>$L$117*O113</f>
        <v>0</v>
      </c>
      <c r="Q112" s="110"/>
      <c r="R112" s="24"/>
      <c r="W112" s="13"/>
      <c r="AG112" s="11"/>
      <c r="AJ112" s="13"/>
      <c r="AQ112" s="2" t="s">
        <v>165</v>
      </c>
      <c r="AR112" s="33">
        <f>$L$117*AR113</f>
        <v>0</v>
      </c>
      <c r="AT112" s="110"/>
      <c r="AU112" s="24"/>
      <c r="AZ112" s="13"/>
    </row>
    <row r="113" spans="4:54" x14ac:dyDescent="0.3">
      <c r="D113" s="11"/>
      <c r="N113" s="16" t="s">
        <v>46</v>
      </c>
      <c r="O113" s="68">
        <f>W115+W118+W121</f>
        <v>0.18597458567567429</v>
      </c>
      <c r="P113" s="17"/>
      <c r="Q113" s="110"/>
      <c r="R113" s="101"/>
      <c r="S113" s="13"/>
      <c r="W113" s="237" t="s">
        <v>160</v>
      </c>
      <c r="X113" s="237" t="s">
        <v>161</v>
      </c>
      <c r="Y113" s="237" t="s">
        <v>162</v>
      </c>
      <c r="AG113" s="11"/>
      <c r="AQ113" s="16" t="s">
        <v>46</v>
      </c>
      <c r="AR113" s="68">
        <f>AZ115+AZ118+AZ121</f>
        <v>7.633199129690689E-2</v>
      </c>
      <c r="AS113" s="17"/>
      <c r="AT113" s="110"/>
      <c r="AU113" s="101"/>
      <c r="AV113" s="13"/>
      <c r="AZ113" s="684" t="s">
        <v>160</v>
      </c>
      <c r="BA113" s="684" t="s">
        <v>161</v>
      </c>
      <c r="BB113" s="684" t="s">
        <v>162</v>
      </c>
    </row>
    <row r="114" spans="4:54" x14ac:dyDescent="0.3">
      <c r="D114" s="11"/>
      <c r="N114" s="59" t="s">
        <v>128</v>
      </c>
      <c r="O114" s="68">
        <f>X115+X118+X121</f>
        <v>0.15492636201705176</v>
      </c>
      <c r="Q114" s="110"/>
      <c r="R114" s="101"/>
      <c r="V114" s="2" t="s">
        <v>6</v>
      </c>
      <c r="W114" s="33">
        <f>$L$117*$R$117*W115</f>
        <v>0</v>
      </c>
      <c r="X114" s="33">
        <f>$L$117*$R$117*X115</f>
        <v>0</v>
      </c>
      <c r="Y114" s="33">
        <f>$L$117*$R$117*Y115</f>
        <v>0</v>
      </c>
      <c r="AG114" s="11"/>
      <c r="AQ114" s="59" t="s">
        <v>128</v>
      </c>
      <c r="AR114" s="68">
        <f>BA115+BA118+BA121</f>
        <v>6.3378768667233923E-2</v>
      </c>
      <c r="AT114" s="110"/>
      <c r="AU114" s="101"/>
      <c r="AY114" s="2" t="s">
        <v>6</v>
      </c>
      <c r="AZ114" s="33">
        <f>$L$117*$R$117*AZ115</f>
        <v>0</v>
      </c>
      <c r="BA114" s="33">
        <f>$L$117*$R$117*BA115</f>
        <v>0</v>
      </c>
      <c r="BB114" s="33">
        <f>$L$117*$R$117*BB115</f>
        <v>0</v>
      </c>
    </row>
    <row r="115" spans="4:54" x14ac:dyDescent="0.3">
      <c r="D115" s="11"/>
      <c r="N115" s="59" t="s">
        <v>129</v>
      </c>
      <c r="O115" s="68">
        <f>Y115+Y118+Y121</f>
        <v>0.21737581063121242</v>
      </c>
      <c r="Q115" s="110"/>
      <c r="R115" s="101"/>
      <c r="T115" s="16"/>
      <c r="U115" s="17"/>
      <c r="V115" s="15" t="s">
        <v>43</v>
      </c>
      <c r="W115" s="61">
        <f>S129</f>
        <v>0.12922984532257092</v>
      </c>
      <c r="X115" s="61">
        <f>T129</f>
        <v>0.10773980381618248</v>
      </c>
      <c r="Y115" s="61">
        <f>U129</f>
        <v>0.15069991467142554</v>
      </c>
      <c r="AG115" s="11"/>
      <c r="AQ115" s="59" t="s">
        <v>129</v>
      </c>
      <c r="AR115" s="68">
        <f>BB115+BB118+BB121</f>
        <v>8.99782850523832E-2</v>
      </c>
      <c r="AT115" s="110"/>
      <c r="AU115" s="101"/>
      <c r="AW115" s="16"/>
      <c r="AX115" s="17"/>
      <c r="AY115" s="15" t="s">
        <v>43</v>
      </c>
      <c r="AZ115" s="61">
        <f>AV129</f>
        <v>5.2553135240670609E-2</v>
      </c>
      <c r="BA115" s="61">
        <f>AW129</f>
        <v>4.3820682454258748E-2</v>
      </c>
      <c r="BB115" s="61">
        <f>AX129</f>
        <v>6.1696464963742502E-2</v>
      </c>
    </row>
    <row r="116" spans="4:54" x14ac:dyDescent="0.3">
      <c r="D116" s="11"/>
      <c r="I116" s="72"/>
      <c r="J116" s="72"/>
      <c r="K116" s="87" t="s">
        <v>256</v>
      </c>
      <c r="N116" s="11"/>
      <c r="O116" s="13"/>
      <c r="P116" s="13"/>
      <c r="Q116" s="110"/>
      <c r="R116" s="101"/>
      <c r="T116" s="11"/>
      <c r="U116" s="13"/>
      <c r="V116" s="2"/>
      <c r="AG116" s="11"/>
      <c r="AL116" s="72"/>
      <c r="AM116" s="72"/>
      <c r="AN116" s="87" t="s">
        <v>256</v>
      </c>
      <c r="AQ116" s="11"/>
      <c r="AR116" s="13"/>
      <c r="AS116" s="13"/>
      <c r="AT116" s="110"/>
      <c r="AU116" s="101"/>
      <c r="AW116" s="11"/>
      <c r="AX116" s="13"/>
      <c r="AY116" s="2"/>
    </row>
    <row r="117" spans="4:54" x14ac:dyDescent="0.3">
      <c r="D117" s="11"/>
      <c r="K117" s="12" t="s">
        <v>261</v>
      </c>
      <c r="L117" s="90">
        <f>I123*L118</f>
        <v>0</v>
      </c>
      <c r="M117" s="10"/>
      <c r="N117" s="11"/>
      <c r="O117" s="13"/>
      <c r="Q117" s="111" t="s">
        <v>50</v>
      </c>
      <c r="R117" s="112"/>
      <c r="S117" s="10"/>
      <c r="T117" s="18"/>
      <c r="U117" s="10"/>
      <c r="V117" s="12" t="s">
        <v>7</v>
      </c>
      <c r="W117" s="33">
        <f>$L$117*$R$117*W118</f>
        <v>0</v>
      </c>
      <c r="X117" s="33">
        <f>$L$117*$R$117*X118</f>
        <v>0</v>
      </c>
      <c r="Y117" s="33">
        <f>$L$117*$R$117*Y118</f>
        <v>0</v>
      </c>
      <c r="AG117" s="11"/>
      <c r="AN117" s="12" t="s">
        <v>261</v>
      </c>
      <c r="AO117" s="90">
        <f>AL123*AO118</f>
        <v>0</v>
      </c>
      <c r="AP117" s="500"/>
      <c r="AQ117" s="11"/>
      <c r="AR117" s="13"/>
      <c r="AT117" s="111" t="s">
        <v>50</v>
      </c>
      <c r="AU117" s="112"/>
      <c r="AV117" s="500"/>
      <c r="AW117" s="18"/>
      <c r="AX117" s="500"/>
      <c r="AY117" s="12" t="s">
        <v>7</v>
      </c>
      <c r="AZ117" s="33">
        <f>$L$117*$R$117*AZ118</f>
        <v>0</v>
      </c>
      <c r="BA117" s="33">
        <f>$L$117*$R$117*BA118</f>
        <v>0</v>
      </c>
      <c r="BB117" s="33">
        <f>$L$117*$R$117*BB118</f>
        <v>0</v>
      </c>
    </row>
    <row r="118" spans="4:54" x14ac:dyDescent="0.3">
      <c r="D118" s="11"/>
      <c r="K118" s="59" t="s">
        <v>38</v>
      </c>
      <c r="L118" s="105">
        <v>0</v>
      </c>
      <c r="N118" s="11"/>
      <c r="O118" s="13"/>
      <c r="Q118" s="2" t="s">
        <v>13</v>
      </c>
      <c r="R118" s="71">
        <f>O112*R117</f>
        <v>0</v>
      </c>
      <c r="T118" s="11"/>
      <c r="U118" s="13"/>
      <c r="V118" s="2" t="s">
        <v>44</v>
      </c>
      <c r="W118" s="61">
        <f>S132</f>
        <v>4.4807535427121237E-2</v>
      </c>
      <c r="X118" s="61">
        <f>T132</f>
        <v>3.8366514622464848E-2</v>
      </c>
      <c r="Y118" s="61">
        <f>U132</f>
        <v>5.1268528389311424E-2</v>
      </c>
      <c r="AG118" s="11"/>
      <c r="AN118" s="59" t="s">
        <v>38</v>
      </c>
      <c r="AO118" s="105">
        <v>0</v>
      </c>
      <c r="AQ118" s="11"/>
      <c r="AR118" s="13"/>
      <c r="AT118" s="2" t="s">
        <v>13</v>
      </c>
      <c r="AU118" s="71">
        <f>AR112*AU117</f>
        <v>0</v>
      </c>
      <c r="AW118" s="11"/>
      <c r="AX118" s="13"/>
      <c r="AY118" s="2" t="s">
        <v>44</v>
      </c>
      <c r="AZ118" s="61">
        <f>AV132</f>
        <v>2.0899346727931388E-2</v>
      </c>
      <c r="BA118" s="61">
        <f>AW132</f>
        <v>1.7896438711993638E-2</v>
      </c>
      <c r="BB118" s="61">
        <f>AX132</f>
        <v>2.3905393342071143E-2</v>
      </c>
    </row>
    <row r="119" spans="4:54" x14ac:dyDescent="0.3">
      <c r="D119" s="11"/>
      <c r="K119" s="11"/>
      <c r="N119" s="11"/>
      <c r="O119" s="13"/>
      <c r="Q119" s="2" t="s">
        <v>10</v>
      </c>
      <c r="R119" s="13"/>
      <c r="T119" s="11"/>
      <c r="U119" s="13"/>
      <c r="V119" s="2"/>
      <c r="AG119" s="11"/>
      <c r="AN119" s="11"/>
      <c r="AQ119" s="11"/>
      <c r="AR119" s="13"/>
      <c r="AT119" s="2" t="s">
        <v>10</v>
      </c>
      <c r="AU119" s="13"/>
      <c r="AW119" s="11"/>
      <c r="AX119" s="13"/>
      <c r="AY119" s="2"/>
    </row>
    <row r="120" spans="4:54" x14ac:dyDescent="0.3">
      <c r="D120" s="11"/>
      <c r="K120" s="11"/>
      <c r="N120" s="11"/>
      <c r="T120" s="18"/>
      <c r="U120" s="10"/>
      <c r="V120" s="12" t="s">
        <v>8</v>
      </c>
      <c r="W120" s="30">
        <f>$L$117*$R$117*W121</f>
        <v>0</v>
      </c>
      <c r="X120" s="30">
        <f>$L$117*$R$117*X121</f>
        <v>0</v>
      </c>
      <c r="Y120" s="30">
        <f>$L$117*$R$117*Y121</f>
        <v>0</v>
      </c>
      <c r="AG120" s="11"/>
      <c r="AN120" s="11"/>
      <c r="AQ120" s="11"/>
      <c r="AW120" s="18"/>
      <c r="AX120" s="500"/>
      <c r="AY120" s="12" t="s">
        <v>8</v>
      </c>
      <c r="AZ120" s="30">
        <f>$L$117*$R$117*AZ121</f>
        <v>0</v>
      </c>
      <c r="BA120" s="30">
        <f>$L$117*$R$117*BA121</f>
        <v>0</v>
      </c>
      <c r="BB120" s="30">
        <f>$L$117*$R$117*BB121</f>
        <v>0</v>
      </c>
    </row>
    <row r="121" spans="4:54" x14ac:dyDescent="0.3">
      <c r="D121" s="11"/>
      <c r="K121" s="11"/>
      <c r="N121" s="18"/>
      <c r="O121" s="10"/>
      <c r="P121" s="10"/>
      <c r="V121" s="2" t="s">
        <v>45</v>
      </c>
      <c r="W121" s="61">
        <f>S135</f>
        <v>1.1937204925982133E-2</v>
      </c>
      <c r="X121" s="61">
        <f>T135</f>
        <v>8.8200435784044334E-3</v>
      </c>
      <c r="Y121" s="61">
        <f>U135</f>
        <v>1.540736757047545E-2</v>
      </c>
      <c r="AG121" s="11"/>
      <c r="AN121" s="11"/>
      <c r="AQ121" s="18"/>
      <c r="AR121" s="500"/>
      <c r="AS121" s="500"/>
      <c r="AY121" s="2" t="s">
        <v>45</v>
      </c>
      <c r="AZ121" s="61">
        <f>AV135</f>
        <v>2.879509328304896E-3</v>
      </c>
      <c r="BA121" s="61">
        <f>AW135</f>
        <v>1.6616475009815412E-3</v>
      </c>
      <c r="BB121" s="61">
        <f>AX135</f>
        <v>4.3764267465695519E-3</v>
      </c>
    </row>
    <row r="122" spans="4:54" x14ac:dyDescent="0.3">
      <c r="D122" s="11"/>
      <c r="H122" s="2" t="s">
        <v>353</v>
      </c>
      <c r="I122" s="28">
        <f>F141*I124</f>
        <v>1719170.3869999996</v>
      </c>
      <c r="K122" s="11"/>
      <c r="N122" s="2" t="s">
        <v>9</v>
      </c>
      <c r="O122" s="63" t="s">
        <v>37</v>
      </c>
      <c r="P122" s="13"/>
      <c r="AG122" s="11"/>
      <c r="AN122" s="11"/>
      <c r="AQ122" s="2" t="s">
        <v>9</v>
      </c>
      <c r="AR122" s="63" t="s">
        <v>37</v>
      </c>
      <c r="AS122" s="13"/>
    </row>
    <row r="123" spans="4:54" x14ac:dyDescent="0.3">
      <c r="D123" s="11"/>
      <c r="H123" s="12" t="s">
        <v>352</v>
      </c>
      <c r="I123" s="30">
        <f>($F$141/12*'Input 4_RSV Season'!$AG$27)*I124</f>
        <v>859585.19349999982</v>
      </c>
      <c r="J123" s="10"/>
      <c r="K123" s="11"/>
      <c r="AG123" s="11"/>
      <c r="AK123" s="12" t="s">
        <v>354</v>
      </c>
      <c r="AL123" s="30">
        <f>I122-I123</f>
        <v>859585.19349999982</v>
      </c>
      <c r="AM123" s="500"/>
      <c r="AN123" s="11"/>
    </row>
    <row r="124" spans="4:54" x14ac:dyDescent="0.3">
      <c r="D124" s="11"/>
      <c r="H124" s="59" t="s">
        <v>28</v>
      </c>
      <c r="I124" s="20">
        <f>1-'Input 1_Population'!G24</f>
        <v>0.99019999999999997</v>
      </c>
      <c r="J124" s="52"/>
      <c r="K124" s="11"/>
      <c r="AG124" s="11"/>
      <c r="AK124" s="59" t="s">
        <v>28</v>
      </c>
      <c r="AL124" s="20"/>
      <c r="AM124" s="52"/>
      <c r="AN124" s="11"/>
    </row>
    <row r="125" spans="4:54" x14ac:dyDescent="0.3">
      <c r="D125" s="11"/>
      <c r="H125" s="11"/>
      <c r="K125" s="11"/>
      <c r="N125" s="2" t="s">
        <v>9</v>
      </c>
      <c r="O125" s="62" t="s">
        <v>37</v>
      </c>
      <c r="AG125" s="11"/>
      <c r="AK125" s="11"/>
      <c r="AN125" s="11"/>
      <c r="AQ125" s="2" t="s">
        <v>9</v>
      </c>
      <c r="AR125" s="62" t="s">
        <v>37</v>
      </c>
    </row>
    <row r="126" spans="4:54" x14ac:dyDescent="0.3">
      <c r="D126" s="11"/>
      <c r="H126" s="11"/>
      <c r="K126" s="11"/>
      <c r="N126" s="16"/>
      <c r="P126" s="17"/>
      <c r="X126" s="29"/>
      <c r="AG126" s="11"/>
      <c r="AK126" s="11"/>
      <c r="AN126" s="11"/>
      <c r="AQ126" s="16"/>
      <c r="AS126" s="17"/>
      <c r="BA126" s="29"/>
    </row>
    <row r="127" spans="4:54" x14ac:dyDescent="0.3">
      <c r="D127" s="11"/>
      <c r="H127" s="11"/>
      <c r="K127" s="11"/>
      <c r="N127" s="11"/>
      <c r="O127" s="13"/>
      <c r="P127" s="13"/>
      <c r="S127" s="237" t="s">
        <v>160</v>
      </c>
      <c r="T127" s="237" t="s">
        <v>161</v>
      </c>
      <c r="U127" s="237" t="s">
        <v>162</v>
      </c>
      <c r="W127" s="37"/>
      <c r="X127" s="20"/>
      <c r="AG127" s="11"/>
      <c r="AK127" s="11"/>
      <c r="AN127" s="11"/>
      <c r="AQ127" s="11"/>
      <c r="AR127" s="13"/>
      <c r="AS127" s="13"/>
      <c r="AV127" s="684" t="s">
        <v>160</v>
      </c>
      <c r="AW127" s="684" t="s">
        <v>161</v>
      </c>
      <c r="AX127" s="684" t="s">
        <v>162</v>
      </c>
      <c r="AZ127" s="37"/>
      <c r="BA127" s="20"/>
    </row>
    <row r="128" spans="4:54" x14ac:dyDescent="0.3">
      <c r="D128" s="11"/>
      <c r="H128" s="11"/>
      <c r="K128" s="59" t="s">
        <v>39</v>
      </c>
      <c r="L128" s="67">
        <f>1-L118</f>
        <v>1</v>
      </c>
      <c r="M128" s="10"/>
      <c r="N128" s="11"/>
      <c r="R128" s="12" t="s">
        <v>6</v>
      </c>
      <c r="S128" s="33">
        <f>$L$129*S129</f>
        <v>111084.06159757718</v>
      </c>
      <c r="T128" s="33">
        <f>$L$129*T129</f>
        <v>92611.540110985239</v>
      </c>
      <c r="U128" s="33">
        <f>$L$129*U129</f>
        <v>129539.41531327079</v>
      </c>
      <c r="W128" s="69"/>
      <c r="AG128" s="11"/>
      <c r="AK128" s="11"/>
      <c r="AN128" s="59" t="s">
        <v>39</v>
      </c>
      <c r="AO128" s="67">
        <f>1-AO118</f>
        <v>1</v>
      </c>
      <c r="AP128" s="500"/>
      <c r="AQ128" s="11"/>
      <c r="AU128" s="12" t="s">
        <v>6</v>
      </c>
      <c r="AV128" s="33">
        <f>$AO$129*AV129</f>
        <v>45173.896924883506</v>
      </c>
      <c r="AW128" s="33">
        <f t="shared" ref="AW128:AX128" si="47">$AO$129*AW129</f>
        <v>37667.609806746055</v>
      </c>
      <c r="AX128" s="33">
        <f t="shared" si="47"/>
        <v>53033.367774124556</v>
      </c>
      <c r="AZ128" s="69"/>
    </row>
    <row r="129" spans="1:78" x14ac:dyDescent="0.3">
      <c r="D129" s="11"/>
      <c r="H129" s="11"/>
      <c r="K129" s="15" t="s">
        <v>73</v>
      </c>
      <c r="L129" s="28">
        <f>I123*L128</f>
        <v>859585.19349999982</v>
      </c>
      <c r="N129" s="59" t="s">
        <v>128</v>
      </c>
      <c r="O129" s="50">
        <f>SUM(T129,T132,T135)</f>
        <v>0.15492636201705176</v>
      </c>
      <c r="Q129" s="16"/>
      <c r="R129" s="2" t="s">
        <v>43</v>
      </c>
      <c r="S129" s="61">
        <f>'WiS percent RSV_base'!CF74</f>
        <v>0.12922984532257092</v>
      </c>
      <c r="T129" s="61">
        <f>'WiS percent RSV_low'!CD71</f>
        <v>0.10773980381618248</v>
      </c>
      <c r="U129" s="61">
        <f>'WiS percent RSV_high'!CD73</f>
        <v>0.15069991467142554</v>
      </c>
      <c r="AG129" s="11"/>
      <c r="AK129" s="11"/>
      <c r="AN129" s="15" t="s">
        <v>73</v>
      </c>
      <c r="AO129" s="28">
        <f>AL123*AO128</f>
        <v>859585.19349999982</v>
      </c>
      <c r="AQ129" s="59" t="s">
        <v>128</v>
      </c>
      <c r="AR129" s="50">
        <f>SUM(AW129,AW132,AW135)</f>
        <v>6.3378768667233923E-2</v>
      </c>
      <c r="AT129" s="16"/>
      <c r="AU129" s="2" t="s">
        <v>43</v>
      </c>
      <c r="AV129" s="61">
        <f>AV44</f>
        <v>5.2553135240670609E-2</v>
      </c>
      <c r="AW129" s="61">
        <f t="shared" ref="AW129:AX129" si="48">AW44</f>
        <v>4.3820682454258748E-2</v>
      </c>
      <c r="AX129" s="61">
        <f t="shared" si="48"/>
        <v>6.1696464963742502E-2</v>
      </c>
    </row>
    <row r="130" spans="1:78" x14ac:dyDescent="0.3">
      <c r="D130" s="11"/>
      <c r="H130" s="11"/>
      <c r="K130" s="14"/>
      <c r="L130" s="58"/>
      <c r="N130" s="59" t="s">
        <v>129</v>
      </c>
      <c r="O130" s="50">
        <f>SUM(U129,U132,U135)</f>
        <v>0.21737581063121242</v>
      </c>
      <c r="Q130" s="11"/>
      <c r="R130" s="2"/>
      <c r="AG130" s="11"/>
      <c r="AK130" s="11"/>
      <c r="AN130" s="14"/>
      <c r="AO130" s="58"/>
      <c r="AQ130" s="59" t="s">
        <v>129</v>
      </c>
      <c r="AR130" s="50">
        <f>SUM(AX129,AX132,AX135)</f>
        <v>8.99782850523832E-2</v>
      </c>
      <c r="AT130" s="11"/>
      <c r="AU130" s="2"/>
    </row>
    <row r="131" spans="1:78" x14ac:dyDescent="0.3">
      <c r="D131" s="11"/>
      <c r="H131" s="11"/>
      <c r="N131" s="18" t="s">
        <v>46</v>
      </c>
      <c r="O131" s="50">
        <f>SUM(S129,S132,S135)</f>
        <v>0.18597458567567429</v>
      </c>
      <c r="P131" s="10"/>
      <c r="Q131" s="18"/>
      <c r="R131" s="12" t="s">
        <v>7</v>
      </c>
      <c r="S131" s="33">
        <f>$L$129*S132</f>
        <v>38515.894010380107</v>
      </c>
      <c r="T131" s="33">
        <f>$L$129*T132</f>
        <v>32979.287895672016</v>
      </c>
      <c r="U131" s="33">
        <f>$L$129*U132</f>
        <v>44069.667895986495</v>
      </c>
      <c r="AG131" s="11"/>
      <c r="AK131" s="11"/>
      <c r="AQ131" s="18" t="s">
        <v>46</v>
      </c>
      <c r="AR131" s="50">
        <f>SUM(AV129,AV132,AV135)</f>
        <v>7.633199129690689E-2</v>
      </c>
      <c r="AS131" s="500"/>
      <c r="AT131" s="18"/>
      <c r="AU131" s="12" t="s">
        <v>7</v>
      </c>
      <c r="AV131" s="33">
        <f>$AO$129*AV132</f>
        <v>17964.76900115249</v>
      </c>
      <c r="AW131" s="33">
        <f t="shared" ref="AW131:AX131" si="49">$AO$129*AW132</f>
        <v>15383.513733209938</v>
      </c>
      <c r="AX131" s="33">
        <f t="shared" si="49"/>
        <v>20548.72216163783</v>
      </c>
    </row>
    <row r="132" spans="1:78" x14ac:dyDescent="0.3">
      <c r="D132" s="11"/>
      <c r="H132" s="11"/>
      <c r="N132" s="2" t="s">
        <v>10</v>
      </c>
      <c r="O132" s="54">
        <f>$L$129*O131</f>
        <v>159861.00021410678</v>
      </c>
      <c r="Q132" s="11"/>
      <c r="R132" s="2" t="s">
        <v>44</v>
      </c>
      <c r="S132" s="61">
        <f>'WiS percent RSV_base'!CF50</f>
        <v>4.4807535427121237E-2</v>
      </c>
      <c r="T132" s="61">
        <f>'WiS percent RSV_low'!CD48</f>
        <v>3.8366514622464848E-2</v>
      </c>
      <c r="U132" s="61">
        <f>'WiS percent RSV_high'!CD49</f>
        <v>5.1268528389311424E-2</v>
      </c>
      <c r="AG132" s="11"/>
      <c r="AK132" s="11"/>
      <c r="AQ132" s="2" t="s">
        <v>10</v>
      </c>
      <c r="AR132" s="54">
        <f>$L$129*AR131</f>
        <v>65613.849509192005</v>
      </c>
      <c r="AT132" s="11"/>
      <c r="AU132" s="2" t="s">
        <v>44</v>
      </c>
      <c r="AV132" s="61">
        <f>AV47</f>
        <v>2.0899346727931388E-2</v>
      </c>
      <c r="AW132" s="61">
        <f t="shared" ref="AW132:AX132" si="50">AW47</f>
        <v>1.7896438711993638E-2</v>
      </c>
      <c r="AX132" s="61">
        <f t="shared" si="50"/>
        <v>2.3905393342071143E-2</v>
      </c>
    </row>
    <row r="133" spans="1:78" x14ac:dyDescent="0.3">
      <c r="D133" s="11"/>
      <c r="H133" s="11"/>
      <c r="N133" s="14" t="s">
        <v>128</v>
      </c>
      <c r="O133" s="28">
        <f>$L$129*O129</f>
        <v>133172.40687267846</v>
      </c>
      <c r="Q133" s="11"/>
      <c r="R133" s="2"/>
      <c r="AG133" s="11"/>
      <c r="AK133" s="11"/>
      <c r="AQ133" s="14" t="s">
        <v>128</v>
      </c>
      <c r="AR133" s="28">
        <f>$L$129*AR129</f>
        <v>54479.451128615998</v>
      </c>
      <c r="AT133" s="11"/>
      <c r="AU133" s="2"/>
    </row>
    <row r="134" spans="1:78" x14ac:dyDescent="0.3">
      <c r="D134" s="11"/>
      <c r="H134" s="11"/>
      <c r="N134" s="285" t="s">
        <v>129</v>
      </c>
      <c r="O134" s="28">
        <f>$L$129*O130</f>
        <v>186853.02824365004</v>
      </c>
      <c r="Q134" s="18"/>
      <c r="R134" s="12" t="s">
        <v>8</v>
      </c>
      <c r="S134" s="30">
        <f>$L$129*S135</f>
        <v>10261.044606149502</v>
      </c>
      <c r="T134" s="30">
        <f>$L$129*T135</f>
        <v>7581.5788660212056</v>
      </c>
      <c r="U134" s="30">
        <f>$L$129*U135</f>
        <v>13243.945034392762</v>
      </c>
      <c r="AG134" s="11"/>
      <c r="AK134" s="11"/>
      <c r="AQ134" s="285" t="s">
        <v>129</v>
      </c>
      <c r="AR134" s="28">
        <f>$L$129*AR130</f>
        <v>77344.001567550949</v>
      </c>
      <c r="AT134" s="18"/>
      <c r="AU134" s="12" t="s">
        <v>8</v>
      </c>
      <c r="AV134" s="33">
        <f>$AO$129*AV135</f>
        <v>2475.1835831560184</v>
      </c>
      <c r="AW134" s="33">
        <f t="shared" ref="AW134:AX134" si="51">$AO$129*AW135</f>
        <v>1428.3275886600093</v>
      </c>
      <c r="AX134" s="33">
        <f t="shared" si="51"/>
        <v>3761.9116317885628</v>
      </c>
    </row>
    <row r="135" spans="1:78" x14ac:dyDescent="0.3">
      <c r="D135" s="11"/>
      <c r="H135" s="11"/>
      <c r="L135" s="22"/>
      <c r="R135" s="2" t="s">
        <v>45</v>
      </c>
      <c r="S135" s="61">
        <f>'WiS percent RSV_base'!CF25</f>
        <v>1.1937204925982133E-2</v>
      </c>
      <c r="T135" s="61">
        <f>'WiS percent RSV_low'!CD25</f>
        <v>8.8200435784044334E-3</v>
      </c>
      <c r="U135" s="61">
        <f>'WiS percent RSV_high'!CD25</f>
        <v>1.540736757047545E-2</v>
      </c>
      <c r="AG135" s="11"/>
      <c r="AK135" s="11"/>
      <c r="AO135" s="22"/>
      <c r="AU135" s="2" t="s">
        <v>45</v>
      </c>
      <c r="AV135" s="61">
        <f>AV50</f>
        <v>2.879509328304896E-3</v>
      </c>
      <c r="AW135" s="61">
        <f t="shared" ref="AW135:AX135" si="52">AW50</f>
        <v>1.6616475009815412E-3</v>
      </c>
      <c r="AX135" s="61">
        <f t="shared" si="52"/>
        <v>4.3764267465695519E-3</v>
      </c>
    </row>
    <row r="136" spans="1:78" x14ac:dyDescent="0.3">
      <c r="D136" s="11"/>
      <c r="H136" s="11"/>
      <c r="AG136" s="11"/>
      <c r="AK136" s="11"/>
    </row>
    <row r="137" spans="1:78" x14ac:dyDescent="0.3">
      <c r="C137" s="28"/>
      <c r="D137" s="11"/>
      <c r="H137" s="11"/>
      <c r="K137" s="2" t="s">
        <v>5</v>
      </c>
      <c r="L137" s="21">
        <f>L117+L129</f>
        <v>859585.19349999982</v>
      </c>
      <c r="M137" s="28"/>
      <c r="N137" s="55"/>
      <c r="O137" s="21"/>
      <c r="P137" s="28"/>
      <c r="Q137" s="28"/>
      <c r="R137" s="55" t="s">
        <v>5</v>
      </c>
      <c r="S137" s="56">
        <f>S128+S131+S134</f>
        <v>159861.00021410681</v>
      </c>
      <c r="AF137" s="28"/>
      <c r="AG137" s="11"/>
      <c r="AK137" s="11"/>
      <c r="AN137" s="2" t="s">
        <v>5</v>
      </c>
      <c r="AO137" s="21">
        <f>AO117+AO129</f>
        <v>859585.19349999982</v>
      </c>
      <c r="AP137" s="28"/>
      <c r="AQ137" s="55"/>
      <c r="AR137" s="21"/>
      <c r="AS137" s="28"/>
      <c r="AT137" s="28"/>
      <c r="AU137" s="55" t="s">
        <v>5</v>
      </c>
      <c r="AV137" s="56">
        <f>AV128+AV131+AV134</f>
        <v>65613.849509192019</v>
      </c>
    </row>
    <row r="138" spans="1:78" x14ac:dyDescent="0.3">
      <c r="C138" s="28"/>
      <c r="D138" s="11"/>
      <c r="H138" s="11"/>
      <c r="AF138" s="28"/>
      <c r="AG138" s="11"/>
      <c r="AK138" s="11"/>
    </row>
    <row r="139" spans="1:78" x14ac:dyDescent="0.3">
      <c r="C139" s="22"/>
      <c r="D139" s="11"/>
      <c r="H139" s="11"/>
      <c r="AF139" s="22"/>
      <c r="AG139" s="11"/>
      <c r="AK139" s="11"/>
    </row>
    <row r="140" spans="1:78" x14ac:dyDescent="0.3">
      <c r="D140" s="18" t="s">
        <v>51</v>
      </c>
      <c r="E140" s="12" t="s">
        <v>49</v>
      </c>
      <c r="F140" s="287">
        <f>1-'Input 5_Product Uptake'!M20</f>
        <v>0.43999999999999995</v>
      </c>
      <c r="G140" s="10"/>
      <c r="H140" s="11"/>
      <c r="AG140" s="18" t="s">
        <v>51</v>
      </c>
      <c r="AH140" s="12" t="s">
        <v>49</v>
      </c>
      <c r="AI140" s="287">
        <f>1-'Input 5_Product Uptake'!AP20</f>
        <v>1</v>
      </c>
      <c r="AJ140" s="500"/>
      <c r="AK140" s="11"/>
    </row>
    <row r="141" spans="1:78" x14ac:dyDescent="0.3">
      <c r="D141" t="s">
        <v>226</v>
      </c>
      <c r="F141" s="52">
        <f>C97*F140</f>
        <v>1736184.9999999998</v>
      </c>
      <c r="H141" s="11"/>
      <c r="AG141" t="s">
        <v>226</v>
      </c>
      <c r="AI141" s="52">
        <f>AF97*AI140</f>
        <v>0</v>
      </c>
      <c r="AK141" s="11"/>
    </row>
    <row r="142" spans="1:78" x14ac:dyDescent="0.3">
      <c r="F142" s="52"/>
      <c r="H142" s="11"/>
      <c r="AI142" s="52"/>
      <c r="AK142" s="11"/>
    </row>
    <row r="143" spans="1:78" x14ac:dyDescent="0.3">
      <c r="A143" t="s">
        <v>68</v>
      </c>
      <c r="E143" t="s">
        <v>5</v>
      </c>
      <c r="F143" s="28">
        <f>F141+F55</f>
        <v>3945875</v>
      </c>
      <c r="H143" s="11"/>
      <c r="N143" s="2" t="s">
        <v>5</v>
      </c>
      <c r="O143" s="28">
        <f>R149+R160</f>
        <v>7168.5714492239631</v>
      </c>
      <c r="Q143" s="2" t="s">
        <v>5</v>
      </c>
      <c r="R143" s="21">
        <f>W156+W159+W162</f>
        <v>5277.2628381100858</v>
      </c>
      <c r="V143" s="2" t="s">
        <v>5</v>
      </c>
      <c r="W143" s="21">
        <f>W146+W149+W152</f>
        <v>3655.9714391042212</v>
      </c>
      <c r="AD143" t="s">
        <v>68</v>
      </c>
      <c r="AH143" t="s">
        <v>5</v>
      </c>
      <c r="AI143" s="28">
        <f>AI141+AI55</f>
        <v>0</v>
      </c>
      <c r="AK143" s="11"/>
      <c r="AQ143" s="2" t="s">
        <v>5</v>
      </c>
      <c r="AR143" s="28">
        <f>AU149+AU160</f>
        <v>3595.5497280740992</v>
      </c>
      <c r="AT143" s="2" t="s">
        <v>5</v>
      </c>
      <c r="AU143" s="21">
        <f>AZ156+AZ159+AZ162</f>
        <v>1832.8542885371098</v>
      </c>
      <c r="AY143" s="2" t="s">
        <v>5</v>
      </c>
      <c r="AZ143" s="21">
        <f>AZ146+AZ149+AZ152</f>
        <v>1833.7303613177905</v>
      </c>
      <c r="BJ143" s="13"/>
      <c r="BK143" s="13"/>
      <c r="BQ143" s="2" t="s">
        <v>5</v>
      </c>
      <c r="BR143" s="28">
        <f>BU149+BU160</f>
        <v>3595.5497280740992</v>
      </c>
      <c r="BT143" s="2" t="s">
        <v>5</v>
      </c>
      <c r="BU143" s="21">
        <f>BZ156+BZ159+BZ162</f>
        <v>1832.8542885371098</v>
      </c>
      <c r="BY143" s="2" t="s">
        <v>5</v>
      </c>
      <c r="BZ143" s="21">
        <f>BZ146+BZ149+BZ152</f>
        <v>1833.7303613177905</v>
      </c>
    </row>
    <row r="144" spans="1:78" x14ac:dyDescent="0.3">
      <c r="H144" s="11"/>
      <c r="AK144" s="11"/>
      <c r="BJ144" s="13"/>
      <c r="BK144" s="13"/>
    </row>
    <row r="145" spans="3:80" x14ac:dyDescent="0.3">
      <c r="F145" s="28"/>
      <c r="H145" s="11"/>
      <c r="L145" s="2"/>
      <c r="M145" s="28"/>
      <c r="N145" s="19"/>
      <c r="P145" s="2"/>
      <c r="Q145" s="21"/>
      <c r="W145" s="237" t="s">
        <v>160</v>
      </c>
      <c r="X145" s="237" t="s">
        <v>161</v>
      </c>
      <c r="Y145" s="237" t="s">
        <v>162</v>
      </c>
      <c r="AI145" s="28"/>
      <c r="AK145" s="11"/>
      <c r="AO145" s="2"/>
      <c r="AP145" s="28"/>
      <c r="AQ145" s="19"/>
      <c r="AS145" s="2"/>
      <c r="AT145" s="21"/>
      <c r="AZ145" s="684" t="s">
        <v>160</v>
      </c>
      <c r="BA145" s="684" t="s">
        <v>161</v>
      </c>
      <c r="BB145" s="684" t="s">
        <v>162</v>
      </c>
      <c r="BJ145" s="13"/>
      <c r="BK145" s="13"/>
      <c r="BO145" s="2"/>
      <c r="BP145" s="28"/>
      <c r="BQ145" s="19"/>
      <c r="BS145" s="2"/>
      <c r="BT145" s="21"/>
      <c r="BZ145" s="626" t="s">
        <v>160</v>
      </c>
      <c r="CA145" s="626" t="s">
        <v>161</v>
      </c>
      <c r="CB145" s="626" t="s">
        <v>162</v>
      </c>
    </row>
    <row r="146" spans="3:80" x14ac:dyDescent="0.3">
      <c r="F146" s="28"/>
      <c r="H146" s="11"/>
      <c r="L146" s="2"/>
      <c r="M146" s="28"/>
      <c r="N146" s="19"/>
      <c r="P146" s="2"/>
      <c r="Q146" s="21"/>
      <c r="V146" s="2" t="s">
        <v>64</v>
      </c>
      <c r="W146" s="33">
        <f>$L$159*$R$150*W147</f>
        <v>2458.3467121524104</v>
      </c>
      <c r="X146" s="33">
        <f>$L$159*$R$150*X147</f>
        <v>2049.5600312879774</v>
      </c>
      <c r="Y146" s="33">
        <f>$L$159*$R$150*Y147</f>
        <v>2866.8887570618067</v>
      </c>
      <c r="AI146" s="28"/>
      <c r="AK146" s="11"/>
      <c r="AO146" s="2"/>
      <c r="AP146" s="28"/>
      <c r="AQ146" s="19"/>
      <c r="AS146" s="2"/>
      <c r="AT146" s="21"/>
      <c r="AY146" s="2" t="s">
        <v>64</v>
      </c>
      <c r="AZ146" s="33">
        <f>$AO$159*$AU$150*AZ147</f>
        <v>1262.6579269735651</v>
      </c>
      <c r="BA146" s="33">
        <f t="shared" ref="BA146:BB146" si="53">$AO$159*$AU$150*BA147</f>
        <v>1052.8496754170385</v>
      </c>
      <c r="BB146" s="33">
        <f t="shared" si="53"/>
        <v>1482.3394800635399</v>
      </c>
      <c r="BJ146" s="13"/>
      <c r="BK146" s="13"/>
      <c r="BO146" s="2"/>
      <c r="BP146" s="28"/>
      <c r="BQ146" s="19"/>
      <c r="BS146" s="2"/>
      <c r="BT146" s="21"/>
      <c r="BY146" s="2" t="s">
        <v>64</v>
      </c>
      <c r="BZ146" s="33">
        <f>$BO$159*$BU$150*BZ147</f>
        <v>1262.6579269735651</v>
      </c>
      <c r="CA146" s="33">
        <f>$BO$159*$BU$150*CA147</f>
        <v>1052.8496754170385</v>
      </c>
      <c r="CB146" s="33">
        <f>$BO$159*$BU$150*CB147</f>
        <v>1482.3394800635399</v>
      </c>
    </row>
    <row r="147" spans="3:80" x14ac:dyDescent="0.3">
      <c r="F147" s="28"/>
      <c r="H147" s="11"/>
      <c r="L147" s="2"/>
      <c r="M147" s="28"/>
      <c r="N147" s="19"/>
      <c r="P147" s="2"/>
      <c r="Q147" s="21"/>
      <c r="T147" s="16"/>
      <c r="U147" s="17"/>
      <c r="V147" s="15" t="s">
        <v>40</v>
      </c>
      <c r="W147" s="61">
        <f t="shared" ref="W147:Y147" si="54">W62</f>
        <v>1.4910674201012974</v>
      </c>
      <c r="X147" s="61">
        <f t="shared" si="54"/>
        <v>1.2431249721971007</v>
      </c>
      <c r="Y147" s="61">
        <f t="shared" si="54"/>
        <v>1.7388614883239231</v>
      </c>
      <c r="AI147" s="28"/>
      <c r="AK147" s="11"/>
      <c r="AO147" s="2"/>
      <c r="AP147" s="28"/>
      <c r="AQ147" s="19"/>
      <c r="AS147" s="2"/>
      <c r="AT147" s="21"/>
      <c r="AW147" s="16"/>
      <c r="AX147" s="17"/>
      <c r="AY147" s="15" t="s">
        <v>40</v>
      </c>
      <c r="AZ147" s="61">
        <f>AZ62</f>
        <v>0.76584319385710953</v>
      </c>
      <c r="BA147" s="61">
        <f t="shared" ref="BA147:BB147" si="55">BA62</f>
        <v>0.6385876497884504</v>
      </c>
      <c r="BB147" s="61">
        <f t="shared" si="55"/>
        <v>0.89908721716369955</v>
      </c>
      <c r="BJ147" s="13"/>
      <c r="BK147" s="13"/>
      <c r="BO147" s="2"/>
      <c r="BP147" s="28"/>
      <c r="BQ147" s="19"/>
      <c r="BS147" s="2"/>
      <c r="BT147" s="21"/>
      <c r="BW147" s="16"/>
      <c r="BX147" s="17"/>
      <c r="BY147" s="15" t="s">
        <v>40</v>
      </c>
      <c r="BZ147" s="61">
        <f>AZ62</f>
        <v>0.76584319385710953</v>
      </c>
      <c r="CA147" s="61">
        <f>BA62</f>
        <v>0.6385876497884504</v>
      </c>
      <c r="CB147" s="61">
        <f>BB62</f>
        <v>0.89908721716369955</v>
      </c>
    </row>
    <row r="148" spans="3:80" x14ac:dyDescent="0.3">
      <c r="F148" s="28"/>
      <c r="H148" s="11"/>
      <c r="L148" s="2"/>
      <c r="M148" s="28"/>
      <c r="N148" s="19"/>
      <c r="P148" s="2"/>
      <c r="Q148" s="21"/>
      <c r="T148" s="11"/>
      <c r="U148" s="13"/>
      <c r="V148" s="2"/>
      <c r="AI148" s="28"/>
      <c r="AK148" s="11"/>
      <c r="AO148" s="2"/>
      <c r="AP148" s="28"/>
      <c r="AQ148" s="19"/>
      <c r="AS148" s="2"/>
      <c r="AT148" s="21"/>
      <c r="AW148" s="11"/>
      <c r="AX148" s="13"/>
      <c r="AY148" s="2"/>
      <c r="BJ148" s="13"/>
      <c r="BK148" s="13"/>
      <c r="BO148" s="2"/>
      <c r="BP148" s="28"/>
      <c r="BQ148" s="19"/>
      <c r="BS148" s="2"/>
      <c r="BT148" s="21"/>
      <c r="BW148" s="11"/>
      <c r="BX148" s="13"/>
      <c r="BY148" s="2"/>
    </row>
    <row r="149" spans="3:80" x14ac:dyDescent="0.3">
      <c r="F149" s="28"/>
      <c r="H149" s="11"/>
      <c r="L149" s="2"/>
      <c r="M149" s="28"/>
      <c r="N149" s="19"/>
      <c r="P149" s="2"/>
      <c r="Q149" s="2" t="s">
        <v>12</v>
      </c>
      <c r="R149" s="33">
        <f>O154*R150</f>
        <v>3655.9714391042212</v>
      </c>
      <c r="T149" s="18"/>
      <c r="U149" s="10"/>
      <c r="V149" s="12" t="s">
        <v>65</v>
      </c>
      <c r="W149" s="33">
        <f>$L$159*$R$150*W150</f>
        <v>923.25609430422901</v>
      </c>
      <c r="X149" s="33">
        <f>$L$159*$R$150*X150</f>
        <v>790.41877071991632</v>
      </c>
      <c r="Y149" s="33">
        <f>$L$159*$R$150*Y150</f>
        <v>1056.338053843577</v>
      </c>
      <c r="AI149" s="28"/>
      <c r="AK149" s="11"/>
      <c r="AO149" s="2"/>
      <c r="AP149" s="28"/>
      <c r="AQ149" s="19"/>
      <c r="AS149" s="2"/>
      <c r="AT149" s="2" t="s">
        <v>12</v>
      </c>
      <c r="AU149" s="33">
        <f>AR154*AU150</f>
        <v>1833.7303613177905</v>
      </c>
      <c r="AW149" s="18"/>
      <c r="AX149" s="500"/>
      <c r="AY149" s="12" t="s">
        <v>65</v>
      </c>
      <c r="AZ149" s="33">
        <f>$AO$159*$AU$150*AZ150</f>
        <v>501.85372873785138</v>
      </c>
      <c r="BA149" s="33">
        <f t="shared" ref="BA149:BB149" si="56">$AO$159*$AU$150*BA150</f>
        <v>429.74625554066239</v>
      </c>
      <c r="BB149" s="33">
        <f t="shared" si="56"/>
        <v>574.04160881357075</v>
      </c>
      <c r="BJ149" s="13"/>
      <c r="BK149" s="13"/>
      <c r="BO149" s="2"/>
      <c r="BP149" s="28"/>
      <c r="BQ149" s="19"/>
      <c r="BS149" s="2"/>
      <c r="BT149" s="2" t="s">
        <v>12</v>
      </c>
      <c r="BU149" s="33">
        <f>BR154*BU150</f>
        <v>1833.7303613177905</v>
      </c>
      <c r="BW149" s="18"/>
      <c r="BX149" s="500"/>
      <c r="BY149" s="12" t="s">
        <v>65</v>
      </c>
      <c r="BZ149" s="33">
        <f>$BO$159*$BU$150*BZ150</f>
        <v>501.85372873785138</v>
      </c>
      <c r="CA149" s="33">
        <f>$BO$159*$BU$150*CA150</f>
        <v>429.74625554066239</v>
      </c>
      <c r="CB149" s="33">
        <f>$BO$159*$BU$150*CB150</f>
        <v>574.04160881357075</v>
      </c>
    </row>
    <row r="150" spans="3:80" x14ac:dyDescent="0.3">
      <c r="F150" s="28"/>
      <c r="H150" s="11"/>
      <c r="L150" s="2"/>
      <c r="M150" s="28"/>
      <c r="N150" s="19"/>
      <c r="P150" s="2"/>
      <c r="Q150" s="64" t="s">
        <v>47</v>
      </c>
      <c r="R150" s="66">
        <f>'Input 6_Product Efficacy'!K9</f>
        <v>0.51</v>
      </c>
      <c r="S150" s="17"/>
      <c r="T150" s="11"/>
      <c r="U150" s="13"/>
      <c r="V150" s="2" t="s">
        <v>41</v>
      </c>
      <c r="W150" s="61">
        <f t="shared" ref="W150:Y150" si="57">W65</f>
        <v>0.55998491824682028</v>
      </c>
      <c r="X150" s="61">
        <f t="shared" si="57"/>
        <v>0.47941475115407434</v>
      </c>
      <c r="Y150" s="61">
        <f t="shared" si="57"/>
        <v>0.64070346502113651</v>
      </c>
      <c r="AI150" s="28"/>
      <c r="AK150" s="11"/>
      <c r="AO150" s="2"/>
      <c r="AP150" s="28"/>
      <c r="AQ150" s="19"/>
      <c r="AS150" s="2"/>
      <c r="AT150" s="64" t="s">
        <v>47</v>
      </c>
      <c r="AU150" s="66">
        <f>R150</f>
        <v>0.51</v>
      </c>
      <c r="AV150" s="17"/>
      <c r="AW150" s="11"/>
      <c r="AX150" s="13"/>
      <c r="AY150" s="2" t="s">
        <v>41</v>
      </c>
      <c r="AZ150" s="61">
        <f>AZ65</f>
        <v>0.30439064631456758</v>
      </c>
      <c r="BA150" s="61">
        <f t="shared" ref="BA150:BB150" si="58">BA65</f>
        <v>0.26065511320255214</v>
      </c>
      <c r="BB150" s="61">
        <f t="shared" si="58"/>
        <v>0.34817494881958039</v>
      </c>
      <c r="BJ150" s="13"/>
      <c r="BK150" s="13"/>
      <c r="BO150" s="2"/>
      <c r="BP150" s="28"/>
      <c r="BQ150" s="19"/>
      <c r="BS150" s="2"/>
      <c r="BT150" s="64" t="s">
        <v>47</v>
      </c>
      <c r="BU150" s="66">
        <f>R150</f>
        <v>0.51</v>
      </c>
      <c r="BV150" s="17"/>
      <c r="BW150" s="11"/>
      <c r="BX150" s="13"/>
      <c r="BY150" s="2" t="s">
        <v>41</v>
      </c>
      <c r="BZ150" s="61">
        <f>AZ65</f>
        <v>0.30439064631456758</v>
      </c>
      <c r="CA150" s="61">
        <f>BA65</f>
        <v>0.26065511320255214</v>
      </c>
      <c r="CB150" s="61">
        <f>BB65</f>
        <v>0.34817494881958039</v>
      </c>
    </row>
    <row r="151" spans="3:80" x14ac:dyDescent="0.3">
      <c r="F151" s="28"/>
      <c r="H151" s="11"/>
      <c r="L151" s="2"/>
      <c r="M151" s="28"/>
      <c r="P151" s="2"/>
      <c r="Q151" s="94"/>
      <c r="T151" s="11"/>
      <c r="U151" s="13"/>
      <c r="V151" s="2"/>
      <c r="AI151" s="28"/>
      <c r="AK151" s="11"/>
      <c r="AO151" s="2"/>
      <c r="AP151" s="28"/>
      <c r="AS151" s="2"/>
      <c r="AT151" s="94"/>
      <c r="AW151" s="11"/>
      <c r="AX151" s="13"/>
      <c r="AY151" s="2"/>
      <c r="BJ151" s="13"/>
      <c r="BK151" s="13"/>
      <c r="BO151" s="2"/>
      <c r="BP151" s="28"/>
      <c r="BS151" s="2"/>
      <c r="BT151" s="94"/>
      <c r="BW151" s="11"/>
      <c r="BX151" s="13"/>
      <c r="BY151" s="2"/>
    </row>
    <row r="152" spans="3:80" x14ac:dyDescent="0.3">
      <c r="C152" s="53"/>
      <c r="H152" s="11"/>
      <c r="N152" s="14" t="s">
        <v>128</v>
      </c>
      <c r="O152" s="28">
        <f>$L$159*O156</f>
        <v>6147.8584361069843</v>
      </c>
      <c r="Q152" s="11"/>
      <c r="R152" s="13"/>
      <c r="T152" s="18"/>
      <c r="U152" s="10"/>
      <c r="V152" s="12" t="s">
        <v>66</v>
      </c>
      <c r="W152" s="30">
        <f>$L$159*$R$150*W153</f>
        <v>274.36863264758182</v>
      </c>
      <c r="X152" s="30">
        <f>$L$159*$R$150*X153</f>
        <v>295.42900040666814</v>
      </c>
      <c r="Y152" s="30">
        <f>$L$159*$R$150*Y153</f>
        <v>258.85005309513883</v>
      </c>
      <c r="AF152" s="53"/>
      <c r="AK152" s="11"/>
      <c r="AQ152" s="14" t="s">
        <v>128</v>
      </c>
      <c r="AR152" s="28">
        <f>$L$159*AR156</f>
        <v>3019.9412139232004</v>
      </c>
      <c r="AT152" s="11"/>
      <c r="AU152" s="13"/>
      <c r="AW152" s="18"/>
      <c r="AX152" s="500"/>
      <c r="AY152" s="12" t="s">
        <v>66</v>
      </c>
      <c r="AZ152" s="33">
        <f>$AO$159*$AU$150*AZ153</f>
        <v>69.218705606373959</v>
      </c>
      <c r="BA152" s="33">
        <f t="shared" ref="BA152:BB152" si="59">$AO$159*$AU$150*BA153</f>
        <v>57.574088143131611</v>
      </c>
      <c r="BB152" s="33">
        <f t="shared" si="59"/>
        <v>77.539549725226678</v>
      </c>
      <c r="BJ152" s="13"/>
      <c r="BK152" s="13"/>
      <c r="BQ152" s="14" t="s">
        <v>128</v>
      </c>
      <c r="BR152" s="28">
        <f>$L$159*BR156</f>
        <v>3019.9412139232004</v>
      </c>
      <c r="BT152" s="11"/>
      <c r="BU152" s="13"/>
      <c r="BW152" s="18"/>
      <c r="BX152" s="500"/>
      <c r="BY152" s="12" t="s">
        <v>66</v>
      </c>
      <c r="BZ152" s="33">
        <f>$BO$159*$BU$150*BZ153</f>
        <v>69.218705606373959</v>
      </c>
      <c r="CA152" s="33">
        <f>$BO$159*$BU$150*CA153</f>
        <v>57.574088143131611</v>
      </c>
      <c r="CB152" s="33">
        <f>$BO$159*$BU$150*CB153</f>
        <v>77.539549725226678</v>
      </c>
    </row>
    <row r="153" spans="3:80" x14ac:dyDescent="0.3">
      <c r="C153" s="22"/>
      <c r="H153" s="11"/>
      <c r="N153" s="285" t="s">
        <v>129</v>
      </c>
      <c r="O153" s="28">
        <f>$L$159*O157</f>
        <v>8200.1507137265144</v>
      </c>
      <c r="Q153" s="11"/>
      <c r="V153" s="2" t="s">
        <v>40</v>
      </c>
      <c r="W153" s="61">
        <f t="shared" ref="W153:Y153" si="60">W68</f>
        <v>0.16641351979207206</v>
      </c>
      <c r="X153" s="61">
        <f t="shared" si="60"/>
        <v>0.17918731938091481</v>
      </c>
      <c r="Y153" s="61">
        <f t="shared" si="60"/>
        <v>0.15700099540626716</v>
      </c>
      <c r="AF153" s="22"/>
      <c r="AK153" s="11"/>
      <c r="AQ153" s="285" t="s">
        <v>129</v>
      </c>
      <c r="AR153" s="28">
        <f>$L$159*AR157</f>
        <v>4184.1581149065441</v>
      </c>
      <c r="AT153" s="11"/>
      <c r="AY153" s="2" t="s">
        <v>40</v>
      </c>
      <c r="AZ153" s="61">
        <f>AZ68</f>
        <v>4.1983401397796216E-2</v>
      </c>
      <c r="BA153" s="61">
        <f t="shared" ref="BA153:BB153" si="61">BA68</f>
        <v>3.4920561305651056E-2</v>
      </c>
      <c r="BB153" s="61">
        <f t="shared" si="61"/>
        <v>4.7030264605508632E-2</v>
      </c>
      <c r="BJ153" s="13"/>
      <c r="BK153" s="13"/>
      <c r="BQ153" s="285" t="s">
        <v>129</v>
      </c>
      <c r="BR153" s="28">
        <f>$L$159*BR157</f>
        <v>4184.1581149065441</v>
      </c>
      <c r="BT153" s="11"/>
      <c r="BY153" s="2" t="s">
        <v>40</v>
      </c>
      <c r="BZ153" s="61">
        <f>AZ68</f>
        <v>4.1983401397796216E-2</v>
      </c>
      <c r="CA153" s="61">
        <f>BA68</f>
        <v>3.4920561305651056E-2</v>
      </c>
      <c r="CB153" s="61">
        <f>BB68</f>
        <v>4.7030264605508632E-2</v>
      </c>
    </row>
    <row r="154" spans="3:80" x14ac:dyDescent="0.3">
      <c r="H154" s="11"/>
      <c r="N154" s="2" t="s">
        <v>164</v>
      </c>
      <c r="O154" s="33">
        <f>$L$159*O155</f>
        <v>7168.5714492239631</v>
      </c>
      <c r="Q154" s="11"/>
      <c r="W154" s="13"/>
      <c r="AK154" s="11"/>
      <c r="AQ154" s="2" t="s">
        <v>164</v>
      </c>
      <c r="AR154" s="33">
        <f>$L$159*AR155</f>
        <v>3595.5497280740992</v>
      </c>
      <c r="AT154" s="11"/>
      <c r="AZ154" s="13"/>
      <c r="BJ154" s="13"/>
      <c r="BK154" s="13"/>
      <c r="BQ154" s="2" t="s">
        <v>164</v>
      </c>
      <c r="BR154" s="33">
        <f>$L$159*BR155</f>
        <v>3595.5497280740992</v>
      </c>
      <c r="BT154" s="11"/>
      <c r="BZ154" s="13"/>
    </row>
    <row r="155" spans="3:80" x14ac:dyDescent="0.3">
      <c r="H155" s="11"/>
      <c r="N155" s="16" t="s">
        <v>42</v>
      </c>
      <c r="O155" s="68">
        <f>W157+W160+W163</f>
        <v>2.2174658581401898</v>
      </c>
      <c r="P155" s="17"/>
      <c r="Q155" s="11"/>
      <c r="R155" s="13"/>
      <c r="S155" s="13"/>
      <c r="W155" s="237" t="s">
        <v>160</v>
      </c>
      <c r="X155" s="237" t="s">
        <v>161</v>
      </c>
      <c r="Y155" s="237" t="s">
        <v>162</v>
      </c>
      <c r="AK155" s="11"/>
      <c r="AQ155" s="16" t="s">
        <v>42</v>
      </c>
      <c r="AR155" s="68">
        <f>AZ157+AZ160+AZ163</f>
        <v>1.1122172415694733</v>
      </c>
      <c r="AS155" s="17"/>
      <c r="AT155" s="11"/>
      <c r="AU155" s="13"/>
      <c r="AV155" s="13"/>
      <c r="AZ155" s="684" t="s">
        <v>160</v>
      </c>
      <c r="BA155" s="684" t="s">
        <v>161</v>
      </c>
      <c r="BB155" s="684" t="s">
        <v>162</v>
      </c>
      <c r="BJ155" s="13"/>
      <c r="BK155" s="13"/>
      <c r="BQ155" s="16" t="s">
        <v>42</v>
      </c>
      <c r="BR155" s="68">
        <f>BZ157+BZ160+BZ163</f>
        <v>1.1122172415694733</v>
      </c>
      <c r="BS155" s="17"/>
      <c r="BT155" s="11"/>
      <c r="BU155" s="13"/>
      <c r="BV155" s="13"/>
      <c r="BZ155" s="626" t="s">
        <v>160</v>
      </c>
      <c r="CA155" s="626" t="s">
        <v>161</v>
      </c>
      <c r="CB155" s="626" t="s">
        <v>162</v>
      </c>
    </row>
    <row r="156" spans="3:80" x14ac:dyDescent="0.3">
      <c r="H156" s="11"/>
      <c r="N156" s="59" t="s">
        <v>128</v>
      </c>
      <c r="O156" s="68">
        <f>X157+X160+X163</f>
        <v>1.9017270427320898</v>
      </c>
      <c r="Q156" s="11"/>
      <c r="R156" s="13"/>
      <c r="V156" s="517" t="s">
        <v>6</v>
      </c>
      <c r="W156" s="518">
        <f>($L$159*$R$159*W157)+($L$159*W158)</f>
        <v>3749.1707272892941</v>
      </c>
      <c r="X156" s="518">
        <f t="shared" ref="X156:Y156" si="62">($L$159*$R$159*X157)+($L$159*X158)</f>
        <v>3125.6896135722754</v>
      </c>
      <c r="Y156" s="518">
        <f t="shared" si="62"/>
        <v>4371.9371202749335</v>
      </c>
      <c r="AK156" s="11"/>
      <c r="AQ156" s="59" t="s">
        <v>128</v>
      </c>
      <c r="AR156" s="68">
        <f>BA157+BA160+BA163</f>
        <v>0.9341633242966535</v>
      </c>
      <c r="AT156" s="11"/>
      <c r="AU156" s="13"/>
      <c r="AY156" s="517" t="s">
        <v>6</v>
      </c>
      <c r="AZ156" s="518">
        <f>($AO$159*$AU$159*AZ157)+($AO$159*AZ158)</f>
        <v>1261.7163976223628</v>
      </c>
      <c r="BA156" s="518">
        <f t="shared" ref="BA156:BB156" si="63">($AO$159*$AU$159*BA157)+($AO$159*BA158)</f>
        <v>1052.0638595644803</v>
      </c>
      <c r="BB156" s="518">
        <f t="shared" si="63"/>
        <v>1481.2319864067144</v>
      </c>
      <c r="BJ156" s="13"/>
      <c r="BK156" s="13"/>
      <c r="BQ156" s="59" t="s">
        <v>128</v>
      </c>
      <c r="BR156" s="68">
        <f>CA157+CA160+CA163</f>
        <v>0.9341633242966535</v>
      </c>
      <c r="BT156" s="11"/>
      <c r="BU156" s="13"/>
      <c r="BY156" s="517" t="s">
        <v>6</v>
      </c>
      <c r="BZ156" s="518">
        <f>($BO$159*$BU$159*BZ157)+($BO$159*BZ158)</f>
        <v>1261.7163976223628</v>
      </c>
      <c r="CA156" s="518">
        <f>($BO$159*$BU$159*CA157)+($BO$159*CA158)</f>
        <v>1052.0638595644803</v>
      </c>
      <c r="CB156" s="518">
        <f>($BO$159*$BU$159*CB157)+($BO$159*CB158)</f>
        <v>1481.2319864067144</v>
      </c>
    </row>
    <row r="157" spans="3:80" x14ac:dyDescent="0.3">
      <c r="H157" s="11"/>
      <c r="N157" s="59" t="s">
        <v>129</v>
      </c>
      <c r="O157" s="68">
        <f>Y157+Y160+Y163</f>
        <v>2.5365659487513268</v>
      </c>
      <c r="Q157" s="11"/>
      <c r="R157" s="13"/>
      <c r="T157" s="16"/>
      <c r="U157" s="17"/>
      <c r="V157" s="15" t="s">
        <v>40</v>
      </c>
      <c r="W157" s="61">
        <f t="shared" ref="W157:Y158" si="64">W73</f>
        <v>1.4910674201012974</v>
      </c>
      <c r="X157" s="61">
        <f t="shared" si="64"/>
        <v>1.2431249721971007</v>
      </c>
      <c r="Y157" s="61">
        <f t="shared" si="64"/>
        <v>1.7388614883239231</v>
      </c>
      <c r="AK157" s="11"/>
      <c r="AQ157" s="59" t="s">
        <v>129</v>
      </c>
      <c r="AR157" s="68">
        <f>BB157+BB160+BB163</f>
        <v>1.2942924305887886</v>
      </c>
      <c r="AT157" s="11"/>
      <c r="AU157" s="13"/>
      <c r="AW157" s="16"/>
      <c r="AX157" s="17"/>
      <c r="AY157" s="15" t="s">
        <v>40</v>
      </c>
      <c r="AZ157" s="61">
        <f>AZ73</f>
        <v>0.76584319385710953</v>
      </c>
      <c r="BA157" s="61">
        <f t="shared" ref="BA157:BB157" si="65">BA73</f>
        <v>0.6385876497884504</v>
      </c>
      <c r="BB157" s="61">
        <f t="shared" si="65"/>
        <v>0.89908721716369955</v>
      </c>
      <c r="BJ157" s="13"/>
      <c r="BK157" s="13"/>
      <c r="BQ157" s="59" t="s">
        <v>129</v>
      </c>
      <c r="BR157" s="68">
        <f>CB157+CB160+CB163</f>
        <v>1.2942924305887886</v>
      </c>
      <c r="BT157" s="11"/>
      <c r="BU157" s="13"/>
      <c r="BW157" s="16"/>
      <c r="BX157" s="17"/>
      <c r="BY157" s="15" t="s">
        <v>40</v>
      </c>
      <c r="BZ157" s="61">
        <f t="shared" ref="BZ157:CB158" si="66">AZ73</f>
        <v>0.76584319385710953</v>
      </c>
      <c r="CA157" s="61">
        <f t="shared" si="66"/>
        <v>0.6385876497884504</v>
      </c>
      <c r="CB157" s="61">
        <f t="shared" si="66"/>
        <v>0.89908721716369955</v>
      </c>
    </row>
    <row r="158" spans="3:80" x14ac:dyDescent="0.3">
      <c r="H158" s="11"/>
      <c r="N158" s="11"/>
      <c r="O158" s="13"/>
      <c r="P158" s="13"/>
      <c r="Q158" s="11"/>
      <c r="R158" s="13"/>
      <c r="T158" s="11"/>
      <c r="U158" s="13"/>
      <c r="V158" s="2"/>
      <c r="W158" s="50">
        <f t="shared" si="64"/>
        <v>0.42911403910169688</v>
      </c>
      <c r="X158" s="50">
        <f t="shared" si="64"/>
        <v>0.35774341226631784</v>
      </c>
      <c r="Y158" s="50">
        <f t="shared" si="64"/>
        <v>0.50033628625550552</v>
      </c>
      <c r="AK158" s="11"/>
      <c r="AQ158" s="11"/>
      <c r="AR158" s="13"/>
      <c r="AS158" s="13"/>
      <c r="AT158" s="11"/>
      <c r="AU158" s="13"/>
      <c r="AW158" s="11"/>
      <c r="AX158" s="13"/>
      <c r="AY158" s="2"/>
      <c r="AZ158" s="61">
        <f>AZ74</f>
        <v>1.5025619072578801E-2</v>
      </c>
      <c r="BA158" s="61">
        <f t="shared" ref="BA158:BB158" si="67">BA74</f>
        <v>1.2528675300836938E-2</v>
      </c>
      <c r="BB158" s="61">
        <f t="shared" si="67"/>
        <v>1.7639161530294788E-2</v>
      </c>
      <c r="BJ158" s="13"/>
      <c r="BK158" s="13"/>
      <c r="BQ158" s="11"/>
      <c r="BR158" s="13"/>
      <c r="BS158" s="13"/>
      <c r="BT158" s="11"/>
      <c r="BU158" s="13"/>
      <c r="BW158" s="11"/>
      <c r="BX158" s="13"/>
      <c r="BY158" s="2"/>
      <c r="BZ158" s="50">
        <f t="shared" si="66"/>
        <v>1.5025619072578801E-2</v>
      </c>
      <c r="CA158" s="50">
        <f t="shared" si="66"/>
        <v>1.2528675300836938E-2</v>
      </c>
      <c r="CB158" s="50">
        <f t="shared" si="66"/>
        <v>1.7639161530294788E-2</v>
      </c>
    </row>
    <row r="159" spans="3:80" x14ac:dyDescent="0.3">
      <c r="H159" s="11"/>
      <c r="K159" s="12" t="s">
        <v>71</v>
      </c>
      <c r="L159" s="30">
        <f>I166*L160</f>
        <v>3232.7764699999998</v>
      </c>
      <c r="M159" s="10"/>
      <c r="N159" s="11"/>
      <c r="O159" s="13"/>
      <c r="Q159" s="65" t="s">
        <v>48</v>
      </c>
      <c r="R159" s="67">
        <f>1-'Input 6_Product Efficacy'!K9</f>
        <v>0.49</v>
      </c>
      <c r="S159" s="10"/>
      <c r="T159" s="18"/>
      <c r="U159" s="10"/>
      <c r="V159" s="359" t="s">
        <v>7</v>
      </c>
      <c r="W159" s="518">
        <f>($L$159*$R$159*W160)+($L$159*W161)</f>
        <v>1229.0606316655517</v>
      </c>
      <c r="X159" s="518">
        <f t="shared" ref="X159" si="68">($L$159*$R$159*X160)+($L$159*X161)</f>
        <v>1052.5054238813536</v>
      </c>
      <c r="Y159" s="518">
        <f>($L$159*$R$159*Y160)+($L$159*Y161)</f>
        <v>1406.3305601811278</v>
      </c>
      <c r="AK159" s="11"/>
      <c r="AN159" s="12" t="s">
        <v>71</v>
      </c>
      <c r="AO159" s="30">
        <f>AL166*AO160</f>
        <v>3232.7764699999998</v>
      </c>
      <c r="AP159" s="500"/>
      <c r="AQ159" s="11"/>
      <c r="AR159" s="13"/>
      <c r="AT159" s="65" t="s">
        <v>48</v>
      </c>
      <c r="AU159" s="67">
        <f>R159</f>
        <v>0.49</v>
      </c>
      <c r="AV159" s="500"/>
      <c r="AW159" s="18"/>
      <c r="AX159" s="500"/>
      <c r="AY159" s="359" t="s">
        <v>7</v>
      </c>
      <c r="AZ159" s="518">
        <f>($AO$159*$AU$159*AZ160)+($AO$159*AZ161)</f>
        <v>502.04021667967771</v>
      </c>
      <c r="BA159" s="518">
        <f>($AO$159*$AU$159*BA160)+($AO$159*BA161)</f>
        <v>429.90389053281081</v>
      </c>
      <c r="BB159" s="518">
        <f t="shared" ref="BB159" si="69">($AO$159*$AU$159*BB160)+($AO$159*BB161)</f>
        <v>574.2468975853626</v>
      </c>
      <c r="BJ159" s="13"/>
      <c r="BK159" s="13"/>
      <c r="BN159" s="12" t="s">
        <v>71</v>
      </c>
      <c r="BO159" s="30">
        <f>BL166*BO160</f>
        <v>3232.7764699999998</v>
      </c>
      <c r="BP159" s="500"/>
      <c r="BQ159" s="11"/>
      <c r="BR159" s="13"/>
      <c r="BT159" s="65" t="s">
        <v>48</v>
      </c>
      <c r="BU159" s="67">
        <f>1-BU150</f>
        <v>0.49</v>
      </c>
      <c r="BV159" s="500"/>
      <c r="BW159" s="18"/>
      <c r="BX159" s="500"/>
      <c r="BY159" s="359" t="s">
        <v>7</v>
      </c>
      <c r="BZ159" s="518">
        <f>($BO$159*$BU$159*BZ160)+($BO$159*BZ161)</f>
        <v>502.04021667967771</v>
      </c>
      <c r="CA159" s="518">
        <f>($BO$159*$BU$159*CA160)+($BO$159*CA161)</f>
        <v>429.90389053281081</v>
      </c>
      <c r="CB159" s="518">
        <f>($BO$159*$BU$159*CB160)+($BO$159*CB161)</f>
        <v>574.2468975853626</v>
      </c>
    </row>
    <row r="160" spans="3:80" x14ac:dyDescent="0.3">
      <c r="H160" s="11"/>
      <c r="K160" s="59" t="s">
        <v>29</v>
      </c>
      <c r="L160" s="60">
        <f>'Input 5_Product Uptake'!M9</f>
        <v>0.38</v>
      </c>
      <c r="N160" s="11"/>
      <c r="O160" s="13"/>
      <c r="Q160" s="514" t="s">
        <v>297</v>
      </c>
      <c r="R160" s="71">
        <f>O154*R159</f>
        <v>3512.6000101197419</v>
      </c>
      <c r="T160" s="11"/>
      <c r="U160" s="13"/>
      <c r="V160" s="2" t="s">
        <v>41</v>
      </c>
      <c r="W160" s="61">
        <f t="shared" ref="W160:Y161" si="70">W76</f>
        <v>0.55998491824682028</v>
      </c>
      <c r="X160" s="61">
        <f t="shared" si="70"/>
        <v>0.47941475115407434</v>
      </c>
      <c r="Y160" s="61">
        <f t="shared" si="70"/>
        <v>0.64070346502113651</v>
      </c>
      <c r="AK160" s="11"/>
      <c r="AN160" s="59" t="s">
        <v>29</v>
      </c>
      <c r="AO160" s="60">
        <f>L160</f>
        <v>0.38</v>
      </c>
      <c r="AQ160" s="11"/>
      <c r="AR160" s="13"/>
      <c r="AT160" s="514" t="s">
        <v>297</v>
      </c>
      <c r="AU160" s="71">
        <f>AR154*AU159</f>
        <v>1761.8193667563087</v>
      </c>
      <c r="AW160" s="11"/>
      <c r="AX160" s="13"/>
      <c r="AY160" s="2" t="s">
        <v>41</v>
      </c>
      <c r="AZ160" s="61">
        <f>AZ76</f>
        <v>0.30439064631456758</v>
      </c>
      <c r="BA160" s="61">
        <f t="shared" ref="BA160:BB160" si="71">BA76</f>
        <v>0.26065511320255214</v>
      </c>
      <c r="BB160" s="61">
        <f t="shared" si="71"/>
        <v>0.34817494881958039</v>
      </c>
      <c r="BJ160" s="13"/>
      <c r="BK160" s="13"/>
      <c r="BN160" s="59" t="s">
        <v>29</v>
      </c>
      <c r="BO160" s="60">
        <f>L160</f>
        <v>0.38</v>
      </c>
      <c r="BQ160" s="11"/>
      <c r="BR160" s="13"/>
      <c r="BT160" s="514" t="s">
        <v>297</v>
      </c>
      <c r="BU160" s="71">
        <f>BR154*BU159</f>
        <v>1761.8193667563087</v>
      </c>
      <c r="BW160" s="11"/>
      <c r="BX160" s="13"/>
      <c r="BY160" s="2" t="s">
        <v>41</v>
      </c>
      <c r="BZ160" s="61">
        <f t="shared" ref="BZ160:CB161" si="72">AZ76</f>
        <v>0.30439064631456758</v>
      </c>
      <c r="CA160" s="61">
        <f t="shared" si="72"/>
        <v>0.26065511320255214</v>
      </c>
      <c r="CB160" s="61">
        <f t="shared" si="72"/>
        <v>0.34817494881958039</v>
      </c>
    </row>
    <row r="161" spans="8:80" x14ac:dyDescent="0.3">
      <c r="H161" s="11"/>
      <c r="K161" s="11"/>
      <c r="N161" s="11"/>
      <c r="O161" s="13"/>
      <c r="Q161" s="514" t="s">
        <v>298</v>
      </c>
      <c r="R161" s="13"/>
      <c r="T161" s="11"/>
      <c r="U161" s="13"/>
      <c r="V161" s="2"/>
      <c r="W161" s="50">
        <f t="shared" si="70"/>
        <v>0.10579471295971989</v>
      </c>
      <c r="X161" s="50">
        <f t="shared" si="70"/>
        <v>9.0659985439535573E-2</v>
      </c>
      <c r="Y161" s="50">
        <f t="shared" si="70"/>
        <v>0.12107782016147464</v>
      </c>
      <c r="AK161" s="11"/>
      <c r="AN161" s="11"/>
      <c r="AQ161" s="11"/>
      <c r="AR161" s="13"/>
      <c r="AT161" s="514" t="s">
        <v>298</v>
      </c>
      <c r="AU161" s="13"/>
      <c r="AW161" s="11"/>
      <c r="AX161" s="13"/>
      <c r="AY161" s="2"/>
      <c r="AZ161" s="61">
        <f>AZ77</f>
        <v>6.1454995444528478E-3</v>
      </c>
      <c r="BA161" s="61">
        <f t="shared" ref="BA161:BB161" si="73">BA77</f>
        <v>5.2618637523912512E-3</v>
      </c>
      <c r="BB161" s="61">
        <f t="shared" si="73"/>
        <v>7.0270012858450514E-3</v>
      </c>
      <c r="BJ161" s="13"/>
      <c r="BK161" s="13"/>
      <c r="BN161" s="11"/>
      <c r="BQ161" s="11"/>
      <c r="BR161" s="13"/>
      <c r="BT161" s="514" t="s">
        <v>298</v>
      </c>
      <c r="BU161" s="13"/>
      <c r="BW161" s="11"/>
      <c r="BX161" s="13"/>
      <c r="BY161" s="2"/>
      <c r="BZ161" s="50">
        <f t="shared" si="72"/>
        <v>6.1454995444528478E-3</v>
      </c>
      <c r="CA161" s="50">
        <f t="shared" si="72"/>
        <v>5.2618637523912512E-3</v>
      </c>
      <c r="CB161" s="50">
        <f t="shared" si="72"/>
        <v>7.0270012858450514E-3</v>
      </c>
    </row>
    <row r="162" spans="8:80" x14ac:dyDescent="0.3">
      <c r="H162" s="11"/>
      <c r="K162" s="11"/>
      <c r="N162" s="11"/>
      <c r="T162" s="18"/>
      <c r="U162" s="10"/>
      <c r="V162" s="359" t="s">
        <v>8</v>
      </c>
      <c r="W162" s="518">
        <f>($L$159*$R$159*W163)+($L$159*W164)</f>
        <v>299.03147915523982</v>
      </c>
      <c r="X162" s="518">
        <f t="shared" ref="X162:Y162" si="74">($L$159*$R$159*X163)+($L$159*X164)</f>
        <v>313.47124596181476</v>
      </c>
      <c r="Y162" s="518">
        <f t="shared" si="74"/>
        <v>287.74131090666265</v>
      </c>
      <c r="AK162" s="11"/>
      <c r="AN162" s="11"/>
      <c r="AQ162" s="11"/>
      <c r="AW162" s="18"/>
      <c r="AX162" s="500"/>
      <c r="AY162" s="359" t="s">
        <v>8</v>
      </c>
      <c r="AZ162" s="518">
        <f>($AO$159*$AU$159*AZ163)+($AO$159*AZ164)</f>
        <v>69.097674235069277</v>
      </c>
      <c r="BA162" s="518">
        <f t="shared" ref="BA162:BB162" si="75">($AO$159*$AU$159*BA163)+($AO$159*BA164)</f>
        <v>57.139355586617469</v>
      </c>
      <c r="BB162" s="518">
        <f t="shared" si="75"/>
        <v>77.718449664970493</v>
      </c>
      <c r="BJ162" s="13"/>
      <c r="BK162" s="13"/>
      <c r="BN162" s="11"/>
      <c r="BQ162" s="11"/>
      <c r="BW162" s="18"/>
      <c r="BX162" s="500"/>
      <c r="BY162" s="359" t="s">
        <v>8</v>
      </c>
      <c r="BZ162" s="518">
        <f>($BO$159*$BU$159*BZ163)+($BO$159*BZ164)</f>
        <v>69.097674235069277</v>
      </c>
      <c r="CA162" s="518">
        <f>($BO$159*$BU$159*CA163)+($BO$159*CA164)</f>
        <v>57.139355586617469</v>
      </c>
      <c r="CB162" s="518">
        <f>($BO$159*$BU$159*CB163)+($BO$159*CB164)</f>
        <v>77.718449664970493</v>
      </c>
    </row>
    <row r="163" spans="8:80" x14ac:dyDescent="0.3">
      <c r="H163" s="11"/>
      <c r="K163" s="11"/>
      <c r="N163" s="18"/>
      <c r="O163" s="10"/>
      <c r="P163" s="10"/>
      <c r="V163" s="2" t="s">
        <v>40</v>
      </c>
      <c r="W163" s="61">
        <f t="shared" ref="W163:Y164" si="76">W79</f>
        <v>0.16641351979207206</v>
      </c>
      <c r="X163" s="61">
        <f t="shared" si="76"/>
        <v>0.17918731938091481</v>
      </c>
      <c r="Y163" s="61">
        <f t="shared" si="76"/>
        <v>0.15700099540626716</v>
      </c>
      <c r="AK163" s="11"/>
      <c r="AN163" s="11"/>
      <c r="AQ163" s="18"/>
      <c r="AR163" s="500"/>
      <c r="AS163" s="500"/>
      <c r="AY163" s="2" t="s">
        <v>40</v>
      </c>
      <c r="AZ163" s="61">
        <f>AZ79</f>
        <v>4.1983401397796216E-2</v>
      </c>
      <c r="BA163" s="61">
        <f t="shared" ref="BA163:BB163" si="77">BA79</f>
        <v>3.4920561305651056E-2</v>
      </c>
      <c r="BB163" s="61">
        <f t="shared" si="77"/>
        <v>4.7030264605508632E-2</v>
      </c>
      <c r="BJ163" s="13"/>
      <c r="BK163" s="13"/>
      <c r="BN163" s="11"/>
      <c r="BQ163" s="18"/>
      <c r="BR163" s="500"/>
      <c r="BS163" s="500"/>
      <c r="BY163" s="2" t="s">
        <v>40</v>
      </c>
      <c r="BZ163" s="61">
        <f t="shared" ref="BZ163:CB164" si="78">AZ79</f>
        <v>4.1983401397796216E-2</v>
      </c>
      <c r="CA163" s="61">
        <f t="shared" si="78"/>
        <v>3.4920561305651056E-2</v>
      </c>
      <c r="CB163" s="61">
        <f t="shared" si="78"/>
        <v>4.7030264605508632E-2</v>
      </c>
    </row>
    <row r="164" spans="8:80" x14ac:dyDescent="0.3">
      <c r="H164" s="11"/>
      <c r="K164" s="11"/>
      <c r="N164" s="2" t="s">
        <v>9</v>
      </c>
      <c r="O164" s="63" t="s">
        <v>37</v>
      </c>
      <c r="P164" s="13"/>
      <c r="W164" s="50">
        <f t="shared" si="76"/>
        <v>1.095726879289363E-2</v>
      </c>
      <c r="X164" s="50">
        <f t="shared" si="76"/>
        <v>9.1647835309462584E-3</v>
      </c>
      <c r="Y164" s="50">
        <f t="shared" si="76"/>
        <v>1.2076999646635939E-2</v>
      </c>
      <c r="AK164" s="11"/>
      <c r="AN164" s="11"/>
      <c r="AQ164" s="2" t="s">
        <v>9</v>
      </c>
      <c r="AR164" s="63" t="s">
        <v>37</v>
      </c>
      <c r="AS164" s="13"/>
      <c r="AZ164" s="61">
        <f>AZ80</f>
        <v>8.0222919714660352E-4</v>
      </c>
      <c r="BA164" s="61">
        <f t="shared" ref="BA164:BB164" si="79">BA80</f>
        <v>5.6393469779488815E-4</v>
      </c>
      <c r="BB164" s="61">
        <f t="shared" si="79"/>
        <v>9.9594470125398036E-4</v>
      </c>
      <c r="BJ164" s="13"/>
      <c r="BK164" s="13"/>
      <c r="BN164" s="11"/>
      <c r="BQ164" s="2" t="s">
        <v>9</v>
      </c>
      <c r="BR164" s="63" t="s">
        <v>37</v>
      </c>
      <c r="BS164" s="13"/>
      <c r="BZ164" s="50">
        <f t="shared" si="78"/>
        <v>8.0222919714660352E-4</v>
      </c>
      <c r="CA164" s="50">
        <f t="shared" si="78"/>
        <v>5.6393469779488815E-4</v>
      </c>
      <c r="CB164" s="50">
        <f t="shared" si="78"/>
        <v>9.9594470125398036E-4</v>
      </c>
    </row>
    <row r="165" spans="8:80" x14ac:dyDescent="0.3">
      <c r="H165" s="59" t="s">
        <v>27</v>
      </c>
      <c r="I165" s="281">
        <f>'Input 1_Population'!G24</f>
        <v>9.7999999999999997E-3</v>
      </c>
      <c r="J165" s="10"/>
      <c r="K165" s="11"/>
      <c r="AK165" s="59" t="s">
        <v>27</v>
      </c>
      <c r="AL165" s="281">
        <f>'Input 1_Population'!AJ24</f>
        <v>0</v>
      </c>
      <c r="AM165" s="500"/>
      <c r="AN165" s="11"/>
      <c r="BJ165" s="13"/>
      <c r="BK165" s="14"/>
      <c r="BL165" s="281"/>
      <c r="BM165" s="500"/>
      <c r="BN165" s="11"/>
    </row>
    <row r="166" spans="8:80" x14ac:dyDescent="0.3">
      <c r="H166" s="15" t="s">
        <v>340</v>
      </c>
      <c r="I166" s="28">
        <f>(F141/12*'Input 4_RSV Season'!$AG$27)*I165</f>
        <v>8507.3064999999988</v>
      </c>
      <c r="K166" s="11"/>
      <c r="AK166" s="15" t="s">
        <v>355</v>
      </c>
      <c r="AL166" s="28">
        <f>I167-I166</f>
        <v>8507.3064999999988</v>
      </c>
      <c r="AN166" s="11"/>
      <c r="BK166" s="15" t="s">
        <v>341</v>
      </c>
      <c r="BL166" s="28">
        <f>I167-I166</f>
        <v>8507.3064999999988</v>
      </c>
      <c r="BN166" s="11"/>
    </row>
    <row r="167" spans="8:80" x14ac:dyDescent="0.3">
      <c r="H167" s="2" t="s">
        <v>343</v>
      </c>
      <c r="I167" s="28">
        <f>F141*I165</f>
        <v>17014.612999999998</v>
      </c>
      <c r="K167" s="11"/>
      <c r="N167" s="2" t="s">
        <v>9</v>
      </c>
      <c r="O167" s="62" t="s">
        <v>37</v>
      </c>
      <c r="AK167" s="2"/>
      <c r="AL167" s="28"/>
      <c r="AN167" s="11"/>
      <c r="AQ167" s="2" t="s">
        <v>9</v>
      </c>
      <c r="AR167" s="62" t="s">
        <v>37</v>
      </c>
      <c r="BN167" s="11"/>
      <c r="BQ167" s="2" t="s">
        <v>9</v>
      </c>
      <c r="BR167" s="62" t="s">
        <v>37</v>
      </c>
    </row>
    <row r="168" spans="8:80" x14ac:dyDescent="0.3">
      <c r="K168" s="11"/>
      <c r="N168" s="16"/>
      <c r="P168" s="17"/>
      <c r="X168" s="29"/>
      <c r="AN168" s="11"/>
      <c r="AQ168" s="16"/>
      <c r="AS168" s="17"/>
      <c r="BA168" s="29"/>
      <c r="BN168" s="11"/>
      <c r="BQ168" s="16"/>
      <c r="BS168" s="17"/>
      <c r="CA168" s="29"/>
    </row>
    <row r="169" spans="8:80" x14ac:dyDescent="0.3">
      <c r="K169" s="59"/>
      <c r="N169" s="11"/>
      <c r="O169" s="13"/>
      <c r="P169" s="13"/>
      <c r="S169" s="237" t="s">
        <v>160</v>
      </c>
      <c r="T169" s="237" t="s">
        <v>161</v>
      </c>
      <c r="U169" s="237" t="s">
        <v>162</v>
      </c>
      <c r="W169" s="37"/>
      <c r="X169" s="20"/>
      <c r="AN169" s="59"/>
      <c r="AQ169" s="11"/>
      <c r="AR169" s="13"/>
      <c r="AS169" s="13"/>
      <c r="AV169" s="684" t="s">
        <v>160</v>
      </c>
      <c r="AW169" s="684" t="s">
        <v>161</v>
      </c>
      <c r="AX169" s="684" t="s">
        <v>162</v>
      </c>
      <c r="AZ169" s="37"/>
      <c r="BA169" s="20"/>
      <c r="BN169" s="59"/>
      <c r="BQ169" s="11"/>
      <c r="BR169" s="13"/>
      <c r="BS169" s="13"/>
      <c r="BV169" s="626" t="s">
        <v>160</v>
      </c>
      <c r="BW169" s="626" t="s">
        <v>161</v>
      </c>
      <c r="BX169" s="626" t="s">
        <v>162</v>
      </c>
      <c r="BZ169" s="37"/>
      <c r="CA169" s="20"/>
    </row>
    <row r="170" spans="8:80" x14ac:dyDescent="0.3">
      <c r="K170" s="59" t="s">
        <v>30</v>
      </c>
      <c r="L170" s="67">
        <f>1-'Input 5_Product Uptake'!M9</f>
        <v>0.62</v>
      </c>
      <c r="M170" s="10"/>
      <c r="N170" s="11"/>
      <c r="R170" s="12" t="s">
        <v>6</v>
      </c>
      <c r="S170" s="30">
        <f>$L$171*S171</f>
        <v>10128.054769615412</v>
      </c>
      <c r="T170" s="30">
        <f>$L$171*T171</f>
        <v>8443.8283679298856</v>
      </c>
      <c r="U170" s="30">
        <f>$L$171*U171</f>
        <v>11810.715905128363</v>
      </c>
      <c r="W170" s="69"/>
      <c r="AN170" s="59" t="s">
        <v>30</v>
      </c>
      <c r="AO170" s="67">
        <f>L170</f>
        <v>0.62</v>
      </c>
      <c r="AP170" s="500"/>
      <c r="AQ170" s="11"/>
      <c r="AU170" s="12" t="s">
        <v>6</v>
      </c>
      <c r="AV170" s="30">
        <f>$AO$171*AV171</f>
        <v>4118.7160032880929</v>
      </c>
      <c r="AW170" s="30">
        <f t="shared" ref="AW170:AX170" si="80">$AO$171*AW171</f>
        <v>3434.3326097066874</v>
      </c>
      <c r="AX170" s="30">
        <f t="shared" si="80"/>
        <v>4835.3008137146244</v>
      </c>
      <c r="AZ170" s="69"/>
      <c r="BN170" s="59" t="s">
        <v>30</v>
      </c>
      <c r="BO170" s="67">
        <f>1-BO160</f>
        <v>0.62</v>
      </c>
      <c r="BP170" s="500"/>
      <c r="BQ170" s="11"/>
      <c r="BU170" s="12" t="s">
        <v>6</v>
      </c>
      <c r="BV170" s="30">
        <f>$BO$171*BV171</f>
        <v>4118.7160032880929</v>
      </c>
      <c r="BW170" s="30">
        <f>$BO$171*BW171</f>
        <v>3434.3326097066874</v>
      </c>
      <c r="BX170" s="30">
        <f>$BO$171*BX171</f>
        <v>4835.3008137146244</v>
      </c>
      <c r="BZ170" s="69"/>
    </row>
    <row r="171" spans="8:80" x14ac:dyDescent="0.3">
      <c r="K171" s="15" t="s">
        <v>72</v>
      </c>
      <c r="L171" s="28">
        <f>I166*L170</f>
        <v>5274.530029999999</v>
      </c>
      <c r="N171" s="59" t="s">
        <v>128</v>
      </c>
      <c r="O171" s="50">
        <f>SUM(T171,T174,T177)</f>
        <v>2.3592952239688896</v>
      </c>
      <c r="Q171" s="16"/>
      <c r="R171" s="2" t="s">
        <v>40</v>
      </c>
      <c r="S171" s="61">
        <f>S87</f>
        <v>1.9201814592029942</v>
      </c>
      <c r="T171" s="61">
        <f t="shared" ref="T171:U171" si="81">T87</f>
        <v>1.6008683844634186</v>
      </c>
      <c r="U171" s="61">
        <f t="shared" si="81"/>
        <v>2.2391977745794285</v>
      </c>
      <c r="AN171" s="15" t="s">
        <v>72</v>
      </c>
      <c r="AO171" s="28">
        <f>AL166*AO170</f>
        <v>5274.530029999999</v>
      </c>
      <c r="AQ171" s="59" t="s">
        <v>128</v>
      </c>
      <c r="AR171" s="50">
        <f>SUM(AW171,AW174,AW177)</f>
        <v>0.95251779804767667</v>
      </c>
      <c r="AT171" s="16"/>
      <c r="AU171" s="2" t="s">
        <v>40</v>
      </c>
      <c r="AV171" s="61">
        <f>AV87</f>
        <v>0.78086881292968835</v>
      </c>
      <c r="AW171" s="61">
        <f t="shared" ref="AW171:AX171" si="82">AW87</f>
        <v>0.6511163250892873</v>
      </c>
      <c r="AX171" s="61">
        <f t="shared" si="82"/>
        <v>0.91672637869399431</v>
      </c>
      <c r="BN171" s="15" t="s">
        <v>72</v>
      </c>
      <c r="BO171" s="28">
        <f>BL166*BO170</f>
        <v>5274.530029999999</v>
      </c>
      <c r="BQ171" s="59" t="s">
        <v>128</v>
      </c>
      <c r="BR171" s="50">
        <f>SUM(BW171,BW174,BW177)</f>
        <v>0.95251779804767667</v>
      </c>
      <c r="BT171" s="16"/>
      <c r="BU171" s="2" t="s">
        <v>40</v>
      </c>
      <c r="BV171" s="61">
        <f>AV87</f>
        <v>0.78086881292968835</v>
      </c>
      <c r="BW171" s="61">
        <f>AW87</f>
        <v>0.6511163250892873</v>
      </c>
      <c r="BX171" s="61">
        <f>AX87</f>
        <v>0.91672637869399431</v>
      </c>
    </row>
    <row r="172" spans="8:80" x14ac:dyDescent="0.3">
      <c r="K172" s="14"/>
      <c r="L172" s="58"/>
      <c r="N172" s="59" t="s">
        <v>129</v>
      </c>
      <c r="O172" s="50">
        <f>SUM(U171,U174,U177)</f>
        <v>3.1700570548149427</v>
      </c>
      <c r="Q172" s="11"/>
      <c r="R172" s="2"/>
      <c r="AN172" s="14"/>
      <c r="AO172" s="58"/>
      <c r="AQ172" s="59" t="s">
        <v>129</v>
      </c>
      <c r="AR172" s="50">
        <f>SUM(AX171,AX174,AX177)</f>
        <v>1.3199545381061824</v>
      </c>
      <c r="AT172" s="11"/>
      <c r="AU172" s="2"/>
      <c r="BN172" s="14"/>
      <c r="BO172" s="58"/>
      <c r="BQ172" s="59" t="s">
        <v>129</v>
      </c>
      <c r="BR172" s="50">
        <f>SUM(BX171,BX174,BX177)</f>
        <v>1.3199545381061824</v>
      </c>
      <c r="BT172" s="11"/>
      <c r="BU172" s="2"/>
    </row>
    <row r="173" spans="8:80" x14ac:dyDescent="0.3">
      <c r="N173" s="18" t="s">
        <v>42</v>
      </c>
      <c r="O173" s="50">
        <f>SUM(S171,S174,S177)</f>
        <v>2.7633318789944998</v>
      </c>
      <c r="P173" s="10"/>
      <c r="Q173" s="18"/>
      <c r="R173" s="12" t="s">
        <v>7</v>
      </c>
      <c r="S173" s="30">
        <f>$L$171*S174</f>
        <v>3511.6746581612206</v>
      </c>
      <c r="T173" s="30">
        <f>$L$171*T174</f>
        <v>3006.8763175073345</v>
      </c>
      <c r="U173" s="30">
        <f>$L$171*U174</f>
        <v>4018.0382649876756</v>
      </c>
      <c r="AQ173" s="18" t="s">
        <v>42</v>
      </c>
      <c r="AR173" s="50">
        <f>SUM(AV171,AV174,AV177)</f>
        <v>1.1341905893836515</v>
      </c>
      <c r="AS173" s="500"/>
      <c r="AT173" s="18"/>
      <c r="AU173" s="12" t="s">
        <v>7</v>
      </c>
      <c r="AV173" s="30">
        <f>$AO$171*AV174</f>
        <v>1637.9322267338632</v>
      </c>
      <c r="AW173" s="30">
        <f t="shared" ref="AW173:AX173" si="83">$AO$171*AW174</f>
        <v>1402.5870804356666</v>
      </c>
      <c r="AX173" s="30">
        <f t="shared" si="83"/>
        <v>1873.5233525456279</v>
      </c>
      <c r="BQ173" s="18" t="s">
        <v>42</v>
      </c>
      <c r="BR173" s="50">
        <f>SUM(BV171,BV174,BV177)</f>
        <v>1.1341905893836515</v>
      </c>
      <c r="BS173" s="500"/>
      <c r="BT173" s="18"/>
      <c r="BU173" s="12" t="s">
        <v>7</v>
      </c>
      <c r="BV173" s="30">
        <f>$BO$171*BV174</f>
        <v>1637.9322267338632</v>
      </c>
      <c r="BW173" s="30">
        <f>$BO$171*BW174</f>
        <v>1402.5870804356666</v>
      </c>
      <c r="BX173" s="30">
        <f>$BO$171*BX174</f>
        <v>1873.5233525456279</v>
      </c>
    </row>
    <row r="174" spans="8:80" x14ac:dyDescent="0.3">
      <c r="N174" s="2" t="s">
        <v>10</v>
      </c>
      <c r="O174" s="54">
        <f>$L$171*O173</f>
        <v>14575.276978612812</v>
      </c>
      <c r="Q174" s="11"/>
      <c r="R174" s="2" t="s">
        <v>41</v>
      </c>
      <c r="S174" s="61">
        <f>S90</f>
        <v>0.66577963120654016</v>
      </c>
      <c r="T174" s="61">
        <f t="shared" ref="T174:U174" si="84">T90</f>
        <v>0.57007473659360985</v>
      </c>
      <c r="U174" s="61">
        <f t="shared" si="84"/>
        <v>0.76178128518261112</v>
      </c>
      <c r="AQ174" s="2" t="s">
        <v>10</v>
      </c>
      <c r="AR174" s="54">
        <f>$L$171*AR173</f>
        <v>5982.3223234474681</v>
      </c>
      <c r="AT174" s="11"/>
      <c r="AU174" s="2" t="s">
        <v>41</v>
      </c>
      <c r="AV174" s="61">
        <f>AV90</f>
        <v>0.31053614585902045</v>
      </c>
      <c r="AW174" s="61">
        <f t="shared" ref="AW174:AX174" si="85">AW90</f>
        <v>0.26591697695494337</v>
      </c>
      <c r="AX174" s="61">
        <f t="shared" si="85"/>
        <v>0.35520195010542543</v>
      </c>
      <c r="BQ174" s="2" t="s">
        <v>10</v>
      </c>
      <c r="BR174" s="54">
        <f>$L$171*BR173</f>
        <v>5982.3223234474681</v>
      </c>
      <c r="BT174" s="11"/>
      <c r="BU174" s="2" t="s">
        <v>41</v>
      </c>
      <c r="BV174" s="61">
        <f>AV90</f>
        <v>0.31053614585902045</v>
      </c>
      <c r="BW174" s="61">
        <f>AW90</f>
        <v>0.26591697695494337</v>
      </c>
      <c r="BX174" s="61">
        <f>AX90</f>
        <v>0.35520195010542543</v>
      </c>
    </row>
    <row r="175" spans="8:80" x14ac:dyDescent="0.3">
      <c r="N175" s="14" t="s">
        <v>128</v>
      </c>
      <c r="O175" s="28">
        <f>$L$171*O171</f>
        <v>12444.173508459482</v>
      </c>
      <c r="Q175" s="11"/>
      <c r="R175" s="2"/>
      <c r="AQ175" s="14" t="s">
        <v>128</v>
      </c>
      <c r="AR175" s="28">
        <f>$L$171*AR171</f>
        <v>5024.0837299119448</v>
      </c>
      <c r="AT175" s="11"/>
      <c r="AU175" s="2"/>
      <c r="BQ175" s="14" t="s">
        <v>128</v>
      </c>
      <c r="BR175" s="28">
        <f>$L$171*BR171</f>
        <v>5024.0837299119448</v>
      </c>
      <c r="BT175" s="11"/>
      <c r="BU175" s="2"/>
    </row>
    <row r="176" spans="8:80" x14ac:dyDescent="0.3">
      <c r="J176" s="28"/>
      <c r="N176" s="285" t="s">
        <v>129</v>
      </c>
      <c r="O176" s="28">
        <f>$L$171*O172</f>
        <v>16720.561132434766</v>
      </c>
      <c r="Q176" s="18"/>
      <c r="R176" s="12" t="s">
        <v>8</v>
      </c>
      <c r="S176" s="30">
        <f>$L$171*S177</f>
        <v>935.5475508361825</v>
      </c>
      <c r="T176" s="30">
        <f>$L$171*T177</f>
        <v>993.46882302226152</v>
      </c>
      <c r="U176" s="30">
        <f>$L$171*U177</f>
        <v>891.80696231872867</v>
      </c>
      <c r="AM176" s="28"/>
      <c r="AQ176" s="285" t="s">
        <v>129</v>
      </c>
      <c r="AR176" s="28">
        <f>$L$171*AR172</f>
        <v>6962.1398494758369</v>
      </c>
      <c r="AT176" s="18"/>
      <c r="AU176" s="12" t="s">
        <v>8</v>
      </c>
      <c r="AV176" s="30">
        <f>$AO$171*AV177</f>
        <v>225.67409342551264</v>
      </c>
      <c r="AW176" s="30">
        <f t="shared" ref="AW176:AX176" si="86">$AO$171*AW177</f>
        <v>187.16403976959057</v>
      </c>
      <c r="AX176" s="30">
        <f t="shared" si="86"/>
        <v>253.31568321558481</v>
      </c>
      <c r="BM176" s="28"/>
      <c r="BQ176" s="285" t="s">
        <v>129</v>
      </c>
      <c r="BR176" s="28">
        <f>$L$171*BR172</f>
        <v>6962.1398494758369</v>
      </c>
      <c r="BT176" s="18"/>
      <c r="BU176" s="12" t="s">
        <v>8</v>
      </c>
      <c r="BV176" s="30">
        <f>$BO$171*BV177</f>
        <v>225.67409342551264</v>
      </c>
      <c r="BW176" s="30">
        <f>$BO$171*BW177</f>
        <v>187.16403976959057</v>
      </c>
      <c r="BX176" s="30">
        <f>$BO$171*BX177</f>
        <v>253.31568321558481</v>
      </c>
    </row>
    <row r="177" spans="1:78" x14ac:dyDescent="0.3">
      <c r="L177" s="22"/>
      <c r="R177" s="2" t="s">
        <v>40</v>
      </c>
      <c r="S177" s="61">
        <f>S93</f>
        <v>0.17737078858496569</v>
      </c>
      <c r="T177" s="61">
        <f t="shared" ref="T177:U177" si="87">T93</f>
        <v>0.18835210291186108</v>
      </c>
      <c r="U177" s="61">
        <f t="shared" si="87"/>
        <v>0.16907799505290311</v>
      </c>
      <c r="AO177" s="22"/>
      <c r="AU177" s="2" t="s">
        <v>40</v>
      </c>
      <c r="AV177" s="61">
        <f>AV93</f>
        <v>4.2785630594942822E-2</v>
      </c>
      <c r="AW177" s="61">
        <f t="shared" ref="AW177:AX177" si="88">AW93</f>
        <v>3.5484496003445942E-2</v>
      </c>
      <c r="AX177" s="61">
        <f t="shared" si="88"/>
        <v>4.8026209306762609E-2</v>
      </c>
      <c r="BO177" s="22"/>
      <c r="BU177" s="2" t="s">
        <v>40</v>
      </c>
      <c r="BV177" s="61">
        <f>AV93</f>
        <v>4.2785630594942822E-2</v>
      </c>
      <c r="BW177" s="61">
        <f>AW93</f>
        <v>3.5484496003445942E-2</v>
      </c>
      <c r="BX177" s="61">
        <f>AX93</f>
        <v>4.8026209306762609E-2</v>
      </c>
    </row>
    <row r="180" spans="1:78" x14ac:dyDescent="0.3">
      <c r="A180" t="s">
        <v>68</v>
      </c>
      <c r="G180" s="2" t="s">
        <v>11</v>
      </c>
      <c r="H180" s="2" t="s">
        <v>5</v>
      </c>
      <c r="I180" s="21">
        <f>L159+L171</f>
        <v>8507.3064999999988</v>
      </c>
      <c r="K180" s="55" t="s">
        <v>5</v>
      </c>
      <c r="L180" s="56">
        <f>L171+L159</f>
        <v>8507.3064999999988</v>
      </c>
      <c r="R180" s="55" t="s">
        <v>5</v>
      </c>
      <c r="S180" s="56">
        <f>S170+S173+S176</f>
        <v>14575.276978612816</v>
      </c>
      <c r="V180" s="2" t="s">
        <v>5</v>
      </c>
      <c r="W180" s="21">
        <f>W156+W159+W162</f>
        <v>5277.2628381100858</v>
      </c>
      <c r="AD180" t="s">
        <v>68</v>
      </c>
      <c r="AJ180" s="2" t="s">
        <v>11</v>
      </c>
      <c r="AK180" s="2" t="s">
        <v>5</v>
      </c>
      <c r="AL180" s="21">
        <f>AO159+AO171</f>
        <v>8507.3064999999988</v>
      </c>
      <c r="AN180" s="55" t="s">
        <v>5</v>
      </c>
      <c r="AO180" s="56">
        <f>AO171+AO159</f>
        <v>8507.3064999999988</v>
      </c>
      <c r="AU180" s="55" t="s">
        <v>5</v>
      </c>
      <c r="AV180" s="56">
        <f>AV170+AV173+AV176</f>
        <v>5982.3223234474681</v>
      </c>
      <c r="AY180" s="2" t="s">
        <v>5</v>
      </c>
      <c r="AZ180" s="21">
        <f>AZ156+AZ159+AZ162</f>
        <v>1832.8542885371098</v>
      </c>
      <c r="BK180" s="2" t="s">
        <v>5</v>
      </c>
      <c r="BL180" s="21">
        <f>BO159+BO171</f>
        <v>8507.3064999999988</v>
      </c>
      <c r="BN180" s="55" t="s">
        <v>5</v>
      </c>
      <c r="BO180" s="56">
        <f>BO171+BO159</f>
        <v>8507.3064999999988</v>
      </c>
      <c r="BU180" s="55" t="s">
        <v>5</v>
      </c>
      <c r="BV180" s="56">
        <f>BV170+BV173+BV176</f>
        <v>5982.3223234474681</v>
      </c>
      <c r="BY180" s="2" t="s">
        <v>5</v>
      </c>
      <c r="BZ180" s="21">
        <f>BZ156+BZ159+BZ162</f>
        <v>1832.8542885371098</v>
      </c>
    </row>
    <row r="181" spans="1:78" x14ac:dyDescent="0.3">
      <c r="K181" s="28"/>
      <c r="AN181" s="28"/>
    </row>
    <row r="182" spans="1:78" x14ac:dyDescent="0.3">
      <c r="A182" s="425"/>
      <c r="B182" s="425"/>
      <c r="C182" s="425"/>
      <c r="D182" s="425"/>
      <c r="E182" s="425"/>
      <c r="F182" s="425"/>
      <c r="G182" s="425"/>
      <c r="H182" s="425"/>
      <c r="I182" s="425"/>
      <c r="J182" s="425"/>
      <c r="K182" s="425"/>
      <c r="L182" s="425"/>
      <c r="M182" s="425"/>
      <c r="N182" s="425"/>
      <c r="O182" s="425"/>
      <c r="P182" s="425"/>
      <c r="Q182" s="425"/>
      <c r="R182" s="425"/>
      <c r="S182" s="425"/>
      <c r="T182" s="425"/>
      <c r="U182" s="425"/>
      <c r="V182" s="425"/>
      <c r="W182" s="425"/>
      <c r="X182" s="425"/>
      <c r="Y182" s="425"/>
      <c r="Z182" s="438"/>
      <c r="AA182" s="438"/>
      <c r="AD182" s="500"/>
      <c r="AE182" s="500"/>
      <c r="AF182" s="500"/>
      <c r="AG182" s="500"/>
      <c r="AH182" s="500"/>
      <c r="AI182" s="500"/>
      <c r="AJ182" s="500"/>
      <c r="AK182" s="500"/>
      <c r="AL182" s="500"/>
      <c r="AM182" s="500"/>
      <c r="AN182" s="500"/>
      <c r="AO182" s="500"/>
      <c r="AP182" s="500"/>
      <c r="AQ182" s="500"/>
      <c r="AR182" s="500"/>
      <c r="AS182" s="500"/>
      <c r="AT182" s="500"/>
      <c r="AU182" s="500"/>
      <c r="AV182" s="500"/>
      <c r="AW182" s="500"/>
      <c r="AX182" s="500"/>
      <c r="AY182" s="500"/>
      <c r="AZ182" s="500"/>
      <c r="BA182" s="500"/>
      <c r="BB182" s="500"/>
      <c r="BC182" s="500"/>
      <c r="BD182" s="500"/>
    </row>
    <row r="183" spans="1:78" ht="18.600000000000001" thickBot="1" x14ac:dyDescent="0.4">
      <c r="A183" s="13"/>
      <c r="B183" s="13"/>
      <c r="C183" s="13"/>
      <c r="D183" s="13"/>
      <c r="E183" s="13"/>
      <c r="F183" s="13"/>
      <c r="G183" s="13"/>
      <c r="H183" s="13"/>
      <c r="I183" s="13"/>
      <c r="J183" s="13"/>
      <c r="K183" s="239"/>
      <c r="L183" s="13"/>
      <c r="M183" s="13"/>
      <c r="N183" s="13"/>
      <c r="O183" s="13"/>
      <c r="P183" s="13"/>
      <c r="Q183" s="13"/>
      <c r="R183" s="13"/>
      <c r="S183" s="13"/>
      <c r="T183" s="13"/>
      <c r="U183" s="13"/>
      <c r="V183" s="13"/>
      <c r="W183" s="13"/>
      <c r="X183" s="13"/>
      <c r="Y183" s="13"/>
      <c r="Z183" s="13"/>
      <c r="AA183" s="13"/>
      <c r="AD183" s="13"/>
      <c r="AE183" s="13"/>
      <c r="AF183" s="13"/>
      <c r="AG183" s="13"/>
      <c r="AH183" s="13"/>
      <c r="AI183" s="13"/>
      <c r="AJ183" s="13"/>
      <c r="AK183" s="13"/>
      <c r="AL183" s="13"/>
      <c r="AM183" s="13"/>
      <c r="AN183" s="239"/>
      <c r="AO183" s="13"/>
      <c r="AP183" s="13"/>
      <c r="AQ183" s="13"/>
      <c r="AR183" s="13"/>
      <c r="AS183" s="13"/>
      <c r="AT183" s="13"/>
      <c r="AU183" s="13"/>
      <c r="AV183" s="13"/>
      <c r="AW183" s="13"/>
      <c r="AX183" s="13"/>
      <c r="AY183" s="13"/>
      <c r="AZ183" s="13"/>
      <c r="BA183" s="13"/>
      <c r="BB183" s="13"/>
      <c r="BC183" s="13"/>
      <c r="BD183" s="13"/>
    </row>
    <row r="184" spans="1:78" ht="18.600000000000001" thickBot="1" x14ac:dyDescent="0.4">
      <c r="A184" s="485"/>
      <c r="B184" s="485" t="s">
        <v>177</v>
      </c>
      <c r="C184" s="485"/>
      <c r="D184" s="1106"/>
      <c r="E184" s="1106"/>
      <c r="F184" s="1106"/>
      <c r="G184" s="1106"/>
      <c r="H184" s="1106"/>
      <c r="I184" s="1106"/>
      <c r="J184" s="1106"/>
      <c r="K184" s="1106"/>
      <c r="L184" s="1106"/>
      <c r="M184" s="1106"/>
      <c r="N184" s="1106"/>
      <c r="O184" s="1106"/>
      <c r="P184" s="1106"/>
      <c r="Q184" s="1106"/>
      <c r="R184" s="1106"/>
      <c r="S184" s="1106"/>
      <c r="T184" s="1106"/>
      <c r="U184" s="1106"/>
      <c r="V184" s="1106"/>
      <c r="W184" s="1106"/>
      <c r="X184" s="1106"/>
      <c r="Y184" s="1106"/>
      <c r="Z184" s="1106"/>
      <c r="AA184" s="1106"/>
      <c r="AD184" s="682"/>
      <c r="AE184" s="682" t="s">
        <v>177</v>
      </c>
      <c r="AF184" s="682"/>
      <c r="AG184" s="1106"/>
      <c r="AH184" s="1106"/>
      <c r="AI184" s="1106"/>
      <c r="AJ184" s="1106"/>
      <c r="AK184" s="1106"/>
      <c r="AL184" s="1106"/>
      <c r="AM184" s="1106"/>
      <c r="AN184" s="1106"/>
      <c r="AO184" s="1106"/>
      <c r="AP184" s="1106"/>
      <c r="AQ184" s="1106"/>
      <c r="AR184" s="1106"/>
      <c r="AS184" s="1106"/>
      <c r="AT184" s="1106"/>
      <c r="AU184" s="1106"/>
      <c r="AV184" s="1106"/>
      <c r="AW184" s="1106"/>
      <c r="AX184" s="1106"/>
      <c r="AY184" s="1106"/>
      <c r="AZ184" s="1106"/>
      <c r="BA184" s="1106"/>
      <c r="BB184" s="1106"/>
      <c r="BC184" s="1106"/>
      <c r="BD184" s="1106"/>
    </row>
    <row r="185" spans="1:78" x14ac:dyDescent="0.3">
      <c r="A185" s="1120" t="s">
        <v>262</v>
      </c>
      <c r="B185" s="1120"/>
      <c r="C185" s="1120"/>
      <c r="D185" s="1120"/>
      <c r="E185" s="1120"/>
      <c r="F185" s="1120"/>
      <c r="G185" s="1120"/>
      <c r="H185" s="1120"/>
      <c r="I185" s="1120"/>
      <c r="J185" s="1120"/>
      <c r="K185" s="1120"/>
      <c r="L185" s="1120"/>
      <c r="M185" s="1120"/>
      <c r="N185" s="1120"/>
      <c r="O185" s="1120"/>
      <c r="P185" s="1120"/>
      <c r="Q185" s="1120"/>
      <c r="R185" s="1120"/>
      <c r="S185" s="13">
        <f t="shared" ref="S185:AA185" si="89">S3</f>
        <v>0</v>
      </c>
      <c r="T185" s="13">
        <f t="shared" si="89"/>
        <v>0</v>
      </c>
      <c r="U185" s="13">
        <f t="shared" si="89"/>
        <v>0</v>
      </c>
      <c r="V185">
        <f t="shared" si="89"/>
        <v>0</v>
      </c>
      <c r="W185">
        <f t="shared" si="89"/>
        <v>0</v>
      </c>
      <c r="X185">
        <f t="shared" si="89"/>
        <v>0</v>
      </c>
      <c r="Y185">
        <f t="shared" si="89"/>
        <v>0</v>
      </c>
      <c r="Z185">
        <f t="shared" si="89"/>
        <v>0</v>
      </c>
      <c r="AA185">
        <f t="shared" si="89"/>
        <v>0</v>
      </c>
      <c r="AD185" s="1120" t="s">
        <v>262</v>
      </c>
      <c r="AE185" s="1120"/>
      <c r="AF185" s="1120"/>
      <c r="AG185" s="1120"/>
      <c r="AH185" s="1120"/>
      <c r="AI185" s="1120"/>
      <c r="AJ185" s="1120"/>
      <c r="AK185" s="1120"/>
      <c r="AL185" s="1120"/>
      <c r="AM185" s="1120"/>
      <c r="AN185" s="1120"/>
      <c r="AO185" s="1120"/>
      <c r="AP185" s="1120"/>
      <c r="AQ185" s="1120"/>
      <c r="AR185" s="1120"/>
      <c r="AS185" s="1120"/>
      <c r="AT185" s="1120"/>
      <c r="AU185" s="1120"/>
      <c r="AV185" s="13">
        <f t="shared" ref="AV185:BD185" si="90">AV3</f>
        <v>0</v>
      </c>
      <c r="AW185" s="13">
        <f t="shared" si="90"/>
        <v>0</v>
      </c>
      <c r="AX185" s="13">
        <f t="shared" si="90"/>
        <v>0</v>
      </c>
      <c r="AY185">
        <f t="shared" si="90"/>
        <v>0</v>
      </c>
      <c r="AZ185">
        <f t="shared" si="90"/>
        <v>0</v>
      </c>
      <c r="BA185">
        <f t="shared" si="90"/>
        <v>0</v>
      </c>
      <c r="BB185">
        <f t="shared" si="90"/>
        <v>0</v>
      </c>
      <c r="BC185">
        <f t="shared" si="90"/>
        <v>0</v>
      </c>
      <c r="BD185">
        <f t="shared" si="90"/>
        <v>0</v>
      </c>
    </row>
    <row r="186" spans="1:78" x14ac:dyDescent="0.3">
      <c r="A186" t="str">
        <f t="shared" ref="A186:AA186" si="91">A4</f>
        <v>sum check row</v>
      </c>
      <c r="B186">
        <f t="shared" si="91"/>
        <v>0</v>
      </c>
      <c r="C186">
        <f t="shared" si="91"/>
        <v>0</v>
      </c>
      <c r="D186">
        <f t="shared" si="91"/>
        <v>0</v>
      </c>
      <c r="E186">
        <f t="shared" si="91"/>
        <v>0</v>
      </c>
      <c r="F186">
        <f t="shared" si="91"/>
        <v>0</v>
      </c>
      <c r="G186">
        <f t="shared" si="91"/>
        <v>0</v>
      </c>
      <c r="H186" s="13">
        <f t="shared" si="91"/>
        <v>0</v>
      </c>
      <c r="I186" s="13">
        <f t="shared" si="91"/>
        <v>0</v>
      </c>
      <c r="J186" s="13">
        <f t="shared" si="91"/>
        <v>0</v>
      </c>
      <c r="K186" s="13">
        <f t="shared" si="91"/>
        <v>0</v>
      </c>
      <c r="L186" s="13">
        <f t="shared" si="91"/>
        <v>0</v>
      </c>
      <c r="M186" t="str">
        <f t="shared" si="91"/>
        <v>sum check</v>
      </c>
      <c r="N186" s="8">
        <f t="shared" si="91"/>
        <v>1004972.4610476634</v>
      </c>
      <c r="O186" s="13">
        <f t="shared" si="91"/>
        <v>0</v>
      </c>
      <c r="P186" s="13">
        <f t="shared" si="91"/>
        <v>0</v>
      </c>
      <c r="Q186">
        <f t="shared" si="91"/>
        <v>0</v>
      </c>
      <c r="R186" t="str">
        <f t="shared" si="91"/>
        <v>sum check</v>
      </c>
      <c r="S186" s="8">
        <f t="shared" si="91"/>
        <v>149519.46964704155</v>
      </c>
      <c r="T186" s="8">
        <f t="shared" si="91"/>
        <v>0</v>
      </c>
      <c r="U186" s="102">
        <f t="shared" si="91"/>
        <v>0</v>
      </c>
      <c r="V186" s="103">
        <f t="shared" si="91"/>
        <v>0</v>
      </c>
      <c r="W186" t="str">
        <f t="shared" si="91"/>
        <v>sum check</v>
      </c>
      <c r="X186" s="8">
        <f t="shared" si="91"/>
        <v>59902.525189236017</v>
      </c>
      <c r="Y186" s="102">
        <f t="shared" si="91"/>
        <v>0</v>
      </c>
      <c r="Z186" s="28">
        <f t="shared" si="91"/>
        <v>0</v>
      </c>
      <c r="AA186" s="19">
        <f t="shared" si="91"/>
        <v>0</v>
      </c>
      <c r="AD186" t="str">
        <f t="shared" ref="AD186:BD186" si="92">AD4</f>
        <v>sum check row</v>
      </c>
      <c r="AE186">
        <f t="shared" si="92"/>
        <v>0</v>
      </c>
      <c r="AF186">
        <f t="shared" si="92"/>
        <v>0</v>
      </c>
      <c r="AG186">
        <f t="shared" si="92"/>
        <v>0</v>
      </c>
      <c r="AH186">
        <f t="shared" si="92"/>
        <v>0</v>
      </c>
      <c r="AI186">
        <f t="shared" si="92"/>
        <v>0</v>
      </c>
      <c r="AJ186">
        <f t="shared" si="92"/>
        <v>0</v>
      </c>
      <c r="AK186" s="13">
        <f t="shared" si="92"/>
        <v>0</v>
      </c>
      <c r="AL186" s="13">
        <f t="shared" si="92"/>
        <v>0</v>
      </c>
      <c r="AM186" s="13">
        <f t="shared" si="92"/>
        <v>0</v>
      </c>
      <c r="AN186" s="13">
        <f t="shared" si="92"/>
        <v>0</v>
      </c>
      <c r="AO186" s="13">
        <f t="shared" si="92"/>
        <v>0</v>
      </c>
      <c r="AP186" t="str">
        <f t="shared" si="92"/>
        <v>sum check</v>
      </c>
      <c r="AQ186" s="8">
        <f t="shared" si="92"/>
        <v>1004972.4610476634</v>
      </c>
      <c r="AR186" s="13">
        <f t="shared" si="92"/>
        <v>0</v>
      </c>
      <c r="AS186" s="13">
        <f t="shared" si="92"/>
        <v>0</v>
      </c>
      <c r="AT186">
        <f t="shared" si="92"/>
        <v>0</v>
      </c>
      <c r="AU186" t="str">
        <f t="shared" si="92"/>
        <v>sum check</v>
      </c>
      <c r="AV186" s="8">
        <f t="shared" si="92"/>
        <v>61369.239320257082</v>
      </c>
      <c r="AW186" s="8">
        <f t="shared" si="92"/>
        <v>0</v>
      </c>
      <c r="AX186" s="102">
        <f t="shared" si="92"/>
        <v>0</v>
      </c>
      <c r="AY186" s="103">
        <f t="shared" si="92"/>
        <v>0</v>
      </c>
      <c r="AZ186" t="str">
        <f t="shared" si="92"/>
        <v>sum check</v>
      </c>
      <c r="BA186" s="8">
        <f t="shared" si="92"/>
        <v>13595.952959369357</v>
      </c>
      <c r="BB186" s="102">
        <f t="shared" si="92"/>
        <v>0</v>
      </c>
      <c r="BC186" s="28">
        <f t="shared" si="92"/>
        <v>0</v>
      </c>
      <c r="BD186" s="19">
        <f t="shared" si="92"/>
        <v>0</v>
      </c>
    </row>
    <row r="187" spans="1:78" x14ac:dyDescent="0.3">
      <c r="A187">
        <f t="shared" ref="A187:AA187" si="93">A5</f>
        <v>0</v>
      </c>
      <c r="B187">
        <f t="shared" si="93"/>
        <v>0</v>
      </c>
      <c r="C187">
        <f t="shared" si="93"/>
        <v>0</v>
      </c>
      <c r="D187">
        <f t="shared" si="93"/>
        <v>0</v>
      </c>
      <c r="E187">
        <f t="shared" si="93"/>
        <v>0</v>
      </c>
      <c r="F187">
        <f t="shared" si="93"/>
        <v>0</v>
      </c>
      <c r="G187">
        <f t="shared" si="93"/>
        <v>0</v>
      </c>
      <c r="H187">
        <f t="shared" si="93"/>
        <v>0</v>
      </c>
      <c r="I187">
        <f t="shared" si="93"/>
        <v>0</v>
      </c>
      <c r="J187">
        <f t="shared" si="93"/>
        <v>0</v>
      </c>
      <c r="K187">
        <f t="shared" si="93"/>
        <v>0</v>
      </c>
      <c r="L187">
        <f t="shared" si="93"/>
        <v>0</v>
      </c>
      <c r="M187">
        <f t="shared" si="93"/>
        <v>0</v>
      </c>
      <c r="N187">
        <f t="shared" si="93"/>
        <v>0</v>
      </c>
      <c r="O187">
        <f t="shared" si="93"/>
        <v>0</v>
      </c>
      <c r="P187">
        <f t="shared" si="93"/>
        <v>0</v>
      </c>
      <c r="Q187">
        <f t="shared" si="93"/>
        <v>0</v>
      </c>
      <c r="R187">
        <f t="shared" si="93"/>
        <v>0</v>
      </c>
      <c r="S187">
        <f t="shared" si="93"/>
        <v>0</v>
      </c>
      <c r="T187">
        <f t="shared" si="93"/>
        <v>0</v>
      </c>
      <c r="U187">
        <f t="shared" si="93"/>
        <v>0</v>
      </c>
      <c r="V187">
        <f t="shared" si="93"/>
        <v>0</v>
      </c>
      <c r="W187">
        <f t="shared" si="93"/>
        <v>0</v>
      </c>
      <c r="X187">
        <f t="shared" si="93"/>
        <v>0</v>
      </c>
      <c r="Y187" s="1117" t="s">
        <v>181</v>
      </c>
      <c r="Z187" s="1117"/>
      <c r="AA187">
        <f t="shared" si="93"/>
        <v>0</v>
      </c>
      <c r="AD187">
        <f t="shared" ref="AD187:BA187" si="94">AD5</f>
        <v>0</v>
      </c>
      <c r="AE187">
        <f t="shared" si="94"/>
        <v>0</v>
      </c>
      <c r="AF187">
        <f t="shared" si="94"/>
        <v>0</v>
      </c>
      <c r="AG187">
        <f t="shared" si="94"/>
        <v>0</v>
      </c>
      <c r="AH187">
        <f t="shared" si="94"/>
        <v>0</v>
      </c>
      <c r="AI187">
        <f t="shared" si="94"/>
        <v>0</v>
      </c>
      <c r="AJ187">
        <f t="shared" si="94"/>
        <v>0</v>
      </c>
      <c r="AK187">
        <f t="shared" si="94"/>
        <v>0</v>
      </c>
      <c r="AL187">
        <f t="shared" si="94"/>
        <v>0</v>
      </c>
      <c r="AM187">
        <f t="shared" si="94"/>
        <v>0</v>
      </c>
      <c r="AN187">
        <f t="shared" si="94"/>
        <v>0</v>
      </c>
      <c r="AO187">
        <f t="shared" si="94"/>
        <v>0</v>
      </c>
      <c r="AP187">
        <f t="shared" si="94"/>
        <v>0</v>
      </c>
      <c r="AQ187">
        <f t="shared" si="94"/>
        <v>0</v>
      </c>
      <c r="AR187">
        <f t="shared" si="94"/>
        <v>0</v>
      </c>
      <c r="AS187">
        <f t="shared" si="94"/>
        <v>0</v>
      </c>
      <c r="AT187">
        <f t="shared" si="94"/>
        <v>0</v>
      </c>
      <c r="AU187">
        <f t="shared" si="94"/>
        <v>0</v>
      </c>
      <c r="AV187">
        <f t="shared" si="94"/>
        <v>0</v>
      </c>
      <c r="AW187">
        <f t="shared" si="94"/>
        <v>0</v>
      </c>
      <c r="AX187">
        <f t="shared" si="94"/>
        <v>0</v>
      </c>
      <c r="AY187">
        <f t="shared" si="94"/>
        <v>0</v>
      </c>
      <c r="AZ187">
        <f t="shared" si="94"/>
        <v>0</v>
      </c>
      <c r="BA187">
        <f t="shared" si="94"/>
        <v>0</v>
      </c>
      <c r="BB187" s="1117" t="s">
        <v>181</v>
      </c>
      <c r="BC187" s="1117"/>
      <c r="BD187">
        <f t="shared" ref="BD187" si="95">BD5</f>
        <v>0</v>
      </c>
    </row>
    <row r="188" spans="1:78" x14ac:dyDescent="0.3">
      <c r="A188">
        <f t="shared" ref="A188:AA188" si="96">A6</f>
        <v>0</v>
      </c>
      <c r="B188">
        <f t="shared" si="96"/>
        <v>0</v>
      </c>
      <c r="C188">
        <f t="shared" si="96"/>
        <v>0</v>
      </c>
      <c r="D188">
        <f t="shared" si="96"/>
        <v>0</v>
      </c>
      <c r="E188">
        <f t="shared" si="96"/>
        <v>0</v>
      </c>
      <c r="F188">
        <f t="shared" si="96"/>
        <v>0</v>
      </c>
      <c r="G188">
        <f t="shared" si="96"/>
        <v>0</v>
      </c>
      <c r="H188" s="13">
        <f t="shared" si="96"/>
        <v>0</v>
      </c>
      <c r="I188" s="13">
        <f t="shared" si="96"/>
        <v>0</v>
      </c>
      <c r="J188" s="13">
        <f t="shared" si="96"/>
        <v>0</v>
      </c>
      <c r="K188" s="13">
        <f t="shared" si="96"/>
        <v>0</v>
      </c>
      <c r="L188" s="13">
        <f t="shared" si="96"/>
        <v>0</v>
      </c>
      <c r="M188" s="13">
        <f t="shared" si="96"/>
        <v>0</v>
      </c>
      <c r="N188" s="13">
        <f t="shared" si="96"/>
        <v>0</v>
      </c>
      <c r="O188" s="13">
        <f t="shared" si="96"/>
        <v>0</v>
      </c>
      <c r="P188" s="13">
        <f t="shared" si="96"/>
        <v>0</v>
      </c>
      <c r="Q188">
        <f t="shared" si="96"/>
        <v>0</v>
      </c>
      <c r="R188">
        <f t="shared" si="96"/>
        <v>0</v>
      </c>
      <c r="S188">
        <f t="shared" si="96"/>
        <v>0</v>
      </c>
      <c r="T188">
        <f t="shared" si="96"/>
        <v>0</v>
      </c>
      <c r="U188">
        <f t="shared" si="96"/>
        <v>0</v>
      </c>
      <c r="V188">
        <f t="shared" si="96"/>
        <v>0</v>
      </c>
      <c r="W188">
        <f t="shared" si="96"/>
        <v>0</v>
      </c>
      <c r="X188" s="437" t="str">
        <f t="shared" si="96"/>
        <v>base</v>
      </c>
      <c r="Y188" s="437" t="str">
        <f t="shared" si="96"/>
        <v>low</v>
      </c>
      <c r="Z188" s="437" t="str">
        <f t="shared" si="96"/>
        <v>high</v>
      </c>
      <c r="AA188">
        <f t="shared" si="96"/>
        <v>0</v>
      </c>
      <c r="AD188">
        <f t="shared" ref="AD188:BD188" si="97">AD6</f>
        <v>0</v>
      </c>
      <c r="AE188">
        <f t="shared" si="97"/>
        <v>0</v>
      </c>
      <c r="AF188">
        <f t="shared" si="97"/>
        <v>0</v>
      </c>
      <c r="AG188">
        <f t="shared" si="97"/>
        <v>0</v>
      </c>
      <c r="AH188">
        <f t="shared" si="97"/>
        <v>0</v>
      </c>
      <c r="AI188">
        <f t="shared" si="97"/>
        <v>0</v>
      </c>
      <c r="AJ188">
        <f t="shared" si="97"/>
        <v>0</v>
      </c>
      <c r="AK188" s="13">
        <f t="shared" si="97"/>
        <v>0</v>
      </c>
      <c r="AL188" s="13">
        <f t="shared" si="97"/>
        <v>0</v>
      </c>
      <c r="AM188" s="13">
        <f t="shared" si="97"/>
        <v>0</v>
      </c>
      <c r="AN188" s="13">
        <f t="shared" si="97"/>
        <v>0</v>
      </c>
      <c r="AO188" s="13">
        <f t="shared" si="97"/>
        <v>0</v>
      </c>
      <c r="AP188" s="13">
        <f t="shared" si="97"/>
        <v>0</v>
      </c>
      <c r="AQ188" s="13">
        <f t="shared" si="97"/>
        <v>0</v>
      </c>
      <c r="AR188" s="13">
        <f t="shared" si="97"/>
        <v>0</v>
      </c>
      <c r="AS188" s="13">
        <f t="shared" si="97"/>
        <v>0</v>
      </c>
      <c r="AT188">
        <f t="shared" si="97"/>
        <v>0</v>
      </c>
      <c r="AU188">
        <f t="shared" si="97"/>
        <v>0</v>
      </c>
      <c r="AV188">
        <f t="shared" si="97"/>
        <v>0</v>
      </c>
      <c r="AW188">
        <f t="shared" si="97"/>
        <v>0</v>
      </c>
      <c r="AX188">
        <f t="shared" si="97"/>
        <v>0</v>
      </c>
      <c r="AY188">
        <f t="shared" si="97"/>
        <v>0</v>
      </c>
      <c r="AZ188">
        <f t="shared" si="97"/>
        <v>0</v>
      </c>
      <c r="BA188" s="684" t="str">
        <f t="shared" si="97"/>
        <v>base</v>
      </c>
      <c r="BB188" s="684" t="str">
        <f t="shared" si="97"/>
        <v>low</v>
      </c>
      <c r="BC188" s="684" t="str">
        <f t="shared" si="97"/>
        <v>high</v>
      </c>
      <c r="BD188">
        <f t="shared" si="97"/>
        <v>0</v>
      </c>
    </row>
    <row r="189" spans="1:78" x14ac:dyDescent="0.3">
      <c r="A189">
        <f t="shared" ref="A189:AA189" si="98">A7</f>
        <v>0</v>
      </c>
      <c r="B189">
        <f t="shared" si="98"/>
        <v>0</v>
      </c>
      <c r="C189">
        <f t="shared" si="98"/>
        <v>0</v>
      </c>
      <c r="D189">
        <f t="shared" si="98"/>
        <v>0</v>
      </c>
      <c r="E189">
        <f t="shared" si="98"/>
        <v>0</v>
      </c>
      <c r="F189">
        <f t="shared" si="98"/>
        <v>0</v>
      </c>
      <c r="G189">
        <f t="shared" si="98"/>
        <v>0</v>
      </c>
      <c r="H189" s="13">
        <f t="shared" si="98"/>
        <v>0</v>
      </c>
      <c r="I189" s="13">
        <f t="shared" si="98"/>
        <v>0</v>
      </c>
      <c r="J189" s="13">
        <f t="shared" si="98"/>
        <v>0</v>
      </c>
      <c r="K189" s="13">
        <f t="shared" si="98"/>
        <v>0</v>
      </c>
      <c r="L189" s="13">
        <f t="shared" si="98"/>
        <v>0</v>
      </c>
      <c r="M189" s="13">
        <f t="shared" si="98"/>
        <v>0</v>
      </c>
      <c r="N189" s="13">
        <f t="shared" si="98"/>
        <v>0</v>
      </c>
      <c r="O189" s="13">
        <f t="shared" si="98"/>
        <v>0</v>
      </c>
      <c r="P189" s="13">
        <f t="shared" si="98"/>
        <v>0</v>
      </c>
      <c r="Q189">
        <f t="shared" si="98"/>
        <v>0</v>
      </c>
      <c r="R189">
        <f t="shared" si="98"/>
        <v>0</v>
      </c>
      <c r="S189">
        <f t="shared" si="98"/>
        <v>0</v>
      </c>
      <c r="T189">
        <f t="shared" si="98"/>
        <v>0</v>
      </c>
      <c r="W189" s="2" t="str">
        <f t="shared" si="98"/>
        <v>Outpatient visits prevented</v>
      </c>
      <c r="X189" s="33">
        <f t="shared" si="98"/>
        <v>40729.023493014349</v>
      </c>
      <c r="Y189" s="33">
        <f>N196*Y190</f>
        <v>37092.503538280922</v>
      </c>
      <c r="Z189" s="33">
        <f>N197*Z190</f>
        <v>44365.543447747783</v>
      </c>
      <c r="AA189">
        <f t="shared" si="98"/>
        <v>0</v>
      </c>
      <c r="AD189">
        <f t="shared" ref="AD189:AW189" si="99">AD7</f>
        <v>0</v>
      </c>
      <c r="AE189">
        <f t="shared" si="99"/>
        <v>0</v>
      </c>
      <c r="AF189">
        <f t="shared" si="99"/>
        <v>0</v>
      </c>
      <c r="AG189">
        <f t="shared" si="99"/>
        <v>0</v>
      </c>
      <c r="AH189">
        <f t="shared" si="99"/>
        <v>0</v>
      </c>
      <c r="AI189">
        <f t="shared" si="99"/>
        <v>0</v>
      </c>
      <c r="AJ189">
        <f t="shared" si="99"/>
        <v>0</v>
      </c>
      <c r="AK189" s="13">
        <f t="shared" si="99"/>
        <v>0</v>
      </c>
      <c r="AL189" s="13">
        <f t="shared" si="99"/>
        <v>0</v>
      </c>
      <c r="AM189" s="13">
        <f t="shared" si="99"/>
        <v>0</v>
      </c>
      <c r="AN189" s="13">
        <f t="shared" si="99"/>
        <v>0</v>
      </c>
      <c r="AO189" s="13">
        <f t="shared" si="99"/>
        <v>0</v>
      </c>
      <c r="AP189" s="13">
        <f t="shared" si="99"/>
        <v>0</v>
      </c>
      <c r="AQ189" s="13">
        <f t="shared" si="99"/>
        <v>0</v>
      </c>
      <c r="AR189" s="13">
        <f t="shared" si="99"/>
        <v>0</v>
      </c>
      <c r="AS189" s="13">
        <f t="shared" si="99"/>
        <v>0</v>
      </c>
      <c r="AT189">
        <f t="shared" si="99"/>
        <v>0</v>
      </c>
      <c r="AU189">
        <f t="shared" si="99"/>
        <v>0</v>
      </c>
      <c r="AV189">
        <f t="shared" si="99"/>
        <v>0</v>
      </c>
      <c r="AW189">
        <f t="shared" si="99"/>
        <v>0</v>
      </c>
      <c r="AZ189" s="2" t="str">
        <f t="shared" ref="AZ189:BA189" si="100">AZ7</f>
        <v>Outpatient visits prevented</v>
      </c>
      <c r="BA189" s="33">
        <f t="shared" si="100"/>
        <v>9021.4889392231726</v>
      </c>
      <c r="BB189" s="33">
        <f>AQ196*BB190</f>
        <v>8215.9988553639614</v>
      </c>
      <c r="BC189" s="33">
        <f>AQ197*BC190</f>
        <v>9826.9790230823874</v>
      </c>
      <c r="BD189">
        <f t="shared" ref="BD189" si="101">BD7</f>
        <v>0</v>
      </c>
    </row>
    <row r="190" spans="1:78" x14ac:dyDescent="0.3">
      <c r="A190">
        <f t="shared" ref="A190:AA190" si="102">A8</f>
        <v>0</v>
      </c>
      <c r="B190">
        <f t="shared" si="102"/>
        <v>0</v>
      </c>
      <c r="C190">
        <f t="shared" si="102"/>
        <v>0</v>
      </c>
      <c r="D190">
        <f t="shared" si="102"/>
        <v>0</v>
      </c>
      <c r="E190">
        <f t="shared" si="102"/>
        <v>0</v>
      </c>
      <c r="F190">
        <f t="shared" si="102"/>
        <v>0</v>
      </c>
      <c r="G190">
        <f t="shared" si="102"/>
        <v>0</v>
      </c>
      <c r="H190" s="13">
        <f t="shared" si="102"/>
        <v>0</v>
      </c>
      <c r="I190" s="13">
        <f t="shared" si="102"/>
        <v>0</v>
      </c>
      <c r="J190" s="13">
        <f t="shared" si="102"/>
        <v>0</v>
      </c>
      <c r="K190" s="13">
        <f t="shared" si="102"/>
        <v>0</v>
      </c>
      <c r="L190" s="13">
        <f t="shared" si="102"/>
        <v>0</v>
      </c>
      <c r="M190" s="13">
        <f t="shared" si="102"/>
        <v>0</v>
      </c>
      <c r="N190" s="13">
        <f t="shared" si="102"/>
        <v>0</v>
      </c>
      <c r="O190" s="13">
        <f t="shared" si="102"/>
        <v>0</v>
      </c>
      <c r="P190" s="13">
        <f t="shared" si="102"/>
        <v>0</v>
      </c>
      <c r="Q190">
        <f t="shared" si="102"/>
        <v>0</v>
      </c>
      <c r="R190" s="2" t="s">
        <v>263</v>
      </c>
      <c r="S190" s="28">
        <f>N196*S194</f>
        <v>54554.085440197094</v>
      </c>
      <c r="T190">
        <f t="shared" si="102"/>
        <v>0</v>
      </c>
      <c r="U190" s="16">
        <f t="shared" si="102"/>
        <v>0</v>
      </c>
      <c r="V190" s="17">
        <f t="shared" si="102"/>
        <v>0</v>
      </c>
      <c r="W190" s="15" t="str">
        <f t="shared" si="102"/>
        <v>p11c</v>
      </c>
      <c r="X190" s="61">
        <f>$X$8</f>
        <v>5.0659377584529985E-2</v>
      </c>
      <c r="Y190" s="61">
        <f t="shared" ref="Y190:Z190" si="103">$X$8</f>
        <v>5.0659377584529985E-2</v>
      </c>
      <c r="Z190" s="61">
        <f t="shared" si="103"/>
        <v>5.0659377584529985E-2</v>
      </c>
      <c r="AA190">
        <f t="shared" si="102"/>
        <v>0</v>
      </c>
      <c r="AD190">
        <f t="shared" ref="AD190:AT190" si="104">AD8</f>
        <v>0</v>
      </c>
      <c r="AE190">
        <f t="shared" si="104"/>
        <v>0</v>
      </c>
      <c r="AF190">
        <f t="shared" si="104"/>
        <v>0</v>
      </c>
      <c r="AG190">
        <f t="shared" si="104"/>
        <v>0</v>
      </c>
      <c r="AH190">
        <f t="shared" si="104"/>
        <v>0</v>
      </c>
      <c r="AI190">
        <f t="shared" si="104"/>
        <v>0</v>
      </c>
      <c r="AJ190">
        <f t="shared" si="104"/>
        <v>0</v>
      </c>
      <c r="AK190" s="13">
        <f t="shared" si="104"/>
        <v>0</v>
      </c>
      <c r="AL190" s="13">
        <f t="shared" si="104"/>
        <v>0</v>
      </c>
      <c r="AM190" s="13">
        <f t="shared" si="104"/>
        <v>0</v>
      </c>
      <c r="AN190" s="13">
        <f t="shared" si="104"/>
        <v>0</v>
      </c>
      <c r="AO190" s="13">
        <f t="shared" si="104"/>
        <v>0</v>
      </c>
      <c r="AP190" s="13">
        <f t="shared" si="104"/>
        <v>0</v>
      </c>
      <c r="AQ190" s="13">
        <f t="shared" si="104"/>
        <v>0</v>
      </c>
      <c r="AR190" s="13">
        <f t="shared" si="104"/>
        <v>0</v>
      </c>
      <c r="AS190" s="13">
        <f t="shared" si="104"/>
        <v>0</v>
      </c>
      <c r="AT190">
        <f t="shared" si="104"/>
        <v>0</v>
      </c>
      <c r="AU190" s="2" t="s">
        <v>263</v>
      </c>
      <c r="AV190" s="28">
        <f>AQ196*AV194</f>
        <v>54554.085440197094</v>
      </c>
      <c r="AW190">
        <f t="shared" ref="AW190:AZ190" si="105">AW8</f>
        <v>0</v>
      </c>
      <c r="AX190" s="16">
        <f t="shared" si="105"/>
        <v>0</v>
      </c>
      <c r="AY190" s="17">
        <f t="shared" si="105"/>
        <v>0</v>
      </c>
      <c r="AZ190" s="15" t="str">
        <f t="shared" si="105"/>
        <v>p11c</v>
      </c>
      <c r="BA190" s="61">
        <f>BA8</f>
        <v>1.1221064866069132E-2</v>
      </c>
      <c r="BB190" s="61">
        <f>BA190</f>
        <v>1.1221064866069132E-2</v>
      </c>
      <c r="BC190" s="61">
        <f>BA190</f>
        <v>1.1221064866069132E-2</v>
      </c>
      <c r="BD190">
        <f t="shared" ref="BD190" si="106">BD8</f>
        <v>0</v>
      </c>
    </row>
    <row r="191" spans="1:78" x14ac:dyDescent="0.3">
      <c r="A191">
        <f t="shared" ref="A191:AA191" si="107">A9</f>
        <v>0</v>
      </c>
      <c r="B191">
        <f t="shared" si="107"/>
        <v>0</v>
      </c>
      <c r="C191">
        <f t="shared" si="107"/>
        <v>0</v>
      </c>
      <c r="D191">
        <f t="shared" si="107"/>
        <v>0</v>
      </c>
      <c r="E191">
        <f t="shared" si="107"/>
        <v>0</v>
      </c>
      <c r="F191">
        <f t="shared" si="107"/>
        <v>0</v>
      </c>
      <c r="G191">
        <f t="shared" si="107"/>
        <v>0</v>
      </c>
      <c r="H191" s="13">
        <f t="shared" si="107"/>
        <v>0</v>
      </c>
      <c r="I191" s="13">
        <f t="shared" si="107"/>
        <v>0</v>
      </c>
      <c r="J191" s="13">
        <f t="shared" si="107"/>
        <v>0</v>
      </c>
      <c r="K191" s="13">
        <f t="shared" si="107"/>
        <v>0</v>
      </c>
      <c r="L191" s="13">
        <f t="shared" si="107"/>
        <v>0</v>
      </c>
      <c r="M191" s="13">
        <f t="shared" si="107"/>
        <v>0</v>
      </c>
      <c r="N191" s="13">
        <f t="shared" si="107"/>
        <v>0</v>
      </c>
      <c r="O191" s="13">
        <f t="shared" si="107"/>
        <v>0</v>
      </c>
      <c r="P191" s="13">
        <f t="shared" si="107"/>
        <v>0</v>
      </c>
      <c r="Q191">
        <f t="shared" si="107"/>
        <v>0</v>
      </c>
      <c r="R191" s="2" t="s">
        <v>264</v>
      </c>
      <c r="S191" s="28">
        <f>N197*S195</f>
        <v>65250.96493827497</v>
      </c>
      <c r="T191">
        <f t="shared" si="107"/>
        <v>0</v>
      </c>
      <c r="U191" s="11">
        <f t="shared" si="107"/>
        <v>0</v>
      </c>
      <c r="V191" s="13">
        <f t="shared" si="107"/>
        <v>0</v>
      </c>
      <c r="W191" s="2">
        <f t="shared" si="107"/>
        <v>0</v>
      </c>
      <c r="X191">
        <f t="shared" si="107"/>
        <v>0</v>
      </c>
      <c r="Y191">
        <f t="shared" si="107"/>
        <v>0</v>
      </c>
      <c r="Z191">
        <f t="shared" si="107"/>
        <v>0</v>
      </c>
      <c r="AA191">
        <f t="shared" si="107"/>
        <v>0</v>
      </c>
      <c r="AD191">
        <f t="shared" ref="AD191:AT191" si="108">AD9</f>
        <v>0</v>
      </c>
      <c r="AE191">
        <f t="shared" si="108"/>
        <v>0</v>
      </c>
      <c r="AF191">
        <f t="shared" si="108"/>
        <v>0</v>
      </c>
      <c r="AG191">
        <f t="shared" si="108"/>
        <v>0</v>
      </c>
      <c r="AH191">
        <f t="shared" si="108"/>
        <v>0</v>
      </c>
      <c r="AI191">
        <f t="shared" si="108"/>
        <v>0</v>
      </c>
      <c r="AJ191">
        <f t="shared" si="108"/>
        <v>0</v>
      </c>
      <c r="AK191" s="13">
        <f t="shared" si="108"/>
        <v>0</v>
      </c>
      <c r="AL191" s="13">
        <f t="shared" si="108"/>
        <v>0</v>
      </c>
      <c r="AM191" s="13">
        <f t="shared" si="108"/>
        <v>0</v>
      </c>
      <c r="AN191" s="13">
        <f t="shared" si="108"/>
        <v>0</v>
      </c>
      <c r="AO191" s="13">
        <f t="shared" si="108"/>
        <v>0</v>
      </c>
      <c r="AP191" s="13">
        <f t="shared" si="108"/>
        <v>0</v>
      </c>
      <c r="AQ191" s="13">
        <f t="shared" si="108"/>
        <v>0</v>
      </c>
      <c r="AR191" s="13">
        <f t="shared" si="108"/>
        <v>0</v>
      </c>
      <c r="AS191" s="13">
        <f t="shared" si="108"/>
        <v>0</v>
      </c>
      <c r="AT191">
        <f t="shared" si="108"/>
        <v>0</v>
      </c>
      <c r="AU191" s="2" t="s">
        <v>264</v>
      </c>
      <c r="AV191" s="28">
        <f>AQ197*AV195</f>
        <v>65250.96493827497</v>
      </c>
      <c r="AW191">
        <f t="shared" ref="AW191:BD191" si="109">AW9</f>
        <v>0</v>
      </c>
      <c r="AX191" s="11">
        <f t="shared" si="109"/>
        <v>0</v>
      </c>
      <c r="AY191" s="13">
        <f t="shared" si="109"/>
        <v>0</v>
      </c>
      <c r="AZ191" s="2">
        <f t="shared" si="109"/>
        <v>0</v>
      </c>
      <c r="BA191">
        <f t="shared" si="109"/>
        <v>0</v>
      </c>
      <c r="BB191">
        <f t="shared" si="109"/>
        <v>0</v>
      </c>
      <c r="BC191">
        <f t="shared" si="109"/>
        <v>0</v>
      </c>
      <c r="BD191">
        <f t="shared" si="109"/>
        <v>0</v>
      </c>
    </row>
    <row r="192" spans="1:78" x14ac:dyDescent="0.3">
      <c r="A192">
        <f t="shared" ref="A192:AA192" si="110">A10</f>
        <v>0</v>
      </c>
      <c r="B192">
        <f t="shared" si="110"/>
        <v>0</v>
      </c>
      <c r="C192">
        <f t="shared" si="110"/>
        <v>0</v>
      </c>
      <c r="D192">
        <f t="shared" si="110"/>
        <v>0</v>
      </c>
      <c r="E192">
        <f t="shared" si="110"/>
        <v>0</v>
      </c>
      <c r="F192">
        <f t="shared" si="110"/>
        <v>0</v>
      </c>
      <c r="G192">
        <f t="shared" si="110"/>
        <v>0</v>
      </c>
      <c r="H192" s="13"/>
      <c r="I192" s="13"/>
      <c r="J192" s="13"/>
      <c r="K192" s="13"/>
      <c r="L192" s="13"/>
      <c r="M192" s="13"/>
      <c r="N192" s="13"/>
      <c r="O192" s="13"/>
      <c r="P192" s="13"/>
      <c r="R192" s="12" t="s">
        <v>289</v>
      </c>
      <c r="S192" s="90">
        <f t="shared" si="110"/>
        <v>59902.525189236017</v>
      </c>
      <c r="T192" s="90">
        <f t="shared" si="110"/>
        <v>0</v>
      </c>
      <c r="U192" s="18">
        <f t="shared" si="110"/>
        <v>0</v>
      </c>
      <c r="V192" s="438"/>
      <c r="W192" s="12" t="str">
        <f t="shared" si="110"/>
        <v>ED visits prevented</v>
      </c>
      <c r="X192" s="33">
        <f t="shared" si="110"/>
        <v>12540.653399583756</v>
      </c>
      <c r="Y192" s="33">
        <f>N196*Y193</f>
        <v>11420.95220319235</v>
      </c>
      <c r="Z192" s="33">
        <f>N197*Z193</f>
        <v>13660.354595975166</v>
      </c>
      <c r="AA192" s="13">
        <f t="shared" si="110"/>
        <v>0</v>
      </c>
      <c r="AD192">
        <f t="shared" ref="AD192:AJ192" si="111">AD10</f>
        <v>0</v>
      </c>
      <c r="AE192">
        <f t="shared" si="111"/>
        <v>0</v>
      </c>
      <c r="AF192">
        <f t="shared" si="111"/>
        <v>0</v>
      </c>
      <c r="AG192">
        <f t="shared" si="111"/>
        <v>0</v>
      </c>
      <c r="AH192">
        <f t="shared" si="111"/>
        <v>0</v>
      </c>
      <c r="AI192">
        <f t="shared" si="111"/>
        <v>0</v>
      </c>
      <c r="AJ192">
        <f t="shared" si="111"/>
        <v>0</v>
      </c>
      <c r="AK192" s="13"/>
      <c r="AL192" s="13"/>
      <c r="AM192" s="13"/>
      <c r="AN192" s="13"/>
      <c r="AO192" s="13"/>
      <c r="AP192" s="13"/>
      <c r="AQ192" s="13"/>
      <c r="AR192" s="13"/>
      <c r="AS192" s="13"/>
      <c r="AU192" s="12" t="s">
        <v>289</v>
      </c>
      <c r="AV192" s="90">
        <f t="shared" ref="AV192:AX192" si="112">AV10</f>
        <v>13595.952959369357</v>
      </c>
      <c r="AW192" s="90">
        <f t="shared" si="112"/>
        <v>0</v>
      </c>
      <c r="AX192" s="18">
        <f t="shared" si="112"/>
        <v>0</v>
      </c>
      <c r="AY192" s="500"/>
      <c r="AZ192" s="12" t="str">
        <f t="shared" ref="AZ192:BA192" si="113">AZ10</f>
        <v>ED visits prevented</v>
      </c>
      <c r="BA192" s="33">
        <f t="shared" si="113"/>
        <v>3801.014950167867</v>
      </c>
      <c r="BB192" s="33">
        <f>AQ196*BB193</f>
        <v>3461.6386153314502</v>
      </c>
      <c r="BC192" s="33">
        <f>AQ197*BC193</f>
        <v>4140.3912850042843</v>
      </c>
      <c r="BD192" s="13">
        <f t="shared" ref="BD192" si="114">BD10</f>
        <v>0</v>
      </c>
    </row>
    <row r="193" spans="1:56" x14ac:dyDescent="0.3">
      <c r="A193">
        <f t="shared" ref="A193:AA193" si="115">A11</f>
        <v>0</v>
      </c>
      <c r="B193">
        <f t="shared" si="115"/>
        <v>0</v>
      </c>
      <c r="C193">
        <f t="shared" si="115"/>
        <v>0</v>
      </c>
      <c r="D193">
        <f t="shared" si="115"/>
        <v>0</v>
      </c>
      <c r="E193">
        <f t="shared" si="115"/>
        <v>0</v>
      </c>
      <c r="F193">
        <f t="shared" si="115"/>
        <v>0</v>
      </c>
      <c r="G193">
        <f t="shared" si="115"/>
        <v>0</v>
      </c>
      <c r="H193" s="13">
        <f t="shared" si="115"/>
        <v>0</v>
      </c>
      <c r="I193" s="13">
        <f t="shared" si="115"/>
        <v>0</v>
      </c>
      <c r="J193" s="13">
        <f t="shared" si="115"/>
        <v>0</v>
      </c>
      <c r="K193" s="13">
        <f t="shared" si="115"/>
        <v>0</v>
      </c>
      <c r="L193" s="13">
        <f t="shared" si="115"/>
        <v>0</v>
      </c>
      <c r="M193" s="13">
        <f t="shared" si="115"/>
        <v>0</v>
      </c>
      <c r="N193" s="13">
        <f t="shared" si="115"/>
        <v>0</v>
      </c>
      <c r="O193" s="13">
        <f t="shared" si="115"/>
        <v>0</v>
      </c>
      <c r="P193" s="13">
        <f t="shared" si="115"/>
        <v>0</v>
      </c>
      <c r="Q193">
        <f t="shared" si="115"/>
        <v>0</v>
      </c>
      <c r="R193" s="59" t="str">
        <f t="shared" si="115"/>
        <v>p11a-c</v>
      </c>
      <c r="S193" s="96">
        <f>$X$190+$X$193+$X$196</f>
        <v>7.4507669999719264E-2</v>
      </c>
      <c r="T193" s="96">
        <f t="shared" si="115"/>
        <v>0</v>
      </c>
      <c r="U193" s="11">
        <f t="shared" si="115"/>
        <v>0</v>
      </c>
      <c r="V193" s="13">
        <f t="shared" si="115"/>
        <v>0</v>
      </c>
      <c r="W193" s="2" t="str">
        <f t="shared" si="115"/>
        <v>p11b</v>
      </c>
      <c r="X193" s="61">
        <f>$X$11</f>
        <v>1.5598255033912049E-2</v>
      </c>
      <c r="Y193" s="61">
        <f t="shared" ref="Y193:Z193" si="116">$X$11</f>
        <v>1.5598255033912049E-2</v>
      </c>
      <c r="Z193" s="61">
        <f t="shared" si="116"/>
        <v>1.5598255033912049E-2</v>
      </c>
      <c r="AA193" s="13">
        <f t="shared" si="115"/>
        <v>0</v>
      </c>
      <c r="AD193">
        <f t="shared" ref="AD193:AU193" si="117">AD11</f>
        <v>0</v>
      </c>
      <c r="AE193">
        <f t="shared" si="117"/>
        <v>0</v>
      </c>
      <c r="AF193">
        <f t="shared" si="117"/>
        <v>0</v>
      </c>
      <c r="AG193">
        <f t="shared" si="117"/>
        <v>0</v>
      </c>
      <c r="AH193">
        <f t="shared" si="117"/>
        <v>0</v>
      </c>
      <c r="AI193">
        <f t="shared" si="117"/>
        <v>0</v>
      </c>
      <c r="AJ193">
        <f t="shared" si="117"/>
        <v>0</v>
      </c>
      <c r="AK193" s="13">
        <f t="shared" si="117"/>
        <v>0</v>
      </c>
      <c r="AL193" s="13">
        <f t="shared" si="117"/>
        <v>0</v>
      </c>
      <c r="AM193" s="13">
        <f t="shared" si="117"/>
        <v>0</v>
      </c>
      <c r="AN193" s="13">
        <f t="shared" si="117"/>
        <v>0</v>
      </c>
      <c r="AO193" s="13">
        <f t="shared" si="117"/>
        <v>0</v>
      </c>
      <c r="AP193" s="13">
        <f t="shared" si="117"/>
        <v>0</v>
      </c>
      <c r="AQ193" s="13">
        <f t="shared" si="117"/>
        <v>0</v>
      </c>
      <c r="AR193" s="13">
        <f t="shared" si="117"/>
        <v>0</v>
      </c>
      <c r="AS193" s="13">
        <f t="shared" si="117"/>
        <v>0</v>
      </c>
      <c r="AT193">
        <f t="shared" si="117"/>
        <v>0</v>
      </c>
      <c r="AU193" s="59" t="str">
        <f t="shared" si="117"/>
        <v>p11a-c</v>
      </c>
      <c r="AV193" s="96">
        <f>$X$190+$X$193+$X$196</f>
        <v>7.4507669999719264E-2</v>
      </c>
      <c r="AW193" s="96">
        <f t="shared" ref="AW193:AZ193" si="118">AW11</f>
        <v>0</v>
      </c>
      <c r="AX193" s="11">
        <f t="shared" si="118"/>
        <v>0</v>
      </c>
      <c r="AY193" s="13">
        <f t="shared" si="118"/>
        <v>0</v>
      </c>
      <c r="AZ193" s="2" t="str">
        <f t="shared" si="118"/>
        <v>p11b</v>
      </c>
      <c r="BA193" s="61">
        <f>BA11</f>
        <v>4.7277600848452429E-3</v>
      </c>
      <c r="BB193" s="61">
        <f>BA193</f>
        <v>4.7277600848452429E-3</v>
      </c>
      <c r="BC193" s="61">
        <f>BA193</f>
        <v>4.7277600848452429E-3</v>
      </c>
      <c r="BD193" s="13">
        <f t="shared" ref="BD193" si="119">BD11</f>
        <v>0</v>
      </c>
    </row>
    <row r="194" spans="1:56" x14ac:dyDescent="0.3">
      <c r="A194">
        <f t="shared" ref="A194:AA194" si="120">A12</f>
        <v>0</v>
      </c>
      <c r="B194">
        <f t="shared" si="120"/>
        <v>0</v>
      </c>
      <c r="C194">
        <f t="shared" si="120"/>
        <v>0</v>
      </c>
      <c r="D194">
        <f t="shared" si="120"/>
        <v>0</v>
      </c>
      <c r="E194">
        <f t="shared" si="120"/>
        <v>0</v>
      </c>
      <c r="F194">
        <f t="shared" si="120"/>
        <v>0</v>
      </c>
      <c r="G194">
        <f t="shared" si="120"/>
        <v>0</v>
      </c>
      <c r="H194" s="13">
        <f t="shared" si="120"/>
        <v>0</v>
      </c>
      <c r="I194" s="13">
        <f t="shared" si="120"/>
        <v>0</v>
      </c>
      <c r="J194" s="13">
        <f t="shared" si="120"/>
        <v>0</v>
      </c>
      <c r="K194" s="13">
        <f t="shared" si="120"/>
        <v>0</v>
      </c>
      <c r="L194" s="13">
        <f t="shared" si="120"/>
        <v>0</v>
      </c>
      <c r="M194" s="13">
        <f t="shared" si="120"/>
        <v>0</v>
      </c>
      <c r="N194" s="13">
        <f t="shared" si="120"/>
        <v>0</v>
      </c>
      <c r="O194" s="13">
        <f t="shared" si="120"/>
        <v>0</v>
      </c>
      <c r="P194" s="13">
        <f t="shared" si="120"/>
        <v>0</v>
      </c>
      <c r="Q194" s="72">
        <f t="shared" si="120"/>
        <v>0</v>
      </c>
      <c r="R194" s="300" t="str">
        <f t="shared" si="120"/>
        <v>low:</v>
      </c>
      <c r="S194" s="96">
        <f t="shared" ref="S194:S195" si="121">$X$190+$X$193+$X$196</f>
        <v>7.4507669999719264E-2</v>
      </c>
      <c r="T194">
        <f t="shared" si="120"/>
        <v>0</v>
      </c>
      <c r="U194" s="11">
        <f t="shared" si="120"/>
        <v>0</v>
      </c>
      <c r="V194" s="13">
        <f t="shared" si="120"/>
        <v>0</v>
      </c>
      <c r="W194" s="2">
        <f t="shared" si="120"/>
        <v>0</v>
      </c>
      <c r="X194">
        <f t="shared" si="120"/>
        <v>0</v>
      </c>
      <c r="Y194">
        <f t="shared" si="120"/>
        <v>0</v>
      </c>
      <c r="Z194">
        <f t="shared" si="120"/>
        <v>0</v>
      </c>
      <c r="AA194" s="63">
        <f t="shared" si="120"/>
        <v>0</v>
      </c>
      <c r="AD194">
        <f t="shared" ref="AD194:AU194" si="122">AD12</f>
        <v>0</v>
      </c>
      <c r="AE194">
        <f t="shared" si="122"/>
        <v>0</v>
      </c>
      <c r="AF194">
        <f t="shared" si="122"/>
        <v>0</v>
      </c>
      <c r="AG194">
        <f t="shared" si="122"/>
        <v>0</v>
      </c>
      <c r="AH194">
        <f t="shared" si="122"/>
        <v>0</v>
      </c>
      <c r="AI194">
        <f t="shared" si="122"/>
        <v>0</v>
      </c>
      <c r="AJ194">
        <f t="shared" si="122"/>
        <v>0</v>
      </c>
      <c r="AK194" s="13">
        <f t="shared" si="122"/>
        <v>0</v>
      </c>
      <c r="AL194" s="13">
        <f t="shared" si="122"/>
        <v>0</v>
      </c>
      <c r="AM194" s="13">
        <f t="shared" si="122"/>
        <v>0</v>
      </c>
      <c r="AN194" s="13">
        <f t="shared" si="122"/>
        <v>0</v>
      </c>
      <c r="AO194" s="13">
        <f t="shared" si="122"/>
        <v>0</v>
      </c>
      <c r="AP194" s="13">
        <f t="shared" si="122"/>
        <v>0</v>
      </c>
      <c r="AQ194" s="13">
        <f t="shared" si="122"/>
        <v>0</v>
      </c>
      <c r="AR194" s="13">
        <f t="shared" si="122"/>
        <v>0</v>
      </c>
      <c r="AS194" s="13">
        <f t="shared" si="122"/>
        <v>0</v>
      </c>
      <c r="AT194" s="72">
        <f t="shared" si="122"/>
        <v>0</v>
      </c>
      <c r="AU194" s="300" t="str">
        <f t="shared" si="122"/>
        <v>low:</v>
      </c>
      <c r="AV194" s="96">
        <f t="shared" ref="AV194:AV195" si="123">$X$190+$X$193+$X$196</f>
        <v>7.4507669999719264E-2</v>
      </c>
      <c r="AW194">
        <f t="shared" ref="AW194:BD194" si="124">AW12</f>
        <v>0</v>
      </c>
      <c r="AX194" s="11">
        <f t="shared" si="124"/>
        <v>0</v>
      </c>
      <c r="AY194" s="13">
        <f t="shared" si="124"/>
        <v>0</v>
      </c>
      <c r="AZ194" s="2">
        <f t="shared" si="124"/>
        <v>0</v>
      </c>
      <c r="BA194">
        <f t="shared" si="124"/>
        <v>0</v>
      </c>
      <c r="BB194">
        <f t="shared" si="124"/>
        <v>0</v>
      </c>
      <c r="BC194">
        <f t="shared" si="124"/>
        <v>0</v>
      </c>
      <c r="BD194" s="63">
        <f t="shared" si="124"/>
        <v>0</v>
      </c>
    </row>
    <row r="195" spans="1:56" x14ac:dyDescent="0.3">
      <c r="A195">
        <f t="shared" ref="A195:AA195" si="125">A13</f>
        <v>0</v>
      </c>
      <c r="B195">
        <f t="shared" si="125"/>
        <v>0</v>
      </c>
      <c r="C195">
        <f t="shared" si="125"/>
        <v>0</v>
      </c>
      <c r="D195">
        <f t="shared" si="125"/>
        <v>0</v>
      </c>
      <c r="E195">
        <f t="shared" si="125"/>
        <v>0</v>
      </c>
      <c r="F195">
        <f t="shared" si="125"/>
        <v>0</v>
      </c>
      <c r="G195">
        <f t="shared" si="125"/>
        <v>0</v>
      </c>
      <c r="H195" s="13">
        <f t="shared" si="125"/>
        <v>0</v>
      </c>
      <c r="I195" s="13">
        <f t="shared" si="125"/>
        <v>0</v>
      </c>
      <c r="J195" s="13">
        <f t="shared" si="125"/>
        <v>0</v>
      </c>
      <c r="K195" s="13">
        <f t="shared" si="125"/>
        <v>0</v>
      </c>
      <c r="L195" s="13">
        <f t="shared" si="125"/>
        <v>0</v>
      </c>
      <c r="M195" s="13">
        <f t="shared" si="125"/>
        <v>0</v>
      </c>
      <c r="N195" s="13">
        <f t="shared" si="125"/>
        <v>0</v>
      </c>
      <c r="O195" s="13">
        <f t="shared" si="125"/>
        <v>0</v>
      </c>
      <c r="P195" s="13">
        <f t="shared" si="125"/>
        <v>0</v>
      </c>
      <c r="Q195">
        <f t="shared" si="125"/>
        <v>0</v>
      </c>
      <c r="R195" s="300" t="str">
        <f t="shared" si="125"/>
        <v>high:</v>
      </c>
      <c r="S195" s="96">
        <f t="shared" si="121"/>
        <v>7.4507669999719264E-2</v>
      </c>
      <c r="T195">
        <f t="shared" si="125"/>
        <v>0</v>
      </c>
      <c r="U195" s="18"/>
      <c r="V195" s="438"/>
      <c r="W195" s="12" t="str">
        <f t="shared" si="125"/>
        <v>Hospitalizations prevented</v>
      </c>
      <c r="X195" s="30">
        <f t="shared" si="125"/>
        <v>6632.848296637917</v>
      </c>
      <c r="Y195" s="33">
        <f>N196*Y196</f>
        <v>6040.6296987238175</v>
      </c>
      <c r="Z195" s="33">
        <f>N197*Z196</f>
        <v>7225.0668945520183</v>
      </c>
      <c r="AA195" s="13">
        <f t="shared" si="125"/>
        <v>0</v>
      </c>
      <c r="AD195">
        <f t="shared" ref="AD195:AU195" si="126">AD13</f>
        <v>0</v>
      </c>
      <c r="AE195">
        <f t="shared" si="126"/>
        <v>0</v>
      </c>
      <c r="AF195">
        <f t="shared" si="126"/>
        <v>0</v>
      </c>
      <c r="AG195">
        <f t="shared" si="126"/>
        <v>0</v>
      </c>
      <c r="AH195">
        <f t="shared" si="126"/>
        <v>0</v>
      </c>
      <c r="AI195">
        <f t="shared" si="126"/>
        <v>0</v>
      </c>
      <c r="AJ195">
        <f t="shared" si="126"/>
        <v>0</v>
      </c>
      <c r="AK195" s="13">
        <f t="shared" si="126"/>
        <v>0</v>
      </c>
      <c r="AL195" s="13">
        <f t="shared" si="126"/>
        <v>0</v>
      </c>
      <c r="AM195" s="13">
        <f t="shared" si="126"/>
        <v>0</v>
      </c>
      <c r="AN195" s="13">
        <f t="shared" si="126"/>
        <v>0</v>
      </c>
      <c r="AO195" s="13">
        <f t="shared" si="126"/>
        <v>0</v>
      </c>
      <c r="AP195" s="13">
        <f t="shared" si="126"/>
        <v>0</v>
      </c>
      <c r="AQ195" s="13">
        <f t="shared" si="126"/>
        <v>0</v>
      </c>
      <c r="AR195" s="13">
        <f t="shared" si="126"/>
        <v>0</v>
      </c>
      <c r="AS195" s="13">
        <f t="shared" si="126"/>
        <v>0</v>
      </c>
      <c r="AT195">
        <f t="shared" si="126"/>
        <v>0</v>
      </c>
      <c r="AU195" s="300" t="str">
        <f t="shared" si="126"/>
        <v>high:</v>
      </c>
      <c r="AV195" s="96">
        <f t="shared" si="123"/>
        <v>7.4507669999719264E-2</v>
      </c>
      <c r="AW195">
        <f t="shared" ref="AW195" si="127">AW13</f>
        <v>0</v>
      </c>
      <c r="AX195" s="18"/>
      <c r="AY195" s="500"/>
      <c r="AZ195" s="12" t="str">
        <f t="shared" ref="AZ195:BA195" si="128">AZ13</f>
        <v>Hospitalizations prevented</v>
      </c>
      <c r="BA195" s="30">
        <f t="shared" si="128"/>
        <v>773.44906997831754</v>
      </c>
      <c r="BB195" s="33">
        <f>AQ196*BB196</f>
        <v>704.39111730168202</v>
      </c>
      <c r="BC195" s="33">
        <f>AQ197*BC196</f>
        <v>842.50702265495318</v>
      </c>
      <c r="BD195" s="13">
        <f t="shared" ref="BD195" si="129">BD13</f>
        <v>0</v>
      </c>
    </row>
    <row r="196" spans="1:56" x14ac:dyDescent="0.3">
      <c r="A196">
        <f t="shared" ref="A196:AA196" si="130">A14</f>
        <v>0</v>
      </c>
      <c r="B196">
        <f t="shared" si="130"/>
        <v>0</v>
      </c>
      <c r="C196">
        <f t="shared" si="130"/>
        <v>0</v>
      </c>
      <c r="D196">
        <f t="shared" si="130"/>
        <v>0</v>
      </c>
      <c r="E196">
        <f t="shared" si="130"/>
        <v>0</v>
      </c>
      <c r="F196">
        <f t="shared" si="130"/>
        <v>0</v>
      </c>
      <c r="G196">
        <f t="shared" si="130"/>
        <v>0</v>
      </c>
      <c r="H196" s="13">
        <f t="shared" si="130"/>
        <v>0</v>
      </c>
      <c r="I196" s="13">
        <f t="shared" si="130"/>
        <v>0</v>
      </c>
      <c r="J196" s="13">
        <f t="shared" si="130"/>
        <v>0</v>
      </c>
      <c r="K196" s="13">
        <f t="shared" si="130"/>
        <v>0</v>
      </c>
      <c r="L196" s="13"/>
      <c r="M196" s="2" t="s">
        <v>263</v>
      </c>
      <c r="N196" s="8">
        <f>L204*$N$199</f>
        <v>732194.22162044048</v>
      </c>
      <c r="O196" s="13">
        <f t="shared" si="130"/>
        <v>0</v>
      </c>
      <c r="P196" s="13">
        <f t="shared" si="130"/>
        <v>0</v>
      </c>
      <c r="Q196">
        <f t="shared" si="130"/>
        <v>0</v>
      </c>
      <c r="R196" s="11">
        <f t="shared" si="130"/>
        <v>0</v>
      </c>
      <c r="S196">
        <f t="shared" si="130"/>
        <v>0</v>
      </c>
      <c r="T196">
        <f t="shared" si="130"/>
        <v>0</v>
      </c>
      <c r="U196">
        <f t="shared" si="130"/>
        <v>0</v>
      </c>
      <c r="V196">
        <f t="shared" si="130"/>
        <v>0</v>
      </c>
      <c r="W196" s="2" t="str">
        <f t="shared" si="130"/>
        <v>p11a</v>
      </c>
      <c r="X196" s="61">
        <f>$X$14</f>
        <v>8.2500373812772285E-3</v>
      </c>
      <c r="Y196" s="61">
        <f t="shared" ref="Y196:Z196" si="131">$X$14</f>
        <v>8.2500373812772285E-3</v>
      </c>
      <c r="Z196" s="61">
        <f t="shared" si="131"/>
        <v>8.2500373812772285E-3</v>
      </c>
      <c r="AA196" s="13">
        <f t="shared" si="130"/>
        <v>0</v>
      </c>
      <c r="AD196">
        <f t="shared" ref="AD196:AN196" si="132">AD14</f>
        <v>0</v>
      </c>
      <c r="AE196">
        <f t="shared" si="132"/>
        <v>0</v>
      </c>
      <c r="AF196">
        <f t="shared" si="132"/>
        <v>0</v>
      </c>
      <c r="AG196">
        <f t="shared" si="132"/>
        <v>0</v>
      </c>
      <c r="AH196">
        <f t="shared" si="132"/>
        <v>0</v>
      </c>
      <c r="AI196">
        <f t="shared" si="132"/>
        <v>0</v>
      </c>
      <c r="AJ196">
        <f t="shared" si="132"/>
        <v>0</v>
      </c>
      <c r="AK196" s="13">
        <f t="shared" si="132"/>
        <v>0</v>
      </c>
      <c r="AL196" s="13">
        <f t="shared" si="132"/>
        <v>0</v>
      </c>
      <c r="AM196" s="13">
        <f t="shared" si="132"/>
        <v>0</v>
      </c>
      <c r="AN196" s="13">
        <f t="shared" si="132"/>
        <v>0</v>
      </c>
      <c r="AO196" s="13"/>
      <c r="AP196" s="2" t="s">
        <v>263</v>
      </c>
      <c r="AQ196" s="8">
        <f>AO204*$N$199</f>
        <v>732194.22162044048</v>
      </c>
      <c r="AR196" s="13">
        <f t="shared" ref="AR196:AZ196" si="133">AR14</f>
        <v>0</v>
      </c>
      <c r="AS196" s="13">
        <f t="shared" si="133"/>
        <v>0</v>
      </c>
      <c r="AT196">
        <f t="shared" si="133"/>
        <v>0</v>
      </c>
      <c r="AU196" s="11">
        <f t="shared" si="133"/>
        <v>0</v>
      </c>
      <c r="AV196">
        <f t="shared" si="133"/>
        <v>0</v>
      </c>
      <c r="AW196">
        <f t="shared" si="133"/>
        <v>0</v>
      </c>
      <c r="AX196">
        <f t="shared" si="133"/>
        <v>0</v>
      </c>
      <c r="AY196">
        <f t="shared" si="133"/>
        <v>0</v>
      </c>
      <c r="AZ196" s="2" t="str">
        <f t="shared" si="133"/>
        <v>p11a</v>
      </c>
      <c r="BA196" s="61">
        <f>BA14</f>
        <v>9.62027692246428E-4</v>
      </c>
      <c r="BB196" s="61">
        <f>BA196</f>
        <v>9.62027692246428E-4</v>
      </c>
      <c r="BC196" s="61">
        <f>BA196</f>
        <v>9.62027692246428E-4</v>
      </c>
      <c r="BD196" s="13">
        <f t="shared" ref="BD196" si="134">BD14</f>
        <v>0</v>
      </c>
    </row>
    <row r="197" spans="1:56" x14ac:dyDescent="0.3">
      <c r="A197">
        <f t="shared" ref="A197:AA197" si="135">A15</f>
        <v>0</v>
      </c>
      <c r="B197">
        <f t="shared" si="135"/>
        <v>0</v>
      </c>
      <c r="C197">
        <f t="shared" si="135"/>
        <v>0</v>
      </c>
      <c r="D197">
        <f t="shared" si="135"/>
        <v>0</v>
      </c>
      <c r="E197">
        <f t="shared" si="135"/>
        <v>0</v>
      </c>
      <c r="F197">
        <f t="shared" si="135"/>
        <v>0</v>
      </c>
      <c r="G197">
        <f t="shared" si="135"/>
        <v>0</v>
      </c>
      <c r="H197" s="13">
        <f t="shared" si="135"/>
        <v>0</v>
      </c>
      <c r="I197" s="13">
        <f t="shared" si="135"/>
        <v>0</v>
      </c>
      <c r="J197" s="13">
        <f t="shared" si="135"/>
        <v>0</v>
      </c>
      <c r="K197" s="13">
        <f t="shared" si="135"/>
        <v>0</v>
      </c>
      <c r="L197" s="13"/>
      <c r="M197" s="2" t="s">
        <v>264</v>
      </c>
      <c r="N197" s="8">
        <f>L205*$N$199</f>
        <v>875761.71605582116</v>
      </c>
      <c r="O197" s="13">
        <f t="shared" si="135"/>
        <v>0</v>
      </c>
      <c r="P197" s="13">
        <f t="shared" si="135"/>
        <v>0</v>
      </c>
      <c r="Q197">
        <f t="shared" si="135"/>
        <v>0</v>
      </c>
      <c r="R197" s="11">
        <f t="shared" si="135"/>
        <v>0</v>
      </c>
      <c r="S197">
        <f t="shared" si="135"/>
        <v>0</v>
      </c>
      <c r="T197">
        <f t="shared" si="135"/>
        <v>0</v>
      </c>
      <c r="U197">
        <f t="shared" si="135"/>
        <v>0</v>
      </c>
      <c r="V197">
        <f t="shared" si="135"/>
        <v>0</v>
      </c>
      <c r="W197">
        <f t="shared" si="135"/>
        <v>0</v>
      </c>
      <c r="X197">
        <f t="shared" si="135"/>
        <v>0</v>
      </c>
      <c r="Y197">
        <f t="shared" si="135"/>
        <v>0</v>
      </c>
      <c r="Z197">
        <f t="shared" si="135"/>
        <v>0</v>
      </c>
      <c r="AA197">
        <f t="shared" si="135"/>
        <v>0</v>
      </c>
      <c r="AD197">
        <f t="shared" ref="AD197:AN197" si="136">AD15</f>
        <v>0</v>
      </c>
      <c r="AE197">
        <f t="shared" si="136"/>
        <v>0</v>
      </c>
      <c r="AF197">
        <f t="shared" si="136"/>
        <v>0</v>
      </c>
      <c r="AG197">
        <f t="shared" si="136"/>
        <v>0</v>
      </c>
      <c r="AH197">
        <f t="shared" si="136"/>
        <v>0</v>
      </c>
      <c r="AI197">
        <f t="shared" si="136"/>
        <v>0</v>
      </c>
      <c r="AJ197">
        <f t="shared" si="136"/>
        <v>0</v>
      </c>
      <c r="AK197" s="13">
        <f t="shared" si="136"/>
        <v>0</v>
      </c>
      <c r="AL197" s="13">
        <f t="shared" si="136"/>
        <v>0</v>
      </c>
      <c r="AM197" s="13">
        <f t="shared" si="136"/>
        <v>0</v>
      </c>
      <c r="AN197" s="13">
        <f t="shared" si="136"/>
        <v>0</v>
      </c>
      <c r="AO197" s="13"/>
      <c r="AP197" s="2" t="s">
        <v>264</v>
      </c>
      <c r="AQ197" s="8">
        <f>AO205*$N$199</f>
        <v>875761.71605582116</v>
      </c>
      <c r="AR197" s="13">
        <f t="shared" ref="AR197:BD197" si="137">AR15</f>
        <v>0</v>
      </c>
      <c r="AS197" s="13">
        <f t="shared" si="137"/>
        <v>0</v>
      </c>
      <c r="AT197">
        <f t="shared" si="137"/>
        <v>0</v>
      </c>
      <c r="AU197" s="11">
        <f t="shared" si="137"/>
        <v>0</v>
      </c>
      <c r="AV197">
        <f t="shared" si="137"/>
        <v>0</v>
      </c>
      <c r="AW197">
        <f t="shared" si="137"/>
        <v>0</v>
      </c>
      <c r="AX197">
        <f t="shared" si="137"/>
        <v>0</v>
      </c>
      <c r="AY197">
        <f t="shared" si="137"/>
        <v>0</v>
      </c>
      <c r="AZ197">
        <f t="shared" si="137"/>
        <v>0</v>
      </c>
      <c r="BA197">
        <f t="shared" si="137"/>
        <v>0</v>
      </c>
      <c r="BB197">
        <f t="shared" si="137"/>
        <v>0</v>
      </c>
      <c r="BC197">
        <f t="shared" si="137"/>
        <v>0</v>
      </c>
      <c r="BD197">
        <f t="shared" si="137"/>
        <v>0</v>
      </c>
    </row>
    <row r="198" spans="1:56" x14ac:dyDescent="0.3">
      <c r="A198">
        <f t="shared" ref="A198:AA198" si="138">A16</f>
        <v>0</v>
      </c>
      <c r="B198">
        <f t="shared" si="138"/>
        <v>0</v>
      </c>
      <c r="C198">
        <f t="shared" si="138"/>
        <v>0</v>
      </c>
      <c r="D198">
        <f t="shared" si="138"/>
        <v>0</v>
      </c>
      <c r="E198">
        <f t="shared" si="138"/>
        <v>0</v>
      </c>
      <c r="F198">
        <f t="shared" si="138"/>
        <v>0</v>
      </c>
      <c r="G198">
        <f t="shared" si="138"/>
        <v>0</v>
      </c>
      <c r="H198" s="13">
        <f t="shared" si="138"/>
        <v>0</v>
      </c>
      <c r="I198" s="13">
        <f t="shared" si="138"/>
        <v>0</v>
      </c>
      <c r="J198" s="13">
        <f t="shared" si="138"/>
        <v>0</v>
      </c>
      <c r="K198" s="13">
        <f t="shared" si="138"/>
        <v>0</v>
      </c>
      <c r="L198" s="13"/>
      <c r="M198" s="12" t="str">
        <f t="shared" si="138"/>
        <v>Vaccine protective</v>
      </c>
      <c r="N198" s="30">
        <f>L206*N199</f>
        <v>803977.96883813071</v>
      </c>
      <c r="O198" s="438">
        <f t="shared" si="138"/>
        <v>0</v>
      </c>
      <c r="P198" s="100">
        <f t="shared" si="138"/>
        <v>0</v>
      </c>
      <c r="Q198" s="438">
        <f t="shared" si="138"/>
        <v>0</v>
      </c>
      <c r="R198" s="65" t="str">
        <f t="shared" si="138"/>
        <v>Not MA for RSV</v>
      </c>
      <c r="S198" s="62" t="str">
        <f t="shared" si="138"/>
        <v>unknown</v>
      </c>
      <c r="T198">
        <f t="shared" si="138"/>
        <v>0</v>
      </c>
      <c r="U198">
        <f t="shared" si="138"/>
        <v>0</v>
      </c>
      <c r="V198">
        <f t="shared" si="138"/>
        <v>0</v>
      </c>
      <c r="W198">
        <f t="shared" si="138"/>
        <v>0</v>
      </c>
      <c r="X198" s="1117" t="s">
        <v>181</v>
      </c>
      <c r="Y198" s="1117"/>
      <c r="Z198">
        <f t="shared" si="138"/>
        <v>0</v>
      </c>
      <c r="AA198">
        <f t="shared" si="138"/>
        <v>0</v>
      </c>
      <c r="AD198">
        <f t="shared" ref="AD198:AN198" si="139">AD16</f>
        <v>0</v>
      </c>
      <c r="AE198">
        <f t="shared" si="139"/>
        <v>0</v>
      </c>
      <c r="AF198">
        <f t="shared" si="139"/>
        <v>0</v>
      </c>
      <c r="AG198">
        <f t="shared" si="139"/>
        <v>0</v>
      </c>
      <c r="AH198">
        <f t="shared" si="139"/>
        <v>0</v>
      </c>
      <c r="AI198">
        <f t="shared" si="139"/>
        <v>0</v>
      </c>
      <c r="AJ198">
        <f t="shared" si="139"/>
        <v>0</v>
      </c>
      <c r="AK198" s="13">
        <f t="shared" si="139"/>
        <v>0</v>
      </c>
      <c r="AL198" s="13">
        <f t="shared" si="139"/>
        <v>0</v>
      </c>
      <c r="AM198" s="13">
        <f t="shared" si="139"/>
        <v>0</v>
      </c>
      <c r="AN198" s="13">
        <f t="shared" si="139"/>
        <v>0</v>
      </c>
      <c r="AO198" s="13"/>
      <c r="AP198" s="12" t="str">
        <f t="shared" ref="AP198" si="140">AP16</f>
        <v>Vaccine protective</v>
      </c>
      <c r="AQ198" s="30">
        <f>AO206*AQ199</f>
        <v>803977.96883813071</v>
      </c>
      <c r="AR198" s="500">
        <f t="shared" ref="AR198:AZ198" si="141">AR16</f>
        <v>0</v>
      </c>
      <c r="AS198" s="100">
        <f t="shared" si="141"/>
        <v>0</v>
      </c>
      <c r="AT198" s="500">
        <f t="shared" si="141"/>
        <v>0</v>
      </c>
      <c r="AU198" s="65" t="str">
        <f t="shared" si="141"/>
        <v>Not MA for RSV</v>
      </c>
      <c r="AV198" s="62" t="str">
        <f t="shared" si="141"/>
        <v>unknown</v>
      </c>
      <c r="AW198">
        <f t="shared" si="141"/>
        <v>0</v>
      </c>
      <c r="AX198">
        <f t="shared" si="141"/>
        <v>0</v>
      </c>
      <c r="AY198">
        <f t="shared" si="141"/>
        <v>0</v>
      </c>
      <c r="AZ198">
        <f t="shared" si="141"/>
        <v>0</v>
      </c>
      <c r="BA198" s="1117" t="s">
        <v>181</v>
      </c>
      <c r="BB198" s="1117"/>
      <c r="BC198">
        <f t="shared" ref="BC198:BD198" si="142">BC16</f>
        <v>0</v>
      </c>
      <c r="BD198">
        <f t="shared" si="142"/>
        <v>0</v>
      </c>
    </row>
    <row r="199" spans="1:56" x14ac:dyDescent="0.3">
      <c r="A199">
        <f t="shared" ref="A199:AA199" si="143">A17</f>
        <v>0</v>
      </c>
      <c r="B199">
        <f t="shared" si="143"/>
        <v>0</v>
      </c>
      <c r="C199">
        <f t="shared" si="143"/>
        <v>0</v>
      </c>
      <c r="D199">
        <f t="shared" si="143"/>
        <v>0</v>
      </c>
      <c r="E199">
        <f t="shared" si="143"/>
        <v>0</v>
      </c>
      <c r="F199">
        <f t="shared" si="143"/>
        <v>0</v>
      </c>
      <c r="G199">
        <f t="shared" si="143"/>
        <v>0</v>
      </c>
      <c r="H199" s="13">
        <f t="shared" si="143"/>
        <v>0</v>
      </c>
      <c r="I199" s="13">
        <f t="shared" si="143"/>
        <v>0</v>
      </c>
      <c r="J199" s="13">
        <f t="shared" si="143"/>
        <v>0</v>
      </c>
      <c r="K199" s="13">
        <f t="shared" si="143"/>
        <v>0</v>
      </c>
      <c r="L199" s="13">
        <f t="shared" si="143"/>
        <v>0</v>
      </c>
      <c r="M199" s="59" t="str">
        <f t="shared" si="143"/>
        <v>p9</v>
      </c>
      <c r="N199" s="61">
        <f t="shared" si="143"/>
        <v>0.8</v>
      </c>
      <c r="O199">
        <f t="shared" si="143"/>
        <v>0</v>
      </c>
      <c r="P199">
        <f t="shared" si="143"/>
        <v>0</v>
      </c>
      <c r="Q199" s="52">
        <f t="shared" si="143"/>
        <v>0</v>
      </c>
      <c r="R199" s="11" t="s">
        <v>288</v>
      </c>
      <c r="W199" s="437" t="str">
        <f t="shared" si="143"/>
        <v>base</v>
      </c>
      <c r="X199" s="437" t="str">
        <f t="shared" si="143"/>
        <v>low</v>
      </c>
      <c r="Y199" s="437" t="str">
        <f t="shared" si="143"/>
        <v>high</v>
      </c>
      <c r="Z199">
        <f t="shared" si="143"/>
        <v>0</v>
      </c>
      <c r="AA199">
        <f t="shared" si="143"/>
        <v>0</v>
      </c>
      <c r="AD199">
        <f t="shared" ref="AD199:AT199" si="144">AD17</f>
        <v>0</v>
      </c>
      <c r="AE199">
        <f t="shared" si="144"/>
        <v>0</v>
      </c>
      <c r="AF199">
        <f t="shared" si="144"/>
        <v>0</v>
      </c>
      <c r="AG199">
        <f t="shared" si="144"/>
        <v>0</v>
      </c>
      <c r="AH199">
        <f t="shared" si="144"/>
        <v>0</v>
      </c>
      <c r="AI199">
        <f t="shared" si="144"/>
        <v>0</v>
      </c>
      <c r="AJ199">
        <f t="shared" si="144"/>
        <v>0</v>
      </c>
      <c r="AK199" s="13">
        <f t="shared" si="144"/>
        <v>0</v>
      </c>
      <c r="AL199" s="13">
        <f t="shared" si="144"/>
        <v>0</v>
      </c>
      <c r="AM199" s="13">
        <f t="shared" si="144"/>
        <v>0</v>
      </c>
      <c r="AN199" s="13">
        <f t="shared" si="144"/>
        <v>0</v>
      </c>
      <c r="AO199" s="13">
        <f t="shared" si="144"/>
        <v>0</v>
      </c>
      <c r="AP199" s="59" t="str">
        <f t="shared" si="144"/>
        <v>p9</v>
      </c>
      <c r="AQ199" s="61">
        <f t="shared" si="144"/>
        <v>0.8</v>
      </c>
      <c r="AR199">
        <f t="shared" si="144"/>
        <v>0</v>
      </c>
      <c r="AS199">
        <f t="shared" si="144"/>
        <v>0</v>
      </c>
      <c r="AT199" s="52">
        <f t="shared" si="144"/>
        <v>0</v>
      </c>
      <c r="AU199" s="11" t="s">
        <v>288</v>
      </c>
      <c r="AZ199" s="684" t="str">
        <f t="shared" ref="AZ199:BD199" si="145">AZ17</f>
        <v>base</v>
      </c>
      <c r="BA199" s="684" t="str">
        <f t="shared" si="145"/>
        <v>low</v>
      </c>
      <c r="BB199" s="684" t="str">
        <f t="shared" si="145"/>
        <v>high</v>
      </c>
      <c r="BC199">
        <f t="shared" si="145"/>
        <v>0</v>
      </c>
      <c r="BD199">
        <f t="shared" si="145"/>
        <v>0</v>
      </c>
    </row>
    <row r="200" spans="1:56" x14ac:dyDescent="0.3">
      <c r="A200">
        <f t="shared" ref="A200:AA200" si="146">A18</f>
        <v>0</v>
      </c>
      <c r="B200">
        <f t="shared" si="146"/>
        <v>0</v>
      </c>
      <c r="C200">
        <f t="shared" si="146"/>
        <v>0</v>
      </c>
      <c r="D200">
        <f t="shared" si="146"/>
        <v>0</v>
      </c>
      <c r="E200">
        <f t="shared" si="146"/>
        <v>0</v>
      </c>
      <c r="F200">
        <f t="shared" si="146"/>
        <v>0</v>
      </c>
      <c r="G200">
        <f t="shared" si="146"/>
        <v>0</v>
      </c>
      <c r="H200" s="13">
        <f t="shared" si="146"/>
        <v>0</v>
      </c>
      <c r="I200" s="13">
        <f t="shared" si="146"/>
        <v>0</v>
      </c>
      <c r="J200" s="13">
        <f t="shared" si="146"/>
        <v>0</v>
      </c>
      <c r="K200" s="13">
        <f t="shared" si="146"/>
        <v>0</v>
      </c>
      <c r="L200" s="13">
        <f t="shared" si="146"/>
        <v>0</v>
      </c>
      <c r="M200" s="11">
        <f t="shared" si="146"/>
        <v>0</v>
      </c>
      <c r="N200">
        <f t="shared" si="146"/>
        <v>0</v>
      </c>
      <c r="O200">
        <f t="shared" si="146"/>
        <v>0</v>
      </c>
      <c r="P200">
        <f t="shared" si="146"/>
        <v>0</v>
      </c>
      <c r="Q200">
        <f t="shared" si="146"/>
        <v>0</v>
      </c>
      <c r="R200" s="11">
        <f t="shared" si="146"/>
        <v>0</v>
      </c>
      <c r="S200">
        <f t="shared" si="146"/>
        <v>0</v>
      </c>
      <c r="T200">
        <f t="shared" si="146"/>
        <v>0</v>
      </c>
      <c r="V200" s="12" t="str">
        <f t="shared" si="146"/>
        <v>Outpatient</v>
      </c>
      <c r="W200" s="33">
        <f t="shared" si="146"/>
        <v>78961.156328365047</v>
      </c>
      <c r="X200" s="33">
        <f>L204*X201</f>
        <v>71911.053084761035</v>
      </c>
      <c r="Y200" s="33">
        <f>L205*Y201</f>
        <v>86011.259571969087</v>
      </c>
      <c r="Z200">
        <f t="shared" si="146"/>
        <v>0</v>
      </c>
      <c r="AA200">
        <f t="shared" si="146"/>
        <v>0</v>
      </c>
      <c r="AD200">
        <f t="shared" ref="AD200:AW200" si="147">AD18</f>
        <v>0</v>
      </c>
      <c r="AE200">
        <f t="shared" si="147"/>
        <v>0</v>
      </c>
      <c r="AF200">
        <f t="shared" si="147"/>
        <v>0</v>
      </c>
      <c r="AG200">
        <f t="shared" si="147"/>
        <v>0</v>
      </c>
      <c r="AH200">
        <f t="shared" si="147"/>
        <v>0</v>
      </c>
      <c r="AI200">
        <f t="shared" si="147"/>
        <v>0</v>
      </c>
      <c r="AJ200">
        <f t="shared" si="147"/>
        <v>0</v>
      </c>
      <c r="AK200" s="13">
        <f t="shared" si="147"/>
        <v>0</v>
      </c>
      <c r="AL200" s="13">
        <f t="shared" si="147"/>
        <v>0</v>
      </c>
      <c r="AM200" s="13">
        <f t="shared" si="147"/>
        <v>0</v>
      </c>
      <c r="AN200" s="13">
        <f t="shared" si="147"/>
        <v>0</v>
      </c>
      <c r="AO200" s="13">
        <f t="shared" si="147"/>
        <v>0</v>
      </c>
      <c r="AP200" s="11">
        <f t="shared" si="147"/>
        <v>0</v>
      </c>
      <c r="AQ200">
        <f t="shared" si="147"/>
        <v>0</v>
      </c>
      <c r="AR200">
        <f t="shared" si="147"/>
        <v>0</v>
      </c>
      <c r="AS200">
        <f t="shared" si="147"/>
        <v>0</v>
      </c>
      <c r="AT200">
        <f t="shared" si="147"/>
        <v>0</v>
      </c>
      <c r="AU200" s="11">
        <f t="shared" si="147"/>
        <v>0</v>
      </c>
      <c r="AV200">
        <f t="shared" si="147"/>
        <v>0</v>
      </c>
      <c r="AW200">
        <f t="shared" si="147"/>
        <v>0</v>
      </c>
      <c r="AY200" s="12" t="str">
        <f t="shared" ref="AY200:AZ200" si="148">AY18</f>
        <v>Outpatient</v>
      </c>
      <c r="AZ200" s="33">
        <f t="shared" si="148"/>
        <v>41537.592484558467</v>
      </c>
      <c r="BA200" s="33">
        <f>AO204*BA201</f>
        <v>37828.878869865752</v>
      </c>
      <c r="BB200" s="33">
        <f>AO205*BB201</f>
        <v>45246.306099251196</v>
      </c>
      <c r="BC200">
        <f t="shared" ref="BC200:BD200" si="149">BC18</f>
        <v>0</v>
      </c>
      <c r="BD200">
        <f t="shared" si="149"/>
        <v>0</v>
      </c>
    </row>
    <row r="201" spans="1:56" x14ac:dyDescent="0.3">
      <c r="A201">
        <f t="shared" ref="A201:AA201" si="150">A19</f>
        <v>0</v>
      </c>
      <c r="B201">
        <f t="shared" si="150"/>
        <v>0</v>
      </c>
      <c r="C201">
        <f t="shared" si="150"/>
        <v>0</v>
      </c>
      <c r="D201">
        <f t="shared" si="150"/>
        <v>0</v>
      </c>
      <c r="E201">
        <f t="shared" si="150"/>
        <v>0</v>
      </c>
      <c r="F201">
        <f t="shared" si="150"/>
        <v>0</v>
      </c>
      <c r="G201">
        <f t="shared" si="150"/>
        <v>0</v>
      </c>
      <c r="H201" s="13">
        <f t="shared" si="150"/>
        <v>0</v>
      </c>
      <c r="I201" s="13">
        <f t="shared" si="150"/>
        <v>0</v>
      </c>
      <c r="J201" s="13">
        <f t="shared" si="150"/>
        <v>0</v>
      </c>
      <c r="K201" s="13">
        <f t="shared" si="150"/>
        <v>0</v>
      </c>
      <c r="L201" s="13">
        <f t="shared" si="150"/>
        <v>0</v>
      </c>
      <c r="M201" s="11">
        <f t="shared" si="150"/>
        <v>0</v>
      </c>
      <c r="N201">
        <f t="shared" si="150"/>
        <v>0</v>
      </c>
      <c r="O201">
        <f t="shared" si="150"/>
        <v>0</v>
      </c>
      <c r="P201">
        <f t="shared" si="150"/>
        <v>0</v>
      </c>
      <c r="Q201">
        <f t="shared" si="150"/>
        <v>0</v>
      </c>
      <c r="R201" s="59" t="str">
        <f t="shared" si="150"/>
        <v>low:</v>
      </c>
      <c r="S201" s="50">
        <f>SUM(X201,X204,X207)</f>
        <v>0.11146691567595504</v>
      </c>
      <c r="T201">
        <f t="shared" si="150"/>
        <v>0</v>
      </c>
      <c r="U201" s="16">
        <f t="shared" si="150"/>
        <v>0</v>
      </c>
      <c r="V201" s="2" t="str">
        <f t="shared" si="150"/>
        <v>p10c</v>
      </c>
      <c r="W201" s="61">
        <f>$W$19</f>
        <v>7.8570467738040953E-2</v>
      </c>
      <c r="X201" s="61">
        <f t="shared" ref="X201:Y201" si="151">$W$19</f>
        <v>7.8570467738040953E-2</v>
      </c>
      <c r="Y201" s="61">
        <f t="shared" si="151"/>
        <v>7.8570467738040953E-2</v>
      </c>
      <c r="Z201">
        <f t="shared" si="150"/>
        <v>0</v>
      </c>
      <c r="AA201">
        <f t="shared" si="150"/>
        <v>0</v>
      </c>
      <c r="AD201">
        <f t="shared" ref="AD201:AU201" si="152">AD19</f>
        <v>0</v>
      </c>
      <c r="AE201">
        <f t="shared" si="152"/>
        <v>0</v>
      </c>
      <c r="AF201">
        <f t="shared" si="152"/>
        <v>0</v>
      </c>
      <c r="AG201">
        <f t="shared" si="152"/>
        <v>0</v>
      </c>
      <c r="AH201">
        <f t="shared" si="152"/>
        <v>0</v>
      </c>
      <c r="AI201">
        <f t="shared" si="152"/>
        <v>0</v>
      </c>
      <c r="AJ201">
        <f t="shared" si="152"/>
        <v>0</v>
      </c>
      <c r="AK201" s="13">
        <f t="shared" si="152"/>
        <v>0</v>
      </c>
      <c r="AL201" s="13">
        <f t="shared" si="152"/>
        <v>0</v>
      </c>
      <c r="AM201" s="13">
        <f t="shared" si="152"/>
        <v>0</v>
      </c>
      <c r="AN201" s="13">
        <f t="shared" si="152"/>
        <v>0</v>
      </c>
      <c r="AO201" s="13">
        <f t="shared" si="152"/>
        <v>0</v>
      </c>
      <c r="AP201" s="11">
        <f t="shared" si="152"/>
        <v>0</v>
      </c>
      <c r="AQ201">
        <f t="shared" si="152"/>
        <v>0</v>
      </c>
      <c r="AR201">
        <f t="shared" si="152"/>
        <v>0</v>
      </c>
      <c r="AS201">
        <f t="shared" si="152"/>
        <v>0</v>
      </c>
      <c r="AT201">
        <f t="shared" si="152"/>
        <v>0</v>
      </c>
      <c r="AU201" s="59" t="str">
        <f t="shared" si="152"/>
        <v>low:</v>
      </c>
      <c r="AV201" s="50">
        <f>SUM(BA201,BA204,BA207)</f>
        <v>5.9421138653746097E-2</v>
      </c>
      <c r="AW201">
        <f t="shared" ref="AW201:AY201" si="153">AW19</f>
        <v>0</v>
      </c>
      <c r="AX201" s="16">
        <f t="shared" si="153"/>
        <v>0</v>
      </c>
      <c r="AY201" s="2" t="str">
        <f t="shared" si="153"/>
        <v>p10c</v>
      </c>
      <c r="AZ201" s="61">
        <f>AZ19</f>
        <v>4.133207037460148E-2</v>
      </c>
      <c r="BA201" s="61">
        <f>AZ201</f>
        <v>4.133207037460148E-2</v>
      </c>
      <c r="BB201" s="61">
        <f>AZ201</f>
        <v>4.133207037460148E-2</v>
      </c>
      <c r="BC201">
        <f t="shared" ref="BC201:BD201" si="154">BC19</f>
        <v>0</v>
      </c>
      <c r="BD201">
        <f t="shared" si="154"/>
        <v>0</v>
      </c>
    </row>
    <row r="202" spans="1:56" x14ac:dyDescent="0.3">
      <c r="A202">
        <f t="shared" ref="A202:AA202" si="155">A20</f>
        <v>0</v>
      </c>
      <c r="B202">
        <f t="shared" si="155"/>
        <v>0</v>
      </c>
      <c r="C202">
        <f t="shared" si="155"/>
        <v>0</v>
      </c>
      <c r="D202">
        <f t="shared" si="155"/>
        <v>0</v>
      </c>
      <c r="E202">
        <f t="shared" si="155"/>
        <v>0</v>
      </c>
      <c r="F202">
        <f t="shared" si="155"/>
        <v>0</v>
      </c>
      <c r="G202">
        <f t="shared" si="155"/>
        <v>0</v>
      </c>
      <c r="H202" s="13">
        <f t="shared" si="155"/>
        <v>0</v>
      </c>
      <c r="I202" s="13">
        <f t="shared" si="155"/>
        <v>0</v>
      </c>
      <c r="J202" s="13">
        <f t="shared" si="155"/>
        <v>0</v>
      </c>
      <c r="K202" s="13">
        <f t="shared" si="155"/>
        <v>0</v>
      </c>
      <c r="L202" s="13">
        <f t="shared" si="155"/>
        <v>0</v>
      </c>
      <c r="M202" s="11">
        <f t="shared" si="155"/>
        <v>0</v>
      </c>
      <c r="N202">
        <f t="shared" si="155"/>
        <v>0</v>
      </c>
      <c r="O202">
        <f t="shared" si="155"/>
        <v>0</v>
      </c>
      <c r="P202">
        <f t="shared" si="155"/>
        <v>0</v>
      </c>
      <c r="Q202">
        <f t="shared" si="155"/>
        <v>0</v>
      </c>
      <c r="R202" s="59" t="str">
        <f t="shared" si="155"/>
        <v>high:</v>
      </c>
      <c r="S202" s="50">
        <f>SUM(Y201,Y204,Y207)</f>
        <v>0.11146691567595504</v>
      </c>
      <c r="T202">
        <f t="shared" si="155"/>
        <v>0</v>
      </c>
      <c r="U202" s="11">
        <f t="shared" si="155"/>
        <v>0</v>
      </c>
      <c r="V202" s="2">
        <f t="shared" si="155"/>
        <v>0</v>
      </c>
      <c r="W202">
        <f t="shared" si="155"/>
        <v>0</v>
      </c>
      <c r="X202">
        <f t="shared" si="155"/>
        <v>0</v>
      </c>
      <c r="Y202">
        <f t="shared" si="155"/>
        <v>0</v>
      </c>
      <c r="Z202" s="13">
        <f t="shared" si="155"/>
        <v>0</v>
      </c>
      <c r="AA202">
        <f t="shared" si="155"/>
        <v>0</v>
      </c>
      <c r="AD202">
        <f t="shared" ref="AD202:AU202" si="156">AD20</f>
        <v>0</v>
      </c>
      <c r="AE202">
        <f t="shared" si="156"/>
        <v>0</v>
      </c>
      <c r="AF202">
        <f t="shared" si="156"/>
        <v>0</v>
      </c>
      <c r="AG202">
        <f t="shared" si="156"/>
        <v>0</v>
      </c>
      <c r="AH202">
        <f t="shared" si="156"/>
        <v>0</v>
      </c>
      <c r="AI202">
        <f t="shared" si="156"/>
        <v>0</v>
      </c>
      <c r="AJ202">
        <f t="shared" si="156"/>
        <v>0</v>
      </c>
      <c r="AK202" s="13">
        <f t="shared" si="156"/>
        <v>0</v>
      </c>
      <c r="AL202" s="13">
        <f t="shared" si="156"/>
        <v>0</v>
      </c>
      <c r="AM202" s="13">
        <f t="shared" si="156"/>
        <v>0</v>
      </c>
      <c r="AN202" s="13">
        <f t="shared" si="156"/>
        <v>0</v>
      </c>
      <c r="AO202" s="13">
        <f t="shared" si="156"/>
        <v>0</v>
      </c>
      <c r="AP202" s="11">
        <f t="shared" si="156"/>
        <v>0</v>
      </c>
      <c r="AQ202">
        <f t="shared" si="156"/>
        <v>0</v>
      </c>
      <c r="AR202">
        <f t="shared" si="156"/>
        <v>0</v>
      </c>
      <c r="AS202">
        <f t="shared" si="156"/>
        <v>0</v>
      </c>
      <c r="AT202">
        <f t="shared" si="156"/>
        <v>0</v>
      </c>
      <c r="AU202" s="59" t="str">
        <f t="shared" si="156"/>
        <v>high:</v>
      </c>
      <c r="AV202" s="50">
        <f>SUM(BB201,BB204,BB207)</f>
        <v>5.9421138653746097E-2</v>
      </c>
      <c r="AW202">
        <f t="shared" ref="AW202:BD202" si="157">AW20</f>
        <v>0</v>
      </c>
      <c r="AX202" s="11">
        <f t="shared" si="157"/>
        <v>0</v>
      </c>
      <c r="AY202" s="2">
        <f t="shared" si="157"/>
        <v>0</v>
      </c>
      <c r="AZ202">
        <f t="shared" si="157"/>
        <v>0</v>
      </c>
      <c r="BA202">
        <f t="shared" si="157"/>
        <v>0</v>
      </c>
      <c r="BB202">
        <f t="shared" si="157"/>
        <v>0</v>
      </c>
      <c r="BC202" s="13">
        <f t="shared" si="157"/>
        <v>0</v>
      </c>
      <c r="BD202">
        <f t="shared" si="157"/>
        <v>0</v>
      </c>
    </row>
    <row r="203" spans="1:56" x14ac:dyDescent="0.3">
      <c r="A203">
        <f t="shared" ref="A203:AA203" si="158">A21</f>
        <v>0</v>
      </c>
      <c r="B203">
        <f t="shared" si="158"/>
        <v>0</v>
      </c>
      <c r="C203">
        <f t="shared" si="158"/>
        <v>0</v>
      </c>
      <c r="D203">
        <f t="shared" si="158"/>
        <v>0</v>
      </c>
      <c r="E203">
        <f t="shared" si="158"/>
        <v>0</v>
      </c>
      <c r="F203">
        <f t="shared" si="158"/>
        <v>0</v>
      </c>
      <c r="G203">
        <f t="shared" si="158"/>
        <v>0</v>
      </c>
      <c r="H203" s="13">
        <f t="shared" si="158"/>
        <v>0</v>
      </c>
      <c r="I203" s="13">
        <f t="shared" si="158"/>
        <v>0</v>
      </c>
      <c r="J203" s="13">
        <f t="shared" si="158"/>
        <v>0</v>
      </c>
      <c r="K203" s="13">
        <f t="shared" si="158"/>
        <v>0</v>
      </c>
      <c r="L203" s="13">
        <f t="shared" si="158"/>
        <v>0</v>
      </c>
      <c r="M203" s="11">
        <f t="shared" si="158"/>
        <v>0</v>
      </c>
      <c r="N203">
        <f t="shared" si="158"/>
        <v>0</v>
      </c>
      <c r="O203">
        <f t="shared" si="158"/>
        <v>0</v>
      </c>
      <c r="P203">
        <f t="shared" si="158"/>
        <v>0</v>
      </c>
      <c r="Q203">
        <f t="shared" si="158"/>
        <v>0</v>
      </c>
      <c r="R203" s="65" t="str">
        <f t="shared" si="158"/>
        <v>sum p10a-c</v>
      </c>
      <c r="S203" s="97">
        <f t="shared" si="158"/>
        <v>0.11146691567595504</v>
      </c>
      <c r="T203" s="438">
        <f t="shared" si="158"/>
        <v>0</v>
      </c>
      <c r="U203" s="18">
        <f t="shared" si="158"/>
        <v>0</v>
      </c>
      <c r="V203" s="12" t="str">
        <f t="shared" si="158"/>
        <v>ED</v>
      </c>
      <c r="W203" s="33">
        <f t="shared" si="158"/>
        <v>29354.522402194692</v>
      </c>
      <c r="X203" s="33">
        <f>L204*X204</f>
        <v>26733.58290199874</v>
      </c>
      <c r="Y203" s="33">
        <f>L205*Y204</f>
        <v>31975.461902390656</v>
      </c>
      <c r="Z203">
        <f t="shared" si="158"/>
        <v>0</v>
      </c>
      <c r="AA203">
        <f t="shared" si="158"/>
        <v>0</v>
      </c>
      <c r="AD203">
        <f t="shared" ref="AD203:AZ203" si="159">AD21</f>
        <v>0</v>
      </c>
      <c r="AE203">
        <f t="shared" si="159"/>
        <v>0</v>
      </c>
      <c r="AF203">
        <f t="shared" si="159"/>
        <v>0</v>
      </c>
      <c r="AG203">
        <f t="shared" si="159"/>
        <v>0</v>
      </c>
      <c r="AH203">
        <f t="shared" si="159"/>
        <v>0</v>
      </c>
      <c r="AI203">
        <f t="shared" si="159"/>
        <v>0</v>
      </c>
      <c r="AJ203">
        <f t="shared" si="159"/>
        <v>0</v>
      </c>
      <c r="AK203" s="13">
        <f t="shared" si="159"/>
        <v>0</v>
      </c>
      <c r="AL203" s="13">
        <f t="shared" si="159"/>
        <v>0</v>
      </c>
      <c r="AM203" s="13">
        <f t="shared" si="159"/>
        <v>0</v>
      </c>
      <c r="AN203" s="13">
        <f t="shared" si="159"/>
        <v>0</v>
      </c>
      <c r="AO203" s="13">
        <f t="shared" si="159"/>
        <v>0</v>
      </c>
      <c r="AP203" s="11">
        <f t="shared" si="159"/>
        <v>0</v>
      </c>
      <c r="AQ203">
        <f t="shared" si="159"/>
        <v>0</v>
      </c>
      <c r="AR203">
        <f t="shared" si="159"/>
        <v>0</v>
      </c>
      <c r="AS203">
        <f t="shared" si="159"/>
        <v>0</v>
      </c>
      <c r="AT203">
        <f t="shared" si="159"/>
        <v>0</v>
      </c>
      <c r="AU203" s="65" t="str">
        <f t="shared" si="159"/>
        <v>sum p10a-c</v>
      </c>
      <c r="AV203" s="97">
        <f t="shared" si="159"/>
        <v>5.9421138653746097E-2</v>
      </c>
      <c r="AW203" s="500">
        <f t="shared" si="159"/>
        <v>0</v>
      </c>
      <c r="AX203" s="18">
        <f t="shared" si="159"/>
        <v>0</v>
      </c>
      <c r="AY203" s="12" t="str">
        <f t="shared" si="159"/>
        <v>ED</v>
      </c>
      <c r="AZ203" s="33">
        <f t="shared" si="159"/>
        <v>16251.999227747803</v>
      </c>
      <c r="BA203" s="33">
        <f>AO204*BA204</f>
        <v>14800.927868127465</v>
      </c>
      <c r="BB203" s="33">
        <f>AO205*BB204</f>
        <v>17703.070587368147</v>
      </c>
      <c r="BC203">
        <f t="shared" ref="BC203:BD203" si="160">BC21</f>
        <v>0</v>
      </c>
      <c r="BD203">
        <f t="shared" si="160"/>
        <v>0</v>
      </c>
    </row>
    <row r="204" spans="1:56" x14ac:dyDescent="0.3">
      <c r="A204">
        <f t="shared" ref="A204:AA204" si="161">A22</f>
        <v>0</v>
      </c>
      <c r="B204">
        <f t="shared" si="161"/>
        <v>0</v>
      </c>
      <c r="C204">
        <f t="shared" si="161"/>
        <v>0</v>
      </c>
      <c r="D204">
        <f t="shared" si="161"/>
        <v>0</v>
      </c>
      <c r="E204">
        <f t="shared" si="161"/>
        <v>0</v>
      </c>
      <c r="F204">
        <f t="shared" si="161"/>
        <v>0</v>
      </c>
      <c r="G204">
        <f t="shared" si="161"/>
        <v>0</v>
      </c>
      <c r="H204" s="13">
        <f t="shared" si="161"/>
        <v>0</v>
      </c>
      <c r="I204" s="13">
        <f t="shared" si="161"/>
        <v>0</v>
      </c>
      <c r="J204" s="13">
        <f t="shared" si="161"/>
        <v>0</v>
      </c>
      <c r="K204" s="2" t="s">
        <v>263</v>
      </c>
      <c r="L204" s="8">
        <f>I212*$L$207</f>
        <v>915242.7770255506</v>
      </c>
      <c r="M204" s="11">
        <f t="shared" si="161"/>
        <v>0</v>
      </c>
      <c r="N204" s="13"/>
      <c r="O204" s="13"/>
      <c r="P204" s="13"/>
      <c r="R204" s="2" t="str">
        <f t="shared" si="161"/>
        <v>Medically Attended for RSV after Maternal Candidate</v>
      </c>
      <c r="S204" s="28">
        <f t="shared" si="161"/>
        <v>89616.944457805526</v>
      </c>
      <c r="T204">
        <f t="shared" si="161"/>
        <v>0</v>
      </c>
      <c r="U204" s="11">
        <f t="shared" si="161"/>
        <v>0</v>
      </c>
      <c r="V204" s="2" t="str">
        <f t="shared" si="161"/>
        <v>p10b</v>
      </c>
      <c r="W204" s="61">
        <f>$W$22</f>
        <v>2.9209280393209185E-2</v>
      </c>
      <c r="X204" s="61">
        <f t="shared" ref="X204:Y204" si="162">$W$22</f>
        <v>2.9209280393209185E-2</v>
      </c>
      <c r="Y204" s="61">
        <f t="shared" si="162"/>
        <v>2.9209280393209185E-2</v>
      </c>
      <c r="Z204">
        <f t="shared" si="161"/>
        <v>0</v>
      </c>
      <c r="AA204">
        <f t="shared" si="161"/>
        <v>0</v>
      </c>
      <c r="AD204">
        <f t="shared" ref="AD204:AM204" si="163">AD22</f>
        <v>0</v>
      </c>
      <c r="AE204">
        <f t="shared" si="163"/>
        <v>0</v>
      </c>
      <c r="AF204">
        <f t="shared" si="163"/>
        <v>0</v>
      </c>
      <c r="AG204">
        <f t="shared" si="163"/>
        <v>0</v>
      </c>
      <c r="AH204">
        <f t="shared" si="163"/>
        <v>0</v>
      </c>
      <c r="AI204">
        <f t="shared" si="163"/>
        <v>0</v>
      </c>
      <c r="AJ204">
        <f t="shared" si="163"/>
        <v>0</v>
      </c>
      <c r="AK204" s="13">
        <f t="shared" si="163"/>
        <v>0</v>
      </c>
      <c r="AL204" s="13">
        <f t="shared" si="163"/>
        <v>0</v>
      </c>
      <c r="AM204" s="13">
        <f t="shared" si="163"/>
        <v>0</v>
      </c>
      <c r="AN204" s="2" t="s">
        <v>263</v>
      </c>
      <c r="AO204" s="8">
        <f>AL212*$L$207</f>
        <v>915242.7770255506</v>
      </c>
      <c r="AP204" s="11">
        <f t="shared" ref="AP204" si="164">AP22</f>
        <v>0</v>
      </c>
      <c r="AQ204" s="13"/>
      <c r="AR204" s="13"/>
      <c r="AS204" s="13"/>
      <c r="AU204" s="2" t="str">
        <f t="shared" ref="AU204:AY204" si="165">AU22</f>
        <v>Medically Attended for RSV after Maternal Candidate</v>
      </c>
      <c r="AV204" s="28">
        <f t="shared" si="165"/>
        <v>47773.286360887723</v>
      </c>
      <c r="AW204">
        <f t="shared" si="165"/>
        <v>0</v>
      </c>
      <c r="AX204" s="11">
        <f t="shared" si="165"/>
        <v>0</v>
      </c>
      <c r="AY204" s="2" t="str">
        <f t="shared" si="165"/>
        <v>p10b</v>
      </c>
      <c r="AZ204" s="61">
        <f>AZ22</f>
        <v>1.6171586643086145E-2</v>
      </c>
      <c r="BA204" s="61">
        <f>AZ204</f>
        <v>1.6171586643086145E-2</v>
      </c>
      <c r="BB204" s="61">
        <f>AZ204</f>
        <v>1.6171586643086145E-2</v>
      </c>
      <c r="BC204">
        <f t="shared" ref="BC204:BD204" si="166">BC22</f>
        <v>0</v>
      </c>
      <c r="BD204">
        <f t="shared" si="166"/>
        <v>0</v>
      </c>
    </row>
    <row r="205" spans="1:56" x14ac:dyDescent="0.3">
      <c r="A205">
        <f t="shared" ref="A205:AA205" si="167">A23</f>
        <v>0</v>
      </c>
      <c r="B205">
        <f t="shared" si="167"/>
        <v>0</v>
      </c>
      <c r="C205">
        <f t="shared" si="167"/>
        <v>0</v>
      </c>
      <c r="D205">
        <f t="shared" si="167"/>
        <v>0</v>
      </c>
      <c r="E205">
        <f t="shared" si="167"/>
        <v>0</v>
      </c>
      <c r="F205">
        <f t="shared" si="167"/>
        <v>0</v>
      </c>
      <c r="G205">
        <f t="shared" si="167"/>
        <v>0</v>
      </c>
      <c r="H205" s="13">
        <f t="shared" si="167"/>
        <v>0</v>
      </c>
      <c r="I205" s="13">
        <f t="shared" si="167"/>
        <v>0</v>
      </c>
      <c r="J205" s="13">
        <f t="shared" si="167"/>
        <v>0</v>
      </c>
      <c r="K205" s="2" t="s">
        <v>264</v>
      </c>
      <c r="L205" s="8">
        <f>I213*$L$207</f>
        <v>1094702.1450697763</v>
      </c>
      <c r="M205" s="11">
        <f t="shared" si="167"/>
        <v>0</v>
      </c>
      <c r="N205" s="14">
        <f t="shared" si="167"/>
        <v>0</v>
      </c>
      <c r="O205" s="88"/>
      <c r="P205" s="89"/>
      <c r="R205" s="14" t="str">
        <f t="shared" si="167"/>
        <v>protection has waned</v>
      </c>
      <c r="S205">
        <f t="shared" si="167"/>
        <v>0</v>
      </c>
      <c r="T205">
        <f t="shared" si="167"/>
        <v>0</v>
      </c>
      <c r="U205" s="11">
        <f t="shared" si="167"/>
        <v>0</v>
      </c>
      <c r="V205" s="2">
        <f t="shared" si="167"/>
        <v>0</v>
      </c>
      <c r="W205">
        <f t="shared" si="167"/>
        <v>0</v>
      </c>
      <c r="X205">
        <f t="shared" si="167"/>
        <v>0</v>
      </c>
      <c r="Y205">
        <f t="shared" si="167"/>
        <v>0</v>
      </c>
      <c r="Z205">
        <f t="shared" si="167"/>
        <v>0</v>
      </c>
      <c r="AA205">
        <f t="shared" si="167"/>
        <v>0</v>
      </c>
      <c r="AD205">
        <f t="shared" ref="AD205:AM205" si="168">AD23</f>
        <v>0</v>
      </c>
      <c r="AE205">
        <f t="shared" si="168"/>
        <v>0</v>
      </c>
      <c r="AF205">
        <f t="shared" si="168"/>
        <v>0</v>
      </c>
      <c r="AG205">
        <f t="shared" si="168"/>
        <v>0</v>
      </c>
      <c r="AH205">
        <f t="shared" si="168"/>
        <v>0</v>
      </c>
      <c r="AI205">
        <f t="shared" si="168"/>
        <v>0</v>
      </c>
      <c r="AJ205">
        <f t="shared" si="168"/>
        <v>0</v>
      </c>
      <c r="AK205" s="13">
        <f t="shared" si="168"/>
        <v>0</v>
      </c>
      <c r="AL205" s="13">
        <f t="shared" si="168"/>
        <v>0</v>
      </c>
      <c r="AM205" s="13">
        <f t="shared" si="168"/>
        <v>0</v>
      </c>
      <c r="AN205" s="2" t="s">
        <v>264</v>
      </c>
      <c r="AO205" s="8">
        <f>AL213*$L$207</f>
        <v>1094702.1450697763</v>
      </c>
      <c r="AP205" s="11">
        <f t="shared" ref="AP205:AQ205" si="169">AP23</f>
        <v>0</v>
      </c>
      <c r="AQ205" s="14">
        <f t="shared" si="169"/>
        <v>0</v>
      </c>
      <c r="AR205" s="88"/>
      <c r="AS205" s="89"/>
      <c r="AU205" s="14" t="str">
        <f t="shared" ref="AU205:BD205" si="170">AU23</f>
        <v>protection has waned</v>
      </c>
      <c r="AV205">
        <f t="shared" si="170"/>
        <v>0</v>
      </c>
      <c r="AW205">
        <f t="shared" si="170"/>
        <v>0</v>
      </c>
      <c r="AX205" s="11">
        <f t="shared" si="170"/>
        <v>0</v>
      </c>
      <c r="AY205" s="2">
        <f t="shared" si="170"/>
        <v>0</v>
      </c>
      <c r="AZ205">
        <f t="shared" si="170"/>
        <v>0</v>
      </c>
      <c r="BA205">
        <f t="shared" si="170"/>
        <v>0</v>
      </c>
      <c r="BB205">
        <f t="shared" si="170"/>
        <v>0</v>
      </c>
      <c r="BC205">
        <f t="shared" si="170"/>
        <v>0</v>
      </c>
      <c r="BD205">
        <f t="shared" si="170"/>
        <v>0</v>
      </c>
    </row>
    <row r="206" spans="1:56" x14ac:dyDescent="0.3">
      <c r="A206">
        <f t="shared" ref="A206:AA206" si="171">A24</f>
        <v>0</v>
      </c>
      <c r="B206">
        <f t="shared" si="171"/>
        <v>0</v>
      </c>
      <c r="C206">
        <f t="shared" si="171"/>
        <v>0</v>
      </c>
      <c r="D206">
        <f t="shared" si="171"/>
        <v>0</v>
      </c>
      <c r="E206">
        <f t="shared" si="171"/>
        <v>0</v>
      </c>
      <c r="F206">
        <f t="shared" si="171"/>
        <v>0</v>
      </c>
      <c r="G206">
        <f t="shared" si="171"/>
        <v>0</v>
      </c>
      <c r="H206" s="13">
        <f t="shared" si="171"/>
        <v>0</v>
      </c>
      <c r="I206" s="13"/>
      <c r="J206" s="13"/>
      <c r="K206" s="12" t="str">
        <f t="shared" si="171"/>
        <v>successful antibody transfer</v>
      </c>
      <c r="L206" s="90">
        <f t="shared" si="171"/>
        <v>1004972.4610476634</v>
      </c>
      <c r="M206" s="11">
        <f t="shared" si="171"/>
        <v>0</v>
      </c>
      <c r="N206" s="13">
        <f t="shared" si="171"/>
        <v>0</v>
      </c>
      <c r="O206" s="13">
        <f t="shared" si="171"/>
        <v>0</v>
      </c>
      <c r="P206" s="13">
        <f t="shared" si="171"/>
        <v>0</v>
      </c>
      <c r="Q206">
        <f t="shared" si="171"/>
        <v>0</v>
      </c>
      <c r="R206" s="2" t="s">
        <v>263</v>
      </c>
      <c r="S206" s="301">
        <f>N196*S201</f>
        <v>81615.431559787176</v>
      </c>
      <c r="T206">
        <f t="shared" si="171"/>
        <v>0</v>
      </c>
      <c r="U206" s="18"/>
      <c r="V206" s="12" t="str">
        <f t="shared" si="171"/>
        <v>Hospitalized</v>
      </c>
      <c r="W206" s="30">
        <f t="shared" si="171"/>
        <v>3705.5018416971602</v>
      </c>
      <c r="X206" s="33">
        <f>L204*X207</f>
        <v>3374.6534629741996</v>
      </c>
      <c r="Y206" s="33">
        <f>L205*Y207</f>
        <v>4036.3502204201218</v>
      </c>
      <c r="Z206">
        <f t="shared" si="171"/>
        <v>0</v>
      </c>
      <c r="AA206">
        <f t="shared" si="171"/>
        <v>0</v>
      </c>
      <c r="AD206">
        <f t="shared" ref="AD206:AK206" si="172">AD24</f>
        <v>0</v>
      </c>
      <c r="AE206">
        <f t="shared" si="172"/>
        <v>0</v>
      </c>
      <c r="AF206">
        <f t="shared" si="172"/>
        <v>0</v>
      </c>
      <c r="AG206">
        <f t="shared" si="172"/>
        <v>0</v>
      </c>
      <c r="AH206">
        <f t="shared" si="172"/>
        <v>0</v>
      </c>
      <c r="AI206">
        <f t="shared" si="172"/>
        <v>0</v>
      </c>
      <c r="AJ206">
        <f t="shared" si="172"/>
        <v>0</v>
      </c>
      <c r="AK206" s="13">
        <f t="shared" si="172"/>
        <v>0</v>
      </c>
      <c r="AL206" s="13"/>
      <c r="AM206" s="13"/>
      <c r="AN206" s="12" t="str">
        <f t="shared" ref="AN206:AT206" si="173">AN24</f>
        <v>successful antibody transfer</v>
      </c>
      <c r="AO206" s="90">
        <f t="shared" si="173"/>
        <v>1004972.4610476634</v>
      </c>
      <c r="AP206" s="11">
        <f t="shared" si="173"/>
        <v>0</v>
      </c>
      <c r="AQ206" s="13">
        <f t="shared" si="173"/>
        <v>0</v>
      </c>
      <c r="AR206" s="13">
        <f t="shared" si="173"/>
        <v>0</v>
      </c>
      <c r="AS206" s="13">
        <f t="shared" si="173"/>
        <v>0</v>
      </c>
      <c r="AT206">
        <f t="shared" si="173"/>
        <v>0</v>
      </c>
      <c r="AU206" s="2" t="s">
        <v>263</v>
      </c>
      <c r="AV206" s="301">
        <f>AQ196*AV201</f>
        <v>43507.81436437989</v>
      </c>
      <c r="AW206">
        <f t="shared" ref="AW206" si="174">AW24</f>
        <v>0</v>
      </c>
      <c r="AX206" s="18"/>
      <c r="AY206" s="12" t="str">
        <f t="shared" ref="AY206:AZ206" si="175">AY24</f>
        <v>Hospitalized</v>
      </c>
      <c r="AZ206" s="30">
        <f t="shared" si="175"/>
        <v>1927.0162388033784</v>
      </c>
      <c r="BA206" s="33">
        <f>AO204*BA207</f>
        <v>1754.9612174816484</v>
      </c>
      <c r="BB206" s="33">
        <f>AO205*BB207</f>
        <v>2099.0712601251089</v>
      </c>
      <c r="BC206">
        <f t="shared" ref="BC206:BD206" si="176">BC24</f>
        <v>0</v>
      </c>
      <c r="BD206">
        <f t="shared" si="176"/>
        <v>0</v>
      </c>
    </row>
    <row r="207" spans="1:56" x14ac:dyDescent="0.3">
      <c r="A207">
        <f t="shared" ref="A207:AA207" si="177">A25</f>
        <v>0</v>
      </c>
      <c r="B207">
        <f t="shared" si="177"/>
        <v>0</v>
      </c>
      <c r="C207">
        <f t="shared" si="177"/>
        <v>0</v>
      </c>
      <c r="D207">
        <f t="shared" si="177"/>
        <v>0</v>
      </c>
      <c r="E207">
        <f t="shared" si="177"/>
        <v>0</v>
      </c>
      <c r="F207">
        <f t="shared" si="177"/>
        <v>0</v>
      </c>
      <c r="G207">
        <f t="shared" si="177"/>
        <v>0</v>
      </c>
      <c r="H207">
        <f t="shared" si="177"/>
        <v>0</v>
      </c>
      <c r="I207" s="8">
        <f t="shared" si="177"/>
        <v>0</v>
      </c>
      <c r="J207">
        <f t="shared" si="177"/>
        <v>0</v>
      </c>
      <c r="K207" s="59" t="str">
        <f t="shared" si="177"/>
        <v>p8</v>
      </c>
      <c r="L207" s="96">
        <f t="shared" si="177"/>
        <v>0.91860728333333341</v>
      </c>
      <c r="M207" s="11">
        <f t="shared" si="177"/>
        <v>0</v>
      </c>
      <c r="N207">
        <f t="shared" si="177"/>
        <v>0</v>
      </c>
      <c r="O207">
        <f t="shared" si="177"/>
        <v>0</v>
      </c>
      <c r="P207">
        <f t="shared" si="177"/>
        <v>0</v>
      </c>
      <c r="Q207">
        <f t="shared" si="177"/>
        <v>0</v>
      </c>
      <c r="R207" s="2" t="s">
        <v>264</v>
      </c>
      <c r="S207" s="301">
        <f>N197*S202</f>
        <v>97618.457355823906</v>
      </c>
      <c r="T207">
        <f t="shared" si="177"/>
        <v>0</v>
      </c>
      <c r="U207">
        <f t="shared" si="177"/>
        <v>0</v>
      </c>
      <c r="V207" s="2" t="str">
        <f t="shared" si="177"/>
        <v>p10a</v>
      </c>
      <c r="W207" s="61">
        <f>$W$25</f>
        <v>3.6871675447049065E-3</v>
      </c>
      <c r="X207" s="61">
        <f t="shared" ref="X207:Y207" si="178">$W$25</f>
        <v>3.6871675447049065E-3</v>
      </c>
      <c r="Y207" s="61">
        <f t="shared" si="178"/>
        <v>3.6871675447049065E-3</v>
      </c>
      <c r="Z207">
        <f t="shared" si="177"/>
        <v>0</v>
      </c>
      <c r="AA207">
        <f t="shared" si="177"/>
        <v>0</v>
      </c>
      <c r="AD207">
        <f t="shared" ref="AD207:AT207" si="179">AD25</f>
        <v>0</v>
      </c>
      <c r="AE207">
        <f t="shared" si="179"/>
        <v>0</v>
      </c>
      <c r="AF207">
        <f t="shared" si="179"/>
        <v>0</v>
      </c>
      <c r="AG207">
        <f t="shared" si="179"/>
        <v>0</v>
      </c>
      <c r="AH207">
        <f t="shared" si="179"/>
        <v>0</v>
      </c>
      <c r="AI207">
        <f t="shared" si="179"/>
        <v>0</v>
      </c>
      <c r="AJ207">
        <f t="shared" si="179"/>
        <v>0</v>
      </c>
      <c r="AK207">
        <f t="shared" si="179"/>
        <v>0</v>
      </c>
      <c r="AL207" s="8">
        <f t="shared" si="179"/>
        <v>0</v>
      </c>
      <c r="AM207">
        <f t="shared" si="179"/>
        <v>0</v>
      </c>
      <c r="AN207" s="59" t="str">
        <f t="shared" si="179"/>
        <v>p8</v>
      </c>
      <c r="AO207" s="96">
        <f t="shared" si="179"/>
        <v>0.91860728333333341</v>
      </c>
      <c r="AP207" s="11">
        <f t="shared" si="179"/>
        <v>0</v>
      </c>
      <c r="AQ207">
        <f t="shared" si="179"/>
        <v>0</v>
      </c>
      <c r="AR207">
        <f t="shared" si="179"/>
        <v>0</v>
      </c>
      <c r="AS207">
        <f t="shared" si="179"/>
        <v>0</v>
      </c>
      <c r="AT207">
        <f t="shared" si="179"/>
        <v>0</v>
      </c>
      <c r="AU207" s="2" t="s">
        <v>264</v>
      </c>
      <c r="AV207" s="301">
        <f>AQ197*AV202</f>
        <v>52038.758357395571</v>
      </c>
      <c r="AW207">
        <f t="shared" ref="AW207:AY207" si="180">AW25</f>
        <v>0</v>
      </c>
      <c r="AX207">
        <f t="shared" si="180"/>
        <v>0</v>
      </c>
      <c r="AY207" s="2" t="str">
        <f t="shared" si="180"/>
        <v>p10a</v>
      </c>
      <c r="AZ207" s="61">
        <f>AZ25</f>
        <v>1.917481636058468E-3</v>
      </c>
      <c r="BA207" s="61">
        <f>AZ207</f>
        <v>1.917481636058468E-3</v>
      </c>
      <c r="BB207" s="61">
        <f>AZ207</f>
        <v>1.917481636058468E-3</v>
      </c>
      <c r="BC207">
        <f t="shared" ref="BC207:BD207" si="181">BC25</f>
        <v>0</v>
      </c>
      <c r="BD207">
        <f t="shared" si="181"/>
        <v>0</v>
      </c>
    </row>
    <row r="208" spans="1:56" x14ac:dyDescent="0.3">
      <c r="A208">
        <f t="shared" ref="A208:AA208" si="182">A26</f>
        <v>0</v>
      </c>
      <c r="B208">
        <f t="shared" si="182"/>
        <v>0</v>
      </c>
      <c r="C208">
        <f t="shared" si="182"/>
        <v>0</v>
      </c>
      <c r="D208">
        <f t="shared" si="182"/>
        <v>0</v>
      </c>
      <c r="E208">
        <f t="shared" si="182"/>
        <v>0</v>
      </c>
      <c r="F208">
        <f t="shared" si="182"/>
        <v>0</v>
      </c>
      <c r="G208">
        <f t="shared" si="182"/>
        <v>0</v>
      </c>
      <c r="H208">
        <f t="shared" si="182"/>
        <v>0</v>
      </c>
      <c r="I208" s="8">
        <f t="shared" si="182"/>
        <v>0</v>
      </c>
      <c r="J208">
        <f t="shared" si="182"/>
        <v>0</v>
      </c>
      <c r="K208" s="11">
        <f t="shared" si="182"/>
        <v>0</v>
      </c>
      <c r="L208">
        <f t="shared" si="182"/>
        <v>0</v>
      </c>
      <c r="M208" s="11">
        <f t="shared" si="182"/>
        <v>0</v>
      </c>
      <c r="N208">
        <f t="shared" si="182"/>
        <v>0</v>
      </c>
      <c r="O208">
        <f t="shared" si="182"/>
        <v>0</v>
      </c>
      <c r="P208">
        <f t="shared" si="182"/>
        <v>0</v>
      </c>
      <c r="Q208">
        <f t="shared" si="182"/>
        <v>0</v>
      </c>
      <c r="R208">
        <f t="shared" si="182"/>
        <v>0</v>
      </c>
      <c r="S208">
        <f t="shared" si="182"/>
        <v>0</v>
      </c>
      <c r="T208">
        <f t="shared" si="182"/>
        <v>0</v>
      </c>
      <c r="U208">
        <f t="shared" si="182"/>
        <v>0</v>
      </c>
      <c r="V208">
        <f t="shared" si="182"/>
        <v>0</v>
      </c>
      <c r="W208">
        <f t="shared" si="182"/>
        <v>0</v>
      </c>
      <c r="X208">
        <f t="shared" si="182"/>
        <v>0</v>
      </c>
      <c r="Y208">
        <f t="shared" si="182"/>
        <v>0</v>
      </c>
      <c r="Z208">
        <f t="shared" si="182"/>
        <v>0</v>
      </c>
      <c r="AA208">
        <f t="shared" si="182"/>
        <v>0</v>
      </c>
      <c r="AD208">
        <f t="shared" ref="AD208:BD208" si="183">AD26</f>
        <v>0</v>
      </c>
      <c r="AE208">
        <f t="shared" si="183"/>
        <v>0</v>
      </c>
      <c r="AF208">
        <f t="shared" si="183"/>
        <v>0</v>
      </c>
      <c r="AG208">
        <f t="shared" si="183"/>
        <v>0</v>
      </c>
      <c r="AH208">
        <f t="shared" si="183"/>
        <v>0</v>
      </c>
      <c r="AI208">
        <f t="shared" si="183"/>
        <v>0</v>
      </c>
      <c r="AJ208">
        <f t="shared" si="183"/>
        <v>0</v>
      </c>
      <c r="AK208">
        <f t="shared" si="183"/>
        <v>0</v>
      </c>
      <c r="AL208" s="8">
        <f t="shared" si="183"/>
        <v>0</v>
      </c>
      <c r="AM208">
        <f t="shared" si="183"/>
        <v>0</v>
      </c>
      <c r="AN208" s="11">
        <f t="shared" si="183"/>
        <v>0</v>
      </c>
      <c r="AO208">
        <f t="shared" si="183"/>
        <v>0</v>
      </c>
      <c r="AP208" s="11">
        <f t="shared" si="183"/>
        <v>0</v>
      </c>
      <c r="AQ208">
        <f t="shared" si="183"/>
        <v>0</v>
      </c>
      <c r="AR208">
        <f t="shared" si="183"/>
        <v>0</v>
      </c>
      <c r="AS208">
        <f t="shared" si="183"/>
        <v>0</v>
      </c>
      <c r="AT208">
        <f t="shared" si="183"/>
        <v>0</v>
      </c>
      <c r="AU208">
        <f t="shared" si="183"/>
        <v>0</v>
      </c>
      <c r="AV208">
        <f t="shared" si="183"/>
        <v>0</v>
      </c>
      <c r="AW208">
        <f t="shared" si="183"/>
        <v>0</v>
      </c>
      <c r="AX208">
        <f t="shared" si="183"/>
        <v>0</v>
      </c>
      <c r="AY208">
        <f t="shared" si="183"/>
        <v>0</v>
      </c>
      <c r="AZ208">
        <f t="shared" si="183"/>
        <v>0</v>
      </c>
      <c r="BA208">
        <f t="shared" si="183"/>
        <v>0</v>
      </c>
      <c r="BB208">
        <f t="shared" si="183"/>
        <v>0</v>
      </c>
      <c r="BC208">
        <f t="shared" si="183"/>
        <v>0</v>
      </c>
      <c r="BD208">
        <f t="shared" si="183"/>
        <v>0</v>
      </c>
    </row>
    <row r="209" spans="1:56" x14ac:dyDescent="0.3">
      <c r="A209">
        <f t="shared" ref="A209:AA209" si="184">A27</f>
        <v>0</v>
      </c>
      <c r="B209">
        <f t="shared" si="184"/>
        <v>0</v>
      </c>
      <c r="C209">
        <f t="shared" si="184"/>
        <v>0</v>
      </c>
      <c r="D209">
        <f t="shared" si="184"/>
        <v>0</v>
      </c>
      <c r="E209">
        <f t="shared" si="184"/>
        <v>0</v>
      </c>
      <c r="F209">
        <f t="shared" si="184"/>
        <v>0</v>
      </c>
      <c r="G209">
        <f t="shared" si="184"/>
        <v>0</v>
      </c>
      <c r="H209">
        <f t="shared" si="184"/>
        <v>0</v>
      </c>
      <c r="I209" s="8">
        <f t="shared" si="184"/>
        <v>0</v>
      </c>
      <c r="J209">
        <f t="shared" si="184"/>
        <v>0</v>
      </c>
      <c r="K209" s="11">
        <f t="shared" si="184"/>
        <v>0</v>
      </c>
      <c r="L209">
        <f t="shared" si="184"/>
        <v>0</v>
      </c>
      <c r="M209" s="11">
        <f t="shared" si="184"/>
        <v>0</v>
      </c>
      <c r="N209">
        <f t="shared" si="184"/>
        <v>0</v>
      </c>
      <c r="O209">
        <f t="shared" si="184"/>
        <v>0</v>
      </c>
      <c r="P209">
        <f t="shared" si="184"/>
        <v>0</v>
      </c>
      <c r="Q209">
        <f t="shared" si="184"/>
        <v>0</v>
      </c>
      <c r="R209">
        <f t="shared" si="184"/>
        <v>0</v>
      </c>
      <c r="S209">
        <f t="shared" si="184"/>
        <v>0</v>
      </c>
      <c r="T209">
        <f t="shared" si="184"/>
        <v>0</v>
      </c>
      <c r="U209">
        <f t="shared" si="184"/>
        <v>0</v>
      </c>
      <c r="V209">
        <f t="shared" si="184"/>
        <v>0</v>
      </c>
      <c r="W209">
        <f t="shared" si="184"/>
        <v>0</v>
      </c>
      <c r="X209">
        <f t="shared" si="184"/>
        <v>0</v>
      </c>
      <c r="Y209">
        <f t="shared" si="184"/>
        <v>0</v>
      </c>
      <c r="Z209">
        <f t="shared" si="184"/>
        <v>0</v>
      </c>
      <c r="AA209">
        <f t="shared" si="184"/>
        <v>0</v>
      </c>
      <c r="AD209">
        <f t="shared" ref="AD209:BD209" si="185">AD27</f>
        <v>0</v>
      </c>
      <c r="AE209">
        <f t="shared" si="185"/>
        <v>0</v>
      </c>
      <c r="AF209">
        <f t="shared" si="185"/>
        <v>0</v>
      </c>
      <c r="AG209">
        <f t="shared" si="185"/>
        <v>0</v>
      </c>
      <c r="AH209">
        <f t="shared" si="185"/>
        <v>0</v>
      </c>
      <c r="AI209">
        <f t="shared" si="185"/>
        <v>0</v>
      </c>
      <c r="AJ209">
        <f t="shared" si="185"/>
        <v>0</v>
      </c>
      <c r="AK209">
        <f t="shared" si="185"/>
        <v>0</v>
      </c>
      <c r="AL209" s="8">
        <f t="shared" si="185"/>
        <v>0</v>
      </c>
      <c r="AM209">
        <f t="shared" si="185"/>
        <v>0</v>
      </c>
      <c r="AN209" s="11">
        <f t="shared" si="185"/>
        <v>0</v>
      </c>
      <c r="AO209">
        <f t="shared" si="185"/>
        <v>0</v>
      </c>
      <c r="AP209" s="11">
        <f t="shared" si="185"/>
        <v>0</v>
      </c>
      <c r="AQ209">
        <f t="shared" si="185"/>
        <v>0</v>
      </c>
      <c r="AR209">
        <f t="shared" si="185"/>
        <v>0</v>
      </c>
      <c r="AS209">
        <f t="shared" si="185"/>
        <v>0</v>
      </c>
      <c r="AT209">
        <f t="shared" si="185"/>
        <v>0</v>
      </c>
      <c r="AU209">
        <f t="shared" si="185"/>
        <v>0</v>
      </c>
      <c r="AV209">
        <f t="shared" si="185"/>
        <v>0</v>
      </c>
      <c r="AW209">
        <f t="shared" si="185"/>
        <v>0</v>
      </c>
      <c r="AX209">
        <f t="shared" si="185"/>
        <v>0</v>
      </c>
      <c r="AY209">
        <f t="shared" si="185"/>
        <v>0</v>
      </c>
      <c r="AZ209">
        <f t="shared" si="185"/>
        <v>0</v>
      </c>
      <c r="BA209">
        <f t="shared" si="185"/>
        <v>0</v>
      </c>
      <c r="BB209">
        <f t="shared" si="185"/>
        <v>0</v>
      </c>
      <c r="BC209">
        <f t="shared" si="185"/>
        <v>0</v>
      </c>
      <c r="BD209">
        <f t="shared" si="185"/>
        <v>0</v>
      </c>
    </row>
    <row r="210" spans="1:56" x14ac:dyDescent="0.3">
      <c r="A210" t="str">
        <f t="shared" ref="A210:AA210" si="186">A28</f>
        <v>sum check row</v>
      </c>
      <c r="B210">
        <f t="shared" si="186"/>
        <v>0</v>
      </c>
      <c r="C210">
        <f t="shared" si="186"/>
        <v>0</v>
      </c>
      <c r="D210">
        <f t="shared" si="186"/>
        <v>0</v>
      </c>
      <c r="E210">
        <f t="shared" si="186"/>
        <v>0</v>
      </c>
      <c r="F210">
        <f t="shared" si="186"/>
        <v>0</v>
      </c>
      <c r="G210">
        <f t="shared" si="186"/>
        <v>0</v>
      </c>
      <c r="H210">
        <f t="shared" si="186"/>
        <v>0</v>
      </c>
      <c r="I210">
        <f t="shared" si="186"/>
        <v>0</v>
      </c>
      <c r="J210">
        <f t="shared" si="186"/>
        <v>0</v>
      </c>
      <c r="K210" s="11">
        <f t="shared" si="186"/>
        <v>0</v>
      </c>
      <c r="L210">
        <f t="shared" si="186"/>
        <v>0</v>
      </c>
      <c r="M210" s="11">
        <f t="shared" si="186"/>
        <v>0</v>
      </c>
      <c r="N210">
        <f t="shared" si="186"/>
        <v>0</v>
      </c>
      <c r="O210">
        <f t="shared" si="186"/>
        <v>0</v>
      </c>
      <c r="P210">
        <f t="shared" si="186"/>
        <v>0</v>
      </c>
      <c r="Q210">
        <f t="shared" si="186"/>
        <v>0</v>
      </c>
      <c r="R210">
        <f t="shared" si="186"/>
        <v>0</v>
      </c>
      <c r="S210" s="22">
        <f t="shared" si="186"/>
        <v>0</v>
      </c>
      <c r="T210">
        <f t="shared" si="186"/>
        <v>0</v>
      </c>
      <c r="U210">
        <f t="shared" si="186"/>
        <v>0</v>
      </c>
      <c r="V210" s="2" t="str">
        <f t="shared" si="186"/>
        <v>sum check</v>
      </c>
      <c r="W210" s="56">
        <f t="shared" si="186"/>
        <v>112021.1805722569</v>
      </c>
      <c r="X210">
        <f t="shared" si="186"/>
        <v>0</v>
      </c>
      <c r="Y210">
        <f t="shared" si="186"/>
        <v>0</v>
      </c>
      <c r="Z210">
        <f t="shared" si="186"/>
        <v>0</v>
      </c>
      <c r="AA210">
        <f t="shared" si="186"/>
        <v>0</v>
      </c>
      <c r="AD210" t="str">
        <f t="shared" ref="AD210:BD210" si="187">AD28</f>
        <v>sum check row</v>
      </c>
      <c r="AE210">
        <f t="shared" si="187"/>
        <v>0</v>
      </c>
      <c r="AF210">
        <f t="shared" si="187"/>
        <v>0</v>
      </c>
      <c r="AG210">
        <f t="shared" si="187"/>
        <v>0</v>
      </c>
      <c r="AH210">
        <f t="shared" si="187"/>
        <v>0</v>
      </c>
      <c r="AI210">
        <f t="shared" si="187"/>
        <v>0</v>
      </c>
      <c r="AJ210">
        <f t="shared" si="187"/>
        <v>0</v>
      </c>
      <c r="AK210">
        <f t="shared" si="187"/>
        <v>0</v>
      </c>
      <c r="AL210">
        <f t="shared" si="187"/>
        <v>0</v>
      </c>
      <c r="AM210">
        <f t="shared" si="187"/>
        <v>0</v>
      </c>
      <c r="AN210" s="11">
        <f t="shared" si="187"/>
        <v>0</v>
      </c>
      <c r="AO210">
        <f t="shared" si="187"/>
        <v>0</v>
      </c>
      <c r="AP210" s="11">
        <f t="shared" si="187"/>
        <v>0</v>
      </c>
      <c r="AQ210">
        <f t="shared" si="187"/>
        <v>0</v>
      </c>
      <c r="AR210">
        <f t="shared" si="187"/>
        <v>0</v>
      </c>
      <c r="AS210">
        <f t="shared" si="187"/>
        <v>0</v>
      </c>
      <c r="AT210">
        <f t="shared" si="187"/>
        <v>0</v>
      </c>
      <c r="AU210">
        <f t="shared" si="187"/>
        <v>0</v>
      </c>
      <c r="AV210" s="22">
        <f t="shared" si="187"/>
        <v>0</v>
      </c>
      <c r="AW210">
        <f t="shared" si="187"/>
        <v>0</v>
      </c>
      <c r="AX210">
        <f t="shared" si="187"/>
        <v>0</v>
      </c>
      <c r="AY210" s="2" t="str">
        <f t="shared" si="187"/>
        <v>sum check</v>
      </c>
      <c r="AZ210" s="56">
        <f t="shared" si="187"/>
        <v>59716.607951109647</v>
      </c>
      <c r="BA210">
        <f t="shared" si="187"/>
        <v>0</v>
      </c>
      <c r="BB210">
        <f t="shared" si="187"/>
        <v>0</v>
      </c>
      <c r="BC210">
        <f t="shared" si="187"/>
        <v>0</v>
      </c>
      <c r="BD210">
        <f t="shared" si="187"/>
        <v>0</v>
      </c>
    </row>
    <row r="211" spans="1:56" x14ac:dyDescent="0.3">
      <c r="A211" t="str">
        <f t="shared" ref="A211:AA211" si="188">A29</f>
        <v>sum check row</v>
      </c>
      <c r="B211">
        <f t="shared" si="188"/>
        <v>0</v>
      </c>
      <c r="C211">
        <f t="shared" si="188"/>
        <v>0</v>
      </c>
      <c r="D211">
        <f t="shared" si="188"/>
        <v>0</v>
      </c>
      <c r="E211">
        <f t="shared" si="188"/>
        <v>0</v>
      </c>
      <c r="F211">
        <f t="shared" si="188"/>
        <v>0</v>
      </c>
      <c r="G211" s="13">
        <f t="shared" si="188"/>
        <v>0</v>
      </c>
      <c r="H211">
        <f t="shared" si="188"/>
        <v>0</v>
      </c>
      <c r="I211">
        <f t="shared" si="188"/>
        <v>0</v>
      </c>
      <c r="J211">
        <f t="shared" si="188"/>
        <v>0</v>
      </c>
      <c r="K211" s="11">
        <f t="shared" si="188"/>
        <v>0</v>
      </c>
      <c r="L211">
        <f t="shared" si="188"/>
        <v>0</v>
      </c>
      <c r="M211" s="11">
        <f t="shared" si="188"/>
        <v>0</v>
      </c>
      <c r="N211">
        <f t="shared" si="188"/>
        <v>0</v>
      </c>
      <c r="O211">
        <f t="shared" si="188"/>
        <v>0</v>
      </c>
      <c r="P211">
        <f t="shared" si="188"/>
        <v>0</v>
      </c>
      <c r="Q211">
        <f t="shared" si="188"/>
        <v>0</v>
      </c>
      <c r="R211">
        <f t="shared" si="188"/>
        <v>0</v>
      </c>
      <c r="S211" s="8">
        <f t="shared" si="188"/>
        <v>0</v>
      </c>
      <c r="T211">
        <f t="shared" si="188"/>
        <v>0</v>
      </c>
      <c r="U211">
        <f t="shared" si="188"/>
        <v>0</v>
      </c>
      <c r="V211" t="str">
        <f t="shared" si="188"/>
        <v>sum check</v>
      </c>
      <c r="W211" s="8">
        <f t="shared" si="188"/>
        <v>14975.631297309001</v>
      </c>
      <c r="X211">
        <f t="shared" si="188"/>
        <v>0</v>
      </c>
      <c r="Y211">
        <f t="shared" si="188"/>
        <v>0</v>
      </c>
      <c r="Z211">
        <f t="shared" si="188"/>
        <v>0</v>
      </c>
      <c r="AA211">
        <f t="shared" si="188"/>
        <v>0</v>
      </c>
      <c r="AD211" t="str">
        <f t="shared" ref="AD211:BD211" si="189">AD29</f>
        <v>sum check row</v>
      </c>
      <c r="AE211">
        <f t="shared" si="189"/>
        <v>0</v>
      </c>
      <c r="AF211">
        <f t="shared" si="189"/>
        <v>0</v>
      </c>
      <c r="AG211">
        <f t="shared" si="189"/>
        <v>0</v>
      </c>
      <c r="AH211">
        <f t="shared" si="189"/>
        <v>0</v>
      </c>
      <c r="AI211">
        <f t="shared" si="189"/>
        <v>0</v>
      </c>
      <c r="AJ211" s="13">
        <f t="shared" si="189"/>
        <v>0</v>
      </c>
      <c r="AK211">
        <f t="shared" si="189"/>
        <v>0</v>
      </c>
      <c r="AL211">
        <f t="shared" si="189"/>
        <v>0</v>
      </c>
      <c r="AM211">
        <f t="shared" si="189"/>
        <v>0</v>
      </c>
      <c r="AN211" s="11">
        <f t="shared" si="189"/>
        <v>0</v>
      </c>
      <c r="AO211">
        <f t="shared" si="189"/>
        <v>0</v>
      </c>
      <c r="AP211" s="11">
        <f t="shared" si="189"/>
        <v>0</v>
      </c>
      <c r="AQ211">
        <f t="shared" si="189"/>
        <v>0</v>
      </c>
      <c r="AR211">
        <f t="shared" si="189"/>
        <v>0</v>
      </c>
      <c r="AS211">
        <f t="shared" si="189"/>
        <v>0</v>
      </c>
      <c r="AT211">
        <f t="shared" si="189"/>
        <v>0</v>
      </c>
      <c r="AU211">
        <f t="shared" si="189"/>
        <v>0</v>
      </c>
      <c r="AV211" s="8">
        <f t="shared" si="189"/>
        <v>0</v>
      </c>
      <c r="AW211">
        <f t="shared" si="189"/>
        <v>0</v>
      </c>
      <c r="AX211">
        <f t="shared" si="189"/>
        <v>0</v>
      </c>
      <c r="AY211" t="str">
        <f t="shared" si="189"/>
        <v>sum check</v>
      </c>
      <c r="AZ211" s="8">
        <f t="shared" si="189"/>
        <v>3398.9882398423379</v>
      </c>
      <c r="BA211">
        <f t="shared" si="189"/>
        <v>0</v>
      </c>
      <c r="BB211">
        <f t="shared" si="189"/>
        <v>0</v>
      </c>
      <c r="BC211">
        <f t="shared" si="189"/>
        <v>0</v>
      </c>
      <c r="BD211">
        <f t="shared" si="189"/>
        <v>0</v>
      </c>
    </row>
    <row r="212" spans="1:56" x14ac:dyDescent="0.3">
      <c r="A212">
        <f t="shared" ref="A212:AA212" si="190">A30</f>
        <v>0</v>
      </c>
      <c r="B212">
        <f t="shared" si="190"/>
        <v>0</v>
      </c>
      <c r="C212">
        <f t="shared" si="190"/>
        <v>0</v>
      </c>
      <c r="D212">
        <f t="shared" si="190"/>
        <v>0</v>
      </c>
      <c r="E212">
        <f t="shared" si="190"/>
        <v>0</v>
      </c>
      <c r="F212">
        <f t="shared" si="190"/>
        <v>0</v>
      </c>
      <c r="H212" s="2" t="s">
        <v>359</v>
      </c>
      <c r="I212" s="8">
        <f>(F235/12*'Input 4_RSV Season'!$AG$27)*$I$215</f>
        <v>996337.38337499998</v>
      </c>
      <c r="J212">
        <f t="shared" si="190"/>
        <v>0</v>
      </c>
      <c r="K212" s="11">
        <f t="shared" si="190"/>
        <v>0</v>
      </c>
      <c r="L212">
        <f t="shared" si="190"/>
        <v>0</v>
      </c>
      <c r="M212" s="11">
        <f t="shared" si="190"/>
        <v>0</v>
      </c>
      <c r="N212" s="13">
        <f t="shared" si="190"/>
        <v>0</v>
      </c>
      <c r="O212" s="13">
        <f t="shared" si="190"/>
        <v>0</v>
      </c>
      <c r="P212" s="13">
        <f t="shared" si="190"/>
        <v>0</v>
      </c>
      <c r="Q212">
        <f t="shared" si="190"/>
        <v>0</v>
      </c>
      <c r="R212" s="13">
        <f t="shared" si="190"/>
        <v>0</v>
      </c>
      <c r="S212" s="13">
        <f t="shared" si="190"/>
        <v>0</v>
      </c>
      <c r="T212" s="13">
        <f t="shared" si="190"/>
        <v>0</v>
      </c>
      <c r="U212" s="13">
        <f t="shared" si="190"/>
        <v>0</v>
      </c>
      <c r="V212" s="14">
        <f t="shared" si="190"/>
        <v>0</v>
      </c>
      <c r="W212" s="98">
        <f t="shared" si="190"/>
        <v>0</v>
      </c>
      <c r="X212" s="13">
        <f t="shared" si="190"/>
        <v>0</v>
      </c>
      <c r="Y212" s="13">
        <f t="shared" si="190"/>
        <v>0</v>
      </c>
      <c r="Z212" s="13">
        <f t="shared" si="190"/>
        <v>0</v>
      </c>
      <c r="AA212" s="13">
        <f t="shared" si="190"/>
        <v>0</v>
      </c>
      <c r="AD212">
        <f t="shared" ref="AD212:AI212" si="191">AD30</f>
        <v>0</v>
      </c>
      <c r="AE212">
        <f t="shared" si="191"/>
        <v>0</v>
      </c>
      <c r="AF212">
        <f t="shared" si="191"/>
        <v>0</v>
      </c>
      <c r="AG212">
        <f t="shared" si="191"/>
        <v>0</v>
      </c>
      <c r="AH212">
        <f t="shared" si="191"/>
        <v>0</v>
      </c>
      <c r="AI212">
        <f t="shared" si="191"/>
        <v>0</v>
      </c>
      <c r="AK212" s="2" t="s">
        <v>361</v>
      </c>
      <c r="AL212" s="8">
        <f>(AI235/12*(12-'Input 4_RSV Season'!$AG$27))*$AL$215</f>
        <v>996337.38337499998</v>
      </c>
      <c r="AM212">
        <f t="shared" ref="AM212:BD212" si="192">AM30</f>
        <v>0</v>
      </c>
      <c r="AN212" s="11">
        <f t="shared" si="192"/>
        <v>0</v>
      </c>
      <c r="AO212">
        <f t="shared" si="192"/>
        <v>0</v>
      </c>
      <c r="AP212" s="11">
        <f t="shared" si="192"/>
        <v>0</v>
      </c>
      <c r="AQ212" s="13">
        <f t="shared" si="192"/>
        <v>0</v>
      </c>
      <c r="AR212" s="13">
        <f t="shared" si="192"/>
        <v>0</v>
      </c>
      <c r="AS212" s="13">
        <f t="shared" si="192"/>
        <v>0</v>
      </c>
      <c r="AT212">
        <f t="shared" si="192"/>
        <v>0</v>
      </c>
      <c r="AU212" s="13">
        <f t="shared" si="192"/>
        <v>0</v>
      </c>
      <c r="AV212" s="13">
        <f t="shared" si="192"/>
        <v>0</v>
      </c>
      <c r="AW212" s="13">
        <f t="shared" si="192"/>
        <v>0</v>
      </c>
      <c r="AX212" s="13">
        <f t="shared" si="192"/>
        <v>0</v>
      </c>
      <c r="AY212" s="14">
        <f t="shared" si="192"/>
        <v>0</v>
      </c>
      <c r="AZ212" s="98">
        <f t="shared" si="192"/>
        <v>0</v>
      </c>
      <c r="BA212" s="13">
        <f t="shared" si="192"/>
        <v>0</v>
      </c>
      <c r="BB212" s="13">
        <f t="shared" si="192"/>
        <v>0</v>
      </c>
      <c r="BC212" s="13">
        <f t="shared" si="192"/>
        <v>0</v>
      </c>
      <c r="BD212" s="13">
        <f t="shared" si="192"/>
        <v>0</v>
      </c>
    </row>
    <row r="213" spans="1:56" x14ac:dyDescent="0.3">
      <c r="A213">
        <f t="shared" ref="A213:AA213" si="193">A31</f>
        <v>0</v>
      </c>
      <c r="B213">
        <f t="shared" si="193"/>
        <v>0</v>
      </c>
      <c r="C213">
        <f t="shared" si="193"/>
        <v>0</v>
      </c>
      <c r="D213">
        <f t="shared" si="193"/>
        <v>0</v>
      </c>
      <c r="E213">
        <f t="shared" si="193"/>
        <v>0</v>
      </c>
      <c r="F213">
        <f t="shared" si="193"/>
        <v>0</v>
      </c>
      <c r="H213" s="2" t="s">
        <v>360</v>
      </c>
      <c r="I213" s="8">
        <f>(F236/12*'Input 4_RSV Season'!$AG$27)*$I$215</f>
        <v>1191697.654625</v>
      </c>
      <c r="J213" s="72">
        <f t="shared" si="193"/>
        <v>0</v>
      </c>
      <c r="K213" s="99">
        <f t="shared" si="193"/>
        <v>0</v>
      </c>
      <c r="L213">
        <f t="shared" si="193"/>
        <v>0</v>
      </c>
      <c r="M213" s="11">
        <f t="shared" si="193"/>
        <v>0</v>
      </c>
      <c r="N213" s="13">
        <f t="shared" si="193"/>
        <v>0</v>
      </c>
      <c r="O213">
        <f t="shared" si="193"/>
        <v>0</v>
      </c>
      <c r="P213">
        <f t="shared" si="193"/>
        <v>0</v>
      </c>
      <c r="Q213">
        <f t="shared" si="193"/>
        <v>0</v>
      </c>
      <c r="R213" s="12" t="str">
        <f t="shared" si="193"/>
        <v>Not MA for RSV</v>
      </c>
      <c r="S213" s="62" t="str">
        <f t="shared" si="193"/>
        <v>unknown</v>
      </c>
      <c r="T213">
        <f t="shared" si="193"/>
        <v>0</v>
      </c>
      <c r="U213">
        <f t="shared" si="193"/>
        <v>0</v>
      </c>
      <c r="V213">
        <f t="shared" si="193"/>
        <v>0</v>
      </c>
      <c r="W213" s="13">
        <f t="shared" si="193"/>
        <v>0</v>
      </c>
      <c r="X213" s="13">
        <f t="shared" si="193"/>
        <v>0</v>
      </c>
      <c r="Y213">
        <f t="shared" si="193"/>
        <v>0</v>
      </c>
      <c r="Z213">
        <f t="shared" si="193"/>
        <v>0</v>
      </c>
      <c r="AA213">
        <f t="shared" si="193"/>
        <v>0</v>
      </c>
      <c r="AD213">
        <f t="shared" ref="AD213:AI213" si="194">AD31</f>
        <v>0</v>
      </c>
      <c r="AE213">
        <f t="shared" si="194"/>
        <v>0</v>
      </c>
      <c r="AF213">
        <f t="shared" si="194"/>
        <v>0</v>
      </c>
      <c r="AG213">
        <f t="shared" si="194"/>
        <v>0</v>
      </c>
      <c r="AH213">
        <f t="shared" si="194"/>
        <v>0</v>
      </c>
      <c r="AI213">
        <f t="shared" si="194"/>
        <v>0</v>
      </c>
      <c r="AK213" s="2" t="s">
        <v>362</v>
      </c>
      <c r="AL213" s="8">
        <f>(AI236/12*(12-'Input 4_RSV Season'!$AG$27))*$AL$215</f>
        <v>1191697.654625</v>
      </c>
      <c r="AM213" s="72">
        <f t="shared" ref="AM213:BD213" si="195">AM31</f>
        <v>0</v>
      </c>
      <c r="AN213" s="99">
        <f t="shared" si="195"/>
        <v>0</v>
      </c>
      <c r="AO213">
        <f t="shared" si="195"/>
        <v>0</v>
      </c>
      <c r="AP213" s="11">
        <f t="shared" si="195"/>
        <v>0</v>
      </c>
      <c r="AQ213" s="13">
        <f t="shared" si="195"/>
        <v>0</v>
      </c>
      <c r="AR213">
        <f t="shared" si="195"/>
        <v>0</v>
      </c>
      <c r="AS213">
        <f t="shared" si="195"/>
        <v>0</v>
      </c>
      <c r="AT213">
        <f t="shared" si="195"/>
        <v>0</v>
      </c>
      <c r="AU213" s="12" t="str">
        <f t="shared" si="195"/>
        <v>Not MA for RSV</v>
      </c>
      <c r="AV213" s="62" t="str">
        <f t="shared" si="195"/>
        <v>unknown</v>
      </c>
      <c r="AW213">
        <f t="shared" si="195"/>
        <v>0</v>
      </c>
      <c r="AX213">
        <f t="shared" si="195"/>
        <v>0</v>
      </c>
      <c r="AY213">
        <f t="shared" si="195"/>
        <v>0</v>
      </c>
      <c r="AZ213" s="13">
        <f t="shared" si="195"/>
        <v>0</v>
      </c>
      <c r="BA213" s="13">
        <f t="shared" si="195"/>
        <v>0</v>
      </c>
      <c r="BB213">
        <f t="shared" si="195"/>
        <v>0</v>
      </c>
      <c r="BC213">
        <f t="shared" si="195"/>
        <v>0</v>
      </c>
      <c r="BD213">
        <f t="shared" si="195"/>
        <v>0</v>
      </c>
    </row>
    <row r="214" spans="1:56" x14ac:dyDescent="0.3">
      <c r="A214">
        <f t="shared" ref="A214:AA214" si="196">A32</f>
        <v>0</v>
      </c>
      <c r="B214">
        <f t="shared" si="196"/>
        <v>0</v>
      </c>
      <c r="C214">
        <f t="shared" si="196"/>
        <v>0</v>
      </c>
      <c r="D214">
        <f t="shared" si="196"/>
        <v>0</v>
      </c>
      <c r="E214">
        <f t="shared" si="196"/>
        <v>0</v>
      </c>
      <c r="H214" s="12" t="str">
        <f t="shared" si="196"/>
        <v>WiS low risk birth obtaining Mat Cand.</v>
      </c>
      <c r="I214" s="30">
        <f t="shared" si="196"/>
        <v>1094017.5189999999</v>
      </c>
      <c r="J214" s="438">
        <f t="shared" si="196"/>
        <v>0</v>
      </c>
      <c r="K214" s="11">
        <f t="shared" si="196"/>
        <v>0</v>
      </c>
      <c r="L214">
        <f t="shared" si="196"/>
        <v>0</v>
      </c>
      <c r="M214" s="11">
        <f t="shared" si="196"/>
        <v>0</v>
      </c>
      <c r="N214" s="13">
        <f t="shared" si="196"/>
        <v>0</v>
      </c>
      <c r="O214">
        <f t="shared" si="196"/>
        <v>0</v>
      </c>
      <c r="P214">
        <f t="shared" si="196"/>
        <v>0</v>
      </c>
      <c r="Q214" s="16">
        <f t="shared" si="196"/>
        <v>0</v>
      </c>
      <c r="R214">
        <f t="shared" si="196"/>
        <v>0</v>
      </c>
      <c r="S214" s="17">
        <f t="shared" si="196"/>
        <v>0</v>
      </c>
      <c r="T214">
        <f t="shared" si="196"/>
        <v>0</v>
      </c>
      <c r="U214">
        <f t="shared" si="196"/>
        <v>0</v>
      </c>
      <c r="V214">
        <f t="shared" si="196"/>
        <v>0</v>
      </c>
      <c r="W214" s="71">
        <f t="shared" si="196"/>
        <v>0</v>
      </c>
      <c r="X214" s="1117" t="s">
        <v>181</v>
      </c>
      <c r="Y214" s="1117"/>
      <c r="Z214">
        <f t="shared" si="196"/>
        <v>0</v>
      </c>
      <c r="AA214">
        <f t="shared" si="196"/>
        <v>0</v>
      </c>
      <c r="AD214">
        <f t="shared" ref="AD214:AI214" si="197">AD32</f>
        <v>0</v>
      </c>
      <c r="AE214">
        <f t="shared" si="197"/>
        <v>0</v>
      </c>
      <c r="AF214">
        <f t="shared" si="197"/>
        <v>0</v>
      </c>
      <c r="AG214">
        <f t="shared" si="197"/>
        <v>0</v>
      </c>
      <c r="AH214">
        <f t="shared" si="197"/>
        <v>0</v>
      </c>
      <c r="AI214">
        <f t="shared" si="197"/>
        <v>0</v>
      </c>
      <c r="AK214" s="12" t="str">
        <f t="shared" ref="AK214:AZ214" si="198">AK32</f>
        <v>OoS low risk birth</v>
      </c>
      <c r="AL214" s="30">
        <f t="shared" si="198"/>
        <v>1094017.5189999999</v>
      </c>
      <c r="AM214" s="500">
        <f t="shared" si="198"/>
        <v>0</v>
      </c>
      <c r="AN214" s="11">
        <f t="shared" si="198"/>
        <v>0</v>
      </c>
      <c r="AO214">
        <f t="shared" si="198"/>
        <v>0</v>
      </c>
      <c r="AP214" s="11">
        <f t="shared" si="198"/>
        <v>0</v>
      </c>
      <c r="AQ214" s="13">
        <f t="shared" si="198"/>
        <v>0</v>
      </c>
      <c r="AR214">
        <f t="shared" si="198"/>
        <v>0</v>
      </c>
      <c r="AS214">
        <f t="shared" si="198"/>
        <v>0</v>
      </c>
      <c r="AT214" s="16">
        <f t="shared" si="198"/>
        <v>0</v>
      </c>
      <c r="AU214">
        <f t="shared" si="198"/>
        <v>0</v>
      </c>
      <c r="AV214" s="17">
        <f t="shared" si="198"/>
        <v>0</v>
      </c>
      <c r="AW214">
        <f t="shared" si="198"/>
        <v>0</v>
      </c>
      <c r="AX214">
        <f t="shared" si="198"/>
        <v>0</v>
      </c>
      <c r="AY214">
        <f t="shared" si="198"/>
        <v>0</v>
      </c>
      <c r="AZ214" s="71">
        <f t="shared" si="198"/>
        <v>0</v>
      </c>
      <c r="BA214" s="1117" t="s">
        <v>181</v>
      </c>
      <c r="BB214" s="1117"/>
      <c r="BC214">
        <f t="shared" ref="BC214:BD214" si="199">BC32</f>
        <v>0</v>
      </c>
      <c r="BD214">
        <f t="shared" si="199"/>
        <v>0</v>
      </c>
    </row>
    <row r="215" spans="1:56" x14ac:dyDescent="0.3">
      <c r="A215">
        <f t="shared" ref="A215:AA215" si="200">A33</f>
        <v>0</v>
      </c>
      <c r="B215">
        <f t="shared" si="200"/>
        <v>0</v>
      </c>
      <c r="C215">
        <f t="shared" si="200"/>
        <v>0</v>
      </c>
      <c r="D215">
        <f t="shared" si="200"/>
        <v>0</v>
      </c>
      <c r="E215">
        <f t="shared" si="200"/>
        <v>0</v>
      </c>
      <c r="F215">
        <f t="shared" si="200"/>
        <v>0</v>
      </c>
      <c r="G215">
        <f t="shared" si="200"/>
        <v>0</v>
      </c>
      <c r="H215" s="59" t="str">
        <f t="shared" si="200"/>
        <v>1-p1</v>
      </c>
      <c r="I215" s="20">
        <f t="shared" si="200"/>
        <v>0.99019999999999997</v>
      </c>
      <c r="J215" s="52">
        <f t="shared" si="200"/>
        <v>0</v>
      </c>
      <c r="K215" s="11">
        <f t="shared" si="200"/>
        <v>0</v>
      </c>
      <c r="L215">
        <f t="shared" si="200"/>
        <v>0</v>
      </c>
      <c r="M215" s="11">
        <f t="shared" si="200"/>
        <v>0</v>
      </c>
      <c r="N215" s="13">
        <f t="shared" si="200"/>
        <v>0</v>
      </c>
      <c r="O215">
        <f t="shared" si="200"/>
        <v>0</v>
      </c>
      <c r="P215">
        <f t="shared" si="200"/>
        <v>0</v>
      </c>
      <c r="Q215" s="11">
        <f t="shared" si="200"/>
        <v>0</v>
      </c>
      <c r="R215" s="13">
        <f t="shared" si="200"/>
        <v>0</v>
      </c>
      <c r="S215" s="13">
        <f t="shared" si="200"/>
        <v>0</v>
      </c>
      <c r="T215">
        <f t="shared" si="200"/>
        <v>0</v>
      </c>
      <c r="U215">
        <f t="shared" si="200"/>
        <v>0</v>
      </c>
      <c r="V215" s="13">
        <f t="shared" si="200"/>
        <v>0</v>
      </c>
      <c r="W215" s="437" t="str">
        <f t="shared" si="200"/>
        <v>base</v>
      </c>
      <c r="X215" s="437" t="str">
        <f t="shared" si="200"/>
        <v>low</v>
      </c>
      <c r="Y215" s="437" t="str">
        <f t="shared" si="200"/>
        <v>high</v>
      </c>
      <c r="Z215">
        <f t="shared" si="200"/>
        <v>0</v>
      </c>
      <c r="AA215">
        <f t="shared" si="200"/>
        <v>0</v>
      </c>
      <c r="AD215">
        <f t="shared" ref="AD215:BD215" si="201">AD33</f>
        <v>0</v>
      </c>
      <c r="AE215">
        <f t="shared" si="201"/>
        <v>0</v>
      </c>
      <c r="AF215">
        <f t="shared" si="201"/>
        <v>0</v>
      </c>
      <c r="AG215">
        <f t="shared" si="201"/>
        <v>0</v>
      </c>
      <c r="AH215">
        <f t="shared" si="201"/>
        <v>0</v>
      </c>
      <c r="AI215">
        <f t="shared" si="201"/>
        <v>0</v>
      </c>
      <c r="AJ215">
        <f t="shared" si="201"/>
        <v>0</v>
      </c>
      <c r="AK215" s="59" t="str">
        <f t="shared" si="201"/>
        <v>1-p1</v>
      </c>
      <c r="AL215" s="20">
        <f>I215</f>
        <v>0.99019999999999997</v>
      </c>
      <c r="AM215" s="52">
        <f t="shared" si="201"/>
        <v>0</v>
      </c>
      <c r="AN215" s="11">
        <f t="shared" si="201"/>
        <v>0</v>
      </c>
      <c r="AO215">
        <f t="shared" si="201"/>
        <v>0</v>
      </c>
      <c r="AP215" s="11">
        <f t="shared" si="201"/>
        <v>0</v>
      </c>
      <c r="AQ215" s="13">
        <f t="shared" si="201"/>
        <v>0</v>
      </c>
      <c r="AR215">
        <f t="shared" si="201"/>
        <v>0</v>
      </c>
      <c r="AS215">
        <f t="shared" si="201"/>
        <v>0</v>
      </c>
      <c r="AT215" s="11">
        <f t="shared" si="201"/>
        <v>0</v>
      </c>
      <c r="AU215" s="13">
        <f t="shared" si="201"/>
        <v>0</v>
      </c>
      <c r="AV215" s="13">
        <f t="shared" si="201"/>
        <v>0</v>
      </c>
      <c r="AW215">
        <f t="shared" si="201"/>
        <v>0</v>
      </c>
      <c r="AX215">
        <f t="shared" si="201"/>
        <v>0</v>
      </c>
      <c r="AY215" s="13">
        <f t="shared" si="201"/>
        <v>0</v>
      </c>
      <c r="AZ215" s="684" t="str">
        <f t="shared" si="201"/>
        <v>base</v>
      </c>
      <c r="BA215" s="684" t="str">
        <f t="shared" si="201"/>
        <v>low</v>
      </c>
      <c r="BB215" s="684" t="str">
        <f t="shared" si="201"/>
        <v>high</v>
      </c>
      <c r="BC215">
        <f t="shared" si="201"/>
        <v>0</v>
      </c>
      <c r="BD215">
        <f t="shared" si="201"/>
        <v>0</v>
      </c>
    </row>
    <row r="216" spans="1:56" x14ac:dyDescent="0.3">
      <c r="A216">
        <f t="shared" ref="A216:AA216" si="202">A34</f>
        <v>0</v>
      </c>
      <c r="B216">
        <f t="shared" si="202"/>
        <v>0</v>
      </c>
      <c r="C216">
        <f t="shared" si="202"/>
        <v>0</v>
      </c>
      <c r="D216">
        <f t="shared" si="202"/>
        <v>0</v>
      </c>
      <c r="E216">
        <f t="shared" si="202"/>
        <v>0</v>
      </c>
      <c r="F216">
        <f t="shared" si="202"/>
        <v>0</v>
      </c>
      <c r="G216">
        <f t="shared" si="202"/>
        <v>0</v>
      </c>
      <c r="H216" s="11">
        <f t="shared" si="202"/>
        <v>0</v>
      </c>
      <c r="I216">
        <f t="shared" si="202"/>
        <v>0</v>
      </c>
      <c r="J216">
        <f t="shared" si="202"/>
        <v>0</v>
      </c>
      <c r="K216" s="11">
        <f t="shared" si="202"/>
        <v>0</v>
      </c>
      <c r="L216">
        <f t="shared" si="202"/>
        <v>0</v>
      </c>
      <c r="M216" s="65" t="str">
        <f t="shared" si="202"/>
        <v>1-p9</v>
      </c>
      <c r="N216" s="104">
        <f t="shared" si="202"/>
        <v>0.19999999999999996</v>
      </c>
      <c r="O216" s="438">
        <f t="shared" si="202"/>
        <v>0</v>
      </c>
      <c r="P216" s="438">
        <f t="shared" si="202"/>
        <v>0</v>
      </c>
      <c r="Q216" s="11">
        <f t="shared" si="202"/>
        <v>0</v>
      </c>
      <c r="R216">
        <f t="shared" si="202"/>
        <v>0</v>
      </c>
      <c r="S216">
        <f t="shared" si="202"/>
        <v>0</v>
      </c>
      <c r="T216">
        <f t="shared" si="202"/>
        <v>0</v>
      </c>
      <c r="V216" s="12" t="str">
        <f t="shared" si="202"/>
        <v>Outpatient</v>
      </c>
      <c r="W216" s="33">
        <f t="shared" si="202"/>
        <v>10182.255873253584</v>
      </c>
      <c r="X216" s="33">
        <f>N218*X217</f>
        <v>9273.1258845702287</v>
      </c>
      <c r="Y216" s="33">
        <f>N219*Y217</f>
        <v>11091.385861936942</v>
      </c>
      <c r="Z216">
        <f t="shared" si="202"/>
        <v>0</v>
      </c>
      <c r="AA216">
        <f t="shared" si="202"/>
        <v>0</v>
      </c>
      <c r="AD216">
        <f t="shared" ref="AD216:AW216" si="203">AD34</f>
        <v>0</v>
      </c>
      <c r="AE216">
        <f t="shared" si="203"/>
        <v>0</v>
      </c>
      <c r="AF216">
        <f t="shared" si="203"/>
        <v>0</v>
      </c>
      <c r="AG216">
        <f t="shared" si="203"/>
        <v>0</v>
      </c>
      <c r="AH216">
        <f t="shared" si="203"/>
        <v>0</v>
      </c>
      <c r="AI216">
        <f t="shared" si="203"/>
        <v>0</v>
      </c>
      <c r="AJ216">
        <f t="shared" si="203"/>
        <v>0</v>
      </c>
      <c r="AK216" s="11">
        <f t="shared" si="203"/>
        <v>0</v>
      </c>
      <c r="AL216">
        <f t="shared" si="203"/>
        <v>0</v>
      </c>
      <c r="AM216">
        <f t="shared" si="203"/>
        <v>0</v>
      </c>
      <c r="AN216" s="11">
        <f t="shared" si="203"/>
        <v>0</v>
      </c>
      <c r="AO216">
        <f t="shared" si="203"/>
        <v>0</v>
      </c>
      <c r="AP216" s="65" t="str">
        <f t="shared" si="203"/>
        <v>1-p9</v>
      </c>
      <c r="AQ216" s="104">
        <f t="shared" si="203"/>
        <v>0.19999999999999996</v>
      </c>
      <c r="AR216" s="500">
        <f t="shared" si="203"/>
        <v>0</v>
      </c>
      <c r="AS216" s="500">
        <f t="shared" si="203"/>
        <v>0</v>
      </c>
      <c r="AT216" s="11">
        <f t="shared" si="203"/>
        <v>0</v>
      </c>
      <c r="AU216">
        <f t="shared" si="203"/>
        <v>0</v>
      </c>
      <c r="AV216">
        <f t="shared" si="203"/>
        <v>0</v>
      </c>
      <c r="AW216">
        <f t="shared" si="203"/>
        <v>0</v>
      </c>
      <c r="AY216" s="12" t="str">
        <f t="shared" ref="AY216:AZ216" si="204">AY34</f>
        <v>Outpatient</v>
      </c>
      <c r="AZ216" s="33">
        <f t="shared" si="204"/>
        <v>2255.3722348057922</v>
      </c>
      <c r="BA216" s="33">
        <f>AQ218*BA217</f>
        <v>2053.9997138409899</v>
      </c>
      <c r="BB216" s="33">
        <f>AQ219*BB217</f>
        <v>2456.7447557705959</v>
      </c>
      <c r="BC216">
        <f t="shared" ref="BC216:BD216" si="205">BC34</f>
        <v>0</v>
      </c>
      <c r="BD216">
        <f t="shared" si="205"/>
        <v>0</v>
      </c>
    </row>
    <row r="217" spans="1:56" x14ac:dyDescent="0.3">
      <c r="A217">
        <f t="shared" ref="A217:AA217" si="206">A35</f>
        <v>0</v>
      </c>
      <c r="B217">
        <f t="shared" si="206"/>
        <v>0</v>
      </c>
      <c r="C217">
        <f t="shared" si="206"/>
        <v>0</v>
      </c>
      <c r="D217">
        <f t="shared" si="206"/>
        <v>0</v>
      </c>
      <c r="E217">
        <f t="shared" si="206"/>
        <v>0</v>
      </c>
      <c r="F217">
        <f t="shared" si="206"/>
        <v>0</v>
      </c>
      <c r="G217">
        <f t="shared" si="206"/>
        <v>0</v>
      </c>
      <c r="H217" s="11">
        <f t="shared" si="206"/>
        <v>0</v>
      </c>
      <c r="I217">
        <f t="shared" si="206"/>
        <v>0</v>
      </c>
      <c r="J217">
        <f t="shared" si="206"/>
        <v>0</v>
      </c>
      <c r="K217" s="11">
        <f t="shared" si="206"/>
        <v>0</v>
      </c>
      <c r="M217" s="2" t="str">
        <f t="shared" si="206"/>
        <v>Vaccine Failure</v>
      </c>
      <c r="N217" s="71">
        <f t="shared" si="206"/>
        <v>200994.49220953262</v>
      </c>
      <c r="O217">
        <f t="shared" si="206"/>
        <v>0</v>
      </c>
      <c r="P217">
        <f t="shared" si="206"/>
        <v>0</v>
      </c>
      <c r="Q217" s="11">
        <f t="shared" si="206"/>
        <v>0</v>
      </c>
      <c r="R217" s="2" t="str">
        <f t="shared" si="206"/>
        <v>low:</v>
      </c>
      <c r="S217" s="50">
        <f>SUM(X217,X220,X223)</f>
        <v>7.4507669999719264E-2</v>
      </c>
      <c r="T217">
        <f t="shared" si="206"/>
        <v>0</v>
      </c>
      <c r="U217" s="16">
        <f t="shared" si="206"/>
        <v>0</v>
      </c>
      <c r="V217" s="2" t="str">
        <f t="shared" si="206"/>
        <v>p5c</v>
      </c>
      <c r="W217" s="61">
        <f>$W$35</f>
        <v>5.0659377584529985E-2</v>
      </c>
      <c r="X217" s="61">
        <f t="shared" ref="X217:Y217" si="207">$W$35</f>
        <v>5.0659377584529985E-2</v>
      </c>
      <c r="Y217" s="61">
        <f t="shared" si="207"/>
        <v>5.0659377584529985E-2</v>
      </c>
      <c r="Z217">
        <f t="shared" si="206"/>
        <v>0</v>
      </c>
      <c r="AA217">
        <f t="shared" si="206"/>
        <v>0</v>
      </c>
      <c r="AD217">
        <f t="shared" ref="AD217:AN217" si="208">AD35</f>
        <v>0</v>
      </c>
      <c r="AE217">
        <f t="shared" si="208"/>
        <v>0</v>
      </c>
      <c r="AF217">
        <f t="shared" si="208"/>
        <v>0</v>
      </c>
      <c r="AG217">
        <f t="shared" si="208"/>
        <v>0</v>
      </c>
      <c r="AH217">
        <f t="shared" si="208"/>
        <v>0</v>
      </c>
      <c r="AI217">
        <f t="shared" si="208"/>
        <v>0</v>
      </c>
      <c r="AJ217">
        <f t="shared" si="208"/>
        <v>0</v>
      </c>
      <c r="AK217" s="11">
        <f t="shared" si="208"/>
        <v>0</v>
      </c>
      <c r="AL217">
        <f t="shared" si="208"/>
        <v>0</v>
      </c>
      <c r="AM217">
        <f t="shared" si="208"/>
        <v>0</v>
      </c>
      <c r="AN217" s="11">
        <f t="shared" si="208"/>
        <v>0</v>
      </c>
      <c r="AP217" s="2" t="str">
        <f t="shared" ref="AP217:AU217" si="209">AP35</f>
        <v>Vaccine Failure</v>
      </c>
      <c r="AQ217" s="71">
        <f>AO206*AQ216</f>
        <v>200994.49220953262</v>
      </c>
      <c r="AR217">
        <f t="shared" si="209"/>
        <v>0</v>
      </c>
      <c r="AS217">
        <f t="shared" si="209"/>
        <v>0</v>
      </c>
      <c r="AT217" s="11">
        <f t="shared" si="209"/>
        <v>0</v>
      </c>
      <c r="AU217" s="2" t="str">
        <f t="shared" si="209"/>
        <v>low:</v>
      </c>
      <c r="AV217" s="50">
        <f>SUM(BA217,BA220,BA223)</f>
        <v>1.6910852643160803E-2</v>
      </c>
      <c r="AW217">
        <f t="shared" ref="AW217:AY217" si="210">AW35</f>
        <v>0</v>
      </c>
      <c r="AX217" s="16">
        <f t="shared" si="210"/>
        <v>0</v>
      </c>
      <c r="AY217" s="2" t="str">
        <f t="shared" si="210"/>
        <v>p5c</v>
      </c>
      <c r="AZ217" s="61">
        <f>BA190</f>
        <v>1.1221064866069132E-2</v>
      </c>
      <c r="BA217" s="61">
        <f t="shared" ref="BA217:BB217" si="211">BB190</f>
        <v>1.1221064866069132E-2</v>
      </c>
      <c r="BB217" s="61">
        <f t="shared" si="211"/>
        <v>1.1221064866069132E-2</v>
      </c>
      <c r="BC217">
        <f t="shared" ref="BC217:BD217" si="212">BC35</f>
        <v>0</v>
      </c>
      <c r="BD217">
        <f t="shared" si="212"/>
        <v>0</v>
      </c>
    </row>
    <row r="218" spans="1:56" x14ac:dyDescent="0.3">
      <c r="A218">
        <f t="shared" ref="A218:AA218" si="213">A36</f>
        <v>0</v>
      </c>
      <c r="B218">
        <f t="shared" si="213"/>
        <v>0</v>
      </c>
      <c r="C218">
        <f t="shared" si="213"/>
        <v>0</v>
      </c>
      <c r="D218">
        <f t="shared" si="213"/>
        <v>0</v>
      </c>
      <c r="E218">
        <f t="shared" si="213"/>
        <v>0</v>
      </c>
      <c r="F218">
        <f t="shared" si="213"/>
        <v>0</v>
      </c>
      <c r="G218">
        <f t="shared" si="213"/>
        <v>0</v>
      </c>
      <c r="H218" s="11">
        <f t="shared" si="213"/>
        <v>0</v>
      </c>
      <c r="I218">
        <f t="shared" si="213"/>
        <v>0</v>
      </c>
      <c r="J218">
        <f t="shared" si="213"/>
        <v>0</v>
      </c>
      <c r="K218" s="11">
        <f t="shared" si="213"/>
        <v>0</v>
      </c>
      <c r="M218" s="2" t="s">
        <v>263</v>
      </c>
      <c r="N218" s="8">
        <f>L204*$N$216</f>
        <v>183048.55540511009</v>
      </c>
      <c r="O218">
        <f t="shared" si="213"/>
        <v>0</v>
      </c>
      <c r="P218">
        <f t="shared" si="213"/>
        <v>0</v>
      </c>
      <c r="Q218" s="11">
        <f t="shared" si="213"/>
        <v>0</v>
      </c>
      <c r="R218" s="2" t="str">
        <f t="shared" si="213"/>
        <v>high:</v>
      </c>
      <c r="S218" s="50">
        <f>SUM(Y217,Y220,Y223)</f>
        <v>7.4507669999719264E-2</v>
      </c>
      <c r="T218">
        <f t="shared" si="213"/>
        <v>0</v>
      </c>
      <c r="U218" s="11">
        <f t="shared" si="213"/>
        <v>0</v>
      </c>
      <c r="V218" s="2">
        <f t="shared" si="213"/>
        <v>0</v>
      </c>
      <c r="W218">
        <f t="shared" si="213"/>
        <v>0</v>
      </c>
      <c r="X218">
        <f t="shared" si="213"/>
        <v>0</v>
      </c>
      <c r="Y218">
        <f t="shared" si="213"/>
        <v>0</v>
      </c>
      <c r="Z218">
        <f t="shared" si="213"/>
        <v>0</v>
      </c>
      <c r="AA218">
        <f t="shared" si="213"/>
        <v>0</v>
      </c>
      <c r="AD218">
        <f t="shared" ref="AD218:AN218" si="214">AD36</f>
        <v>0</v>
      </c>
      <c r="AE218">
        <f t="shared" si="214"/>
        <v>0</v>
      </c>
      <c r="AF218">
        <f t="shared" si="214"/>
        <v>0</v>
      </c>
      <c r="AG218">
        <f t="shared" si="214"/>
        <v>0</v>
      </c>
      <c r="AH218">
        <f t="shared" si="214"/>
        <v>0</v>
      </c>
      <c r="AI218">
        <f t="shared" si="214"/>
        <v>0</v>
      </c>
      <c r="AJ218">
        <f t="shared" si="214"/>
        <v>0</v>
      </c>
      <c r="AK218" s="11">
        <f t="shared" si="214"/>
        <v>0</v>
      </c>
      <c r="AL218">
        <f t="shared" si="214"/>
        <v>0</v>
      </c>
      <c r="AM218">
        <f t="shared" si="214"/>
        <v>0</v>
      </c>
      <c r="AN218" s="11">
        <f t="shared" si="214"/>
        <v>0</v>
      </c>
      <c r="AP218" s="2" t="s">
        <v>263</v>
      </c>
      <c r="AQ218" s="8">
        <f>AO204*$N$216</f>
        <v>183048.55540511009</v>
      </c>
      <c r="AR218">
        <f t="shared" ref="AR218:AU218" si="215">AR36</f>
        <v>0</v>
      </c>
      <c r="AS218">
        <f t="shared" si="215"/>
        <v>0</v>
      </c>
      <c r="AT218" s="11">
        <f t="shared" si="215"/>
        <v>0</v>
      </c>
      <c r="AU218" s="2" t="str">
        <f t="shared" si="215"/>
        <v>high:</v>
      </c>
      <c r="AV218" s="50">
        <f>SUM(BB217,BB220,BB223)</f>
        <v>1.6910852643160803E-2</v>
      </c>
      <c r="AW218">
        <f t="shared" ref="AW218:BD218" si="216">AW36</f>
        <v>0</v>
      </c>
      <c r="AX218" s="11">
        <f t="shared" si="216"/>
        <v>0</v>
      </c>
      <c r="AY218" s="2">
        <f t="shared" si="216"/>
        <v>0</v>
      </c>
      <c r="AZ218">
        <f t="shared" si="216"/>
        <v>0</v>
      </c>
      <c r="BA218">
        <f t="shared" si="216"/>
        <v>0</v>
      </c>
      <c r="BB218">
        <f t="shared" si="216"/>
        <v>0</v>
      </c>
      <c r="BC218">
        <f t="shared" si="216"/>
        <v>0</v>
      </c>
      <c r="BD218">
        <f t="shared" si="216"/>
        <v>0</v>
      </c>
    </row>
    <row r="219" spans="1:56" x14ac:dyDescent="0.3">
      <c r="A219">
        <f t="shared" ref="A219:AA219" si="217">A37</f>
        <v>0</v>
      </c>
      <c r="B219">
        <f t="shared" si="217"/>
        <v>0</v>
      </c>
      <c r="C219">
        <f t="shared" si="217"/>
        <v>0</v>
      </c>
      <c r="D219">
        <f t="shared" si="217"/>
        <v>0</v>
      </c>
      <c r="E219">
        <f t="shared" si="217"/>
        <v>0</v>
      </c>
      <c r="F219">
        <f t="shared" si="217"/>
        <v>0</v>
      </c>
      <c r="G219">
        <f t="shared" si="217"/>
        <v>0</v>
      </c>
      <c r="H219" s="11">
        <f t="shared" si="217"/>
        <v>0</v>
      </c>
      <c r="I219">
        <f t="shared" si="217"/>
        <v>0</v>
      </c>
      <c r="J219">
        <f t="shared" si="217"/>
        <v>0</v>
      </c>
      <c r="K219" s="11">
        <f t="shared" si="217"/>
        <v>0</v>
      </c>
      <c r="M219" s="2" t="s">
        <v>264</v>
      </c>
      <c r="N219" s="8">
        <f>L205*$N$216</f>
        <v>218940.42901395523</v>
      </c>
      <c r="O219">
        <f t="shared" si="217"/>
        <v>0</v>
      </c>
      <c r="P219">
        <f t="shared" si="217"/>
        <v>0</v>
      </c>
      <c r="Q219" s="18">
        <f t="shared" si="217"/>
        <v>0</v>
      </c>
      <c r="R219" s="12" t="str">
        <f t="shared" si="217"/>
        <v>sum p5a-c</v>
      </c>
      <c r="S219" s="50">
        <f t="shared" si="217"/>
        <v>7.4507669999719264E-2</v>
      </c>
      <c r="T219" s="438">
        <f t="shared" si="217"/>
        <v>0</v>
      </c>
      <c r="U219" s="18">
        <f t="shared" si="217"/>
        <v>0</v>
      </c>
      <c r="V219" s="12" t="str">
        <f t="shared" si="217"/>
        <v>ED</v>
      </c>
      <c r="W219" s="33">
        <f t="shared" si="217"/>
        <v>3135.1633498959382</v>
      </c>
      <c r="X219" s="33">
        <f>N218*X220</f>
        <v>2855.238050798087</v>
      </c>
      <c r="Y219" s="33">
        <f>N219*Y220</f>
        <v>3415.0886489937907</v>
      </c>
      <c r="Z219">
        <f t="shared" si="217"/>
        <v>0</v>
      </c>
      <c r="AA219">
        <f t="shared" si="217"/>
        <v>0</v>
      </c>
      <c r="AD219">
        <f t="shared" ref="AD219:AN219" si="218">AD37</f>
        <v>0</v>
      </c>
      <c r="AE219">
        <f t="shared" si="218"/>
        <v>0</v>
      </c>
      <c r="AF219">
        <f t="shared" si="218"/>
        <v>0</v>
      </c>
      <c r="AG219">
        <f t="shared" si="218"/>
        <v>0</v>
      </c>
      <c r="AH219">
        <f t="shared" si="218"/>
        <v>0</v>
      </c>
      <c r="AI219">
        <f t="shared" si="218"/>
        <v>0</v>
      </c>
      <c r="AJ219">
        <f t="shared" si="218"/>
        <v>0</v>
      </c>
      <c r="AK219" s="11">
        <f t="shared" si="218"/>
        <v>0</v>
      </c>
      <c r="AL219">
        <f t="shared" si="218"/>
        <v>0</v>
      </c>
      <c r="AM219">
        <f t="shared" si="218"/>
        <v>0</v>
      </c>
      <c r="AN219" s="11">
        <f t="shared" si="218"/>
        <v>0</v>
      </c>
      <c r="AP219" s="2" t="s">
        <v>264</v>
      </c>
      <c r="AQ219" s="8">
        <f>AO205*$N$216</f>
        <v>218940.42901395523</v>
      </c>
      <c r="AR219">
        <f t="shared" ref="AR219:AZ219" si="219">AR37</f>
        <v>0</v>
      </c>
      <c r="AS219">
        <f t="shared" si="219"/>
        <v>0</v>
      </c>
      <c r="AT219" s="18">
        <f t="shared" si="219"/>
        <v>0</v>
      </c>
      <c r="AU219" s="12" t="str">
        <f t="shared" si="219"/>
        <v>sum p5a-c</v>
      </c>
      <c r="AV219" s="50">
        <f t="shared" si="219"/>
        <v>1.6910852643160803E-2</v>
      </c>
      <c r="AW219" s="500">
        <f t="shared" si="219"/>
        <v>0</v>
      </c>
      <c r="AX219" s="18">
        <f t="shared" si="219"/>
        <v>0</v>
      </c>
      <c r="AY219" s="12" t="str">
        <f t="shared" si="219"/>
        <v>ED</v>
      </c>
      <c r="AZ219" s="33">
        <f t="shared" si="219"/>
        <v>950.25373754196642</v>
      </c>
      <c r="BA219" s="33">
        <f>AQ218*BA220</f>
        <v>865.40965383286243</v>
      </c>
      <c r="BB219" s="33">
        <f>AQ219*BB220</f>
        <v>1035.0978212510709</v>
      </c>
      <c r="BC219">
        <f t="shared" ref="BC219:BD219" si="220">BC37</f>
        <v>0</v>
      </c>
      <c r="BD219">
        <f t="shared" si="220"/>
        <v>0</v>
      </c>
    </row>
    <row r="220" spans="1:56" x14ac:dyDescent="0.3">
      <c r="A220">
        <f t="shared" ref="A220:AA220" si="221">A38</f>
        <v>0</v>
      </c>
      <c r="B220">
        <f t="shared" si="221"/>
        <v>0</v>
      </c>
      <c r="C220">
        <f t="shared" si="221"/>
        <v>0</v>
      </c>
      <c r="D220">
        <f t="shared" si="221"/>
        <v>0</v>
      </c>
      <c r="E220">
        <f t="shared" si="221"/>
        <v>0</v>
      </c>
      <c r="F220">
        <f t="shared" si="221"/>
        <v>0</v>
      </c>
      <c r="G220">
        <f t="shared" si="221"/>
        <v>0</v>
      </c>
      <c r="H220" s="11">
        <f t="shared" si="221"/>
        <v>0</v>
      </c>
      <c r="I220">
        <f t="shared" si="221"/>
        <v>0</v>
      </c>
      <c r="J220">
        <f t="shared" si="221"/>
        <v>0</v>
      </c>
      <c r="K220" s="11">
        <f t="shared" si="221"/>
        <v>0</v>
      </c>
      <c r="L220">
        <f t="shared" si="221"/>
        <v>0</v>
      </c>
      <c r="M220">
        <f t="shared" si="221"/>
        <v>0</v>
      </c>
      <c r="N220">
        <f t="shared" si="221"/>
        <v>0</v>
      </c>
      <c r="O220">
        <f t="shared" si="221"/>
        <v>0</v>
      </c>
      <c r="R220" s="2" t="str">
        <f t="shared" si="221"/>
        <v>Medically Attended for RSV</v>
      </c>
      <c r="S220" s="54">
        <f t="shared" si="221"/>
        <v>14975.631297309001</v>
      </c>
      <c r="T220">
        <f t="shared" si="221"/>
        <v>0</v>
      </c>
      <c r="U220" s="11">
        <f t="shared" si="221"/>
        <v>0</v>
      </c>
      <c r="V220" s="2" t="str">
        <f t="shared" si="221"/>
        <v>p5b</v>
      </c>
      <c r="W220" s="61">
        <f>$W$38</f>
        <v>1.5598255033912049E-2</v>
      </c>
      <c r="X220" s="61">
        <f t="shared" ref="X220:Y220" si="222">$W$38</f>
        <v>1.5598255033912049E-2</v>
      </c>
      <c r="Y220" s="61">
        <f t="shared" si="222"/>
        <v>1.5598255033912049E-2</v>
      </c>
      <c r="Z220">
        <f t="shared" si="221"/>
        <v>0</v>
      </c>
      <c r="AA220">
        <f t="shared" si="221"/>
        <v>0</v>
      </c>
      <c r="AD220">
        <f t="shared" ref="AD220:AR220" si="223">AD38</f>
        <v>0</v>
      </c>
      <c r="AE220">
        <f t="shared" si="223"/>
        <v>0</v>
      </c>
      <c r="AF220">
        <f t="shared" si="223"/>
        <v>0</v>
      </c>
      <c r="AG220">
        <f t="shared" si="223"/>
        <v>0</v>
      </c>
      <c r="AH220">
        <f t="shared" si="223"/>
        <v>0</v>
      </c>
      <c r="AI220">
        <f t="shared" si="223"/>
        <v>0</v>
      </c>
      <c r="AJ220">
        <f t="shared" si="223"/>
        <v>0</v>
      </c>
      <c r="AK220" s="11">
        <f t="shared" si="223"/>
        <v>0</v>
      </c>
      <c r="AL220">
        <f t="shared" si="223"/>
        <v>0</v>
      </c>
      <c r="AM220">
        <f t="shared" si="223"/>
        <v>0</v>
      </c>
      <c r="AN220" s="11">
        <f t="shared" si="223"/>
        <v>0</v>
      </c>
      <c r="AO220">
        <f t="shared" si="223"/>
        <v>0</v>
      </c>
      <c r="AP220">
        <f t="shared" si="223"/>
        <v>0</v>
      </c>
      <c r="AQ220">
        <f t="shared" si="223"/>
        <v>0</v>
      </c>
      <c r="AR220">
        <f t="shared" si="223"/>
        <v>0</v>
      </c>
      <c r="AU220" s="2" t="str">
        <f t="shared" ref="AU220:AY220" si="224">AU38</f>
        <v>Medically Attended for RSV</v>
      </c>
      <c r="AV220" s="54">
        <f t="shared" si="224"/>
        <v>3398.9882398423379</v>
      </c>
      <c r="AW220">
        <f t="shared" si="224"/>
        <v>0</v>
      </c>
      <c r="AX220" s="11">
        <f t="shared" si="224"/>
        <v>0</v>
      </c>
      <c r="AY220" s="2" t="str">
        <f t="shared" si="224"/>
        <v>p5b</v>
      </c>
      <c r="AZ220" s="61">
        <f>BA193</f>
        <v>4.7277600848452429E-3</v>
      </c>
      <c r="BA220" s="61">
        <f t="shared" ref="BA220:BB220" si="225">BB193</f>
        <v>4.7277600848452429E-3</v>
      </c>
      <c r="BB220" s="61">
        <f t="shared" si="225"/>
        <v>4.7277600848452429E-3</v>
      </c>
      <c r="BC220">
        <f t="shared" ref="BC220:BD220" si="226">BC38</f>
        <v>0</v>
      </c>
      <c r="BD220">
        <f t="shared" si="226"/>
        <v>0</v>
      </c>
    </row>
    <row r="221" spans="1:56" x14ac:dyDescent="0.3">
      <c r="A221">
        <f t="shared" ref="A221:AA221" si="227">A39</f>
        <v>0</v>
      </c>
      <c r="B221">
        <f t="shared" si="227"/>
        <v>0</v>
      </c>
      <c r="C221">
        <f t="shared" si="227"/>
        <v>0</v>
      </c>
      <c r="D221">
        <f t="shared" si="227"/>
        <v>0</v>
      </c>
      <c r="E221">
        <f t="shared" si="227"/>
        <v>0</v>
      </c>
      <c r="F221">
        <f t="shared" si="227"/>
        <v>0</v>
      </c>
      <c r="G221">
        <f t="shared" si="227"/>
        <v>0</v>
      </c>
      <c r="H221" s="11">
        <f t="shared" si="227"/>
        <v>0</v>
      </c>
      <c r="I221">
        <f t="shared" si="227"/>
        <v>0</v>
      </c>
      <c r="J221">
        <f t="shared" si="227"/>
        <v>0</v>
      </c>
      <c r="K221" s="11">
        <f t="shared" si="227"/>
        <v>0</v>
      </c>
      <c r="L221">
        <f t="shared" si="227"/>
        <v>0</v>
      </c>
      <c r="M221">
        <f t="shared" si="227"/>
        <v>0</v>
      </c>
      <c r="N221">
        <f t="shared" si="227"/>
        <v>0</v>
      </c>
      <c r="O221">
        <f t="shared" si="227"/>
        <v>0</v>
      </c>
      <c r="P221">
        <f t="shared" si="227"/>
        <v>0</v>
      </c>
      <c r="Q221">
        <f t="shared" si="227"/>
        <v>0</v>
      </c>
      <c r="R221" s="2" t="s">
        <v>263</v>
      </c>
      <c r="S221" s="28">
        <f>N218*S217</f>
        <v>13638.521360049272</v>
      </c>
      <c r="T221">
        <f t="shared" si="227"/>
        <v>0</v>
      </c>
      <c r="U221" s="11">
        <f t="shared" si="227"/>
        <v>0</v>
      </c>
      <c r="V221" s="2">
        <f t="shared" si="227"/>
        <v>0</v>
      </c>
      <c r="W221">
        <f t="shared" si="227"/>
        <v>0</v>
      </c>
      <c r="X221">
        <f t="shared" si="227"/>
        <v>0</v>
      </c>
      <c r="Y221">
        <f t="shared" si="227"/>
        <v>0</v>
      </c>
      <c r="Z221">
        <f t="shared" si="227"/>
        <v>0</v>
      </c>
      <c r="AA221">
        <f t="shared" si="227"/>
        <v>0</v>
      </c>
      <c r="AD221">
        <f t="shared" ref="AD221:AT221" si="228">AD39</f>
        <v>0</v>
      </c>
      <c r="AE221">
        <f t="shared" si="228"/>
        <v>0</v>
      </c>
      <c r="AF221">
        <f t="shared" si="228"/>
        <v>0</v>
      </c>
      <c r="AG221">
        <f t="shared" si="228"/>
        <v>0</v>
      </c>
      <c r="AH221">
        <f t="shared" si="228"/>
        <v>0</v>
      </c>
      <c r="AI221">
        <f t="shared" si="228"/>
        <v>0</v>
      </c>
      <c r="AJ221">
        <f t="shared" si="228"/>
        <v>0</v>
      </c>
      <c r="AK221" s="11">
        <f t="shared" si="228"/>
        <v>0</v>
      </c>
      <c r="AL221">
        <f t="shared" si="228"/>
        <v>0</v>
      </c>
      <c r="AM221">
        <f t="shared" si="228"/>
        <v>0</v>
      </c>
      <c r="AN221" s="11">
        <f t="shared" si="228"/>
        <v>0</v>
      </c>
      <c r="AO221">
        <f t="shared" si="228"/>
        <v>0</v>
      </c>
      <c r="AP221">
        <f t="shared" si="228"/>
        <v>0</v>
      </c>
      <c r="AQ221">
        <f t="shared" si="228"/>
        <v>0</v>
      </c>
      <c r="AR221">
        <f t="shared" si="228"/>
        <v>0</v>
      </c>
      <c r="AS221">
        <f t="shared" si="228"/>
        <v>0</v>
      </c>
      <c r="AT221">
        <f t="shared" si="228"/>
        <v>0</v>
      </c>
      <c r="AU221" s="2" t="s">
        <v>263</v>
      </c>
      <c r="AV221" s="28">
        <f>AQ218*AV217</f>
        <v>3095.5071469992727</v>
      </c>
      <c r="AW221">
        <f t="shared" ref="AW221:BD221" si="229">AW39</f>
        <v>0</v>
      </c>
      <c r="AX221" s="11">
        <f t="shared" si="229"/>
        <v>0</v>
      </c>
      <c r="AY221" s="2">
        <f t="shared" si="229"/>
        <v>0</v>
      </c>
      <c r="AZ221">
        <f t="shared" si="229"/>
        <v>0</v>
      </c>
      <c r="BA221">
        <f t="shared" si="229"/>
        <v>0</v>
      </c>
      <c r="BB221">
        <f t="shared" si="229"/>
        <v>0</v>
      </c>
      <c r="BC221">
        <f t="shared" si="229"/>
        <v>0</v>
      </c>
      <c r="BD221">
        <f t="shared" si="229"/>
        <v>0</v>
      </c>
    </row>
    <row r="222" spans="1:56" x14ac:dyDescent="0.3">
      <c r="A222">
        <f t="shared" ref="A222:AA222" si="230">A40</f>
        <v>0</v>
      </c>
      <c r="B222">
        <f t="shared" si="230"/>
        <v>0</v>
      </c>
      <c r="C222">
        <f t="shared" si="230"/>
        <v>0</v>
      </c>
      <c r="D222">
        <f t="shared" si="230"/>
        <v>0</v>
      </c>
      <c r="E222">
        <f t="shared" si="230"/>
        <v>0</v>
      </c>
      <c r="F222">
        <f t="shared" si="230"/>
        <v>0</v>
      </c>
      <c r="G222">
        <f t="shared" si="230"/>
        <v>0</v>
      </c>
      <c r="H222" s="11">
        <f t="shared" si="230"/>
        <v>0</v>
      </c>
      <c r="I222">
        <f t="shared" si="230"/>
        <v>0</v>
      </c>
      <c r="J222">
        <f t="shared" si="230"/>
        <v>0</v>
      </c>
      <c r="K222" s="11">
        <f t="shared" si="230"/>
        <v>0</v>
      </c>
      <c r="L222">
        <f t="shared" si="230"/>
        <v>0</v>
      </c>
      <c r="M222">
        <f t="shared" si="230"/>
        <v>0</v>
      </c>
      <c r="N222">
        <f t="shared" si="230"/>
        <v>0</v>
      </c>
      <c r="O222">
        <f t="shared" si="230"/>
        <v>0</v>
      </c>
      <c r="P222">
        <f t="shared" si="230"/>
        <v>0</v>
      </c>
      <c r="Q222">
        <f t="shared" si="230"/>
        <v>0</v>
      </c>
      <c r="R222" s="2" t="s">
        <v>264</v>
      </c>
      <c r="S222" s="28">
        <f>N219*S218</f>
        <v>16312.741234568737</v>
      </c>
      <c r="T222">
        <f t="shared" si="230"/>
        <v>0</v>
      </c>
      <c r="U222" s="18"/>
      <c r="V222" s="12" t="str">
        <f t="shared" si="230"/>
        <v>Hospitalized</v>
      </c>
      <c r="W222" s="33">
        <f t="shared" si="230"/>
        <v>1658.2120741594788</v>
      </c>
      <c r="X222" s="33">
        <f>N218*X223</f>
        <v>1510.1574246809541</v>
      </c>
      <c r="Y222" s="33">
        <f>N219*Y223</f>
        <v>1806.2667236380041</v>
      </c>
      <c r="Z222">
        <f t="shared" si="230"/>
        <v>0</v>
      </c>
      <c r="AA222">
        <f t="shared" si="230"/>
        <v>0</v>
      </c>
      <c r="AD222">
        <f t="shared" ref="AD222:AT222" si="231">AD40</f>
        <v>0</v>
      </c>
      <c r="AE222">
        <f t="shared" si="231"/>
        <v>0</v>
      </c>
      <c r="AF222">
        <f t="shared" si="231"/>
        <v>0</v>
      </c>
      <c r="AG222">
        <f t="shared" si="231"/>
        <v>0</v>
      </c>
      <c r="AH222">
        <f t="shared" si="231"/>
        <v>0</v>
      </c>
      <c r="AI222">
        <f t="shared" si="231"/>
        <v>0</v>
      </c>
      <c r="AJ222">
        <f t="shared" si="231"/>
        <v>0</v>
      </c>
      <c r="AK222" s="11">
        <f t="shared" si="231"/>
        <v>0</v>
      </c>
      <c r="AL222">
        <f t="shared" si="231"/>
        <v>0</v>
      </c>
      <c r="AM222">
        <f t="shared" si="231"/>
        <v>0</v>
      </c>
      <c r="AN222" s="11">
        <f t="shared" si="231"/>
        <v>0</v>
      </c>
      <c r="AO222">
        <f t="shared" si="231"/>
        <v>0</v>
      </c>
      <c r="AP222">
        <f t="shared" si="231"/>
        <v>0</v>
      </c>
      <c r="AQ222">
        <f t="shared" si="231"/>
        <v>0</v>
      </c>
      <c r="AR222">
        <f t="shared" si="231"/>
        <v>0</v>
      </c>
      <c r="AS222">
        <f t="shared" si="231"/>
        <v>0</v>
      </c>
      <c r="AT222">
        <f t="shared" si="231"/>
        <v>0</v>
      </c>
      <c r="AU222" s="2" t="s">
        <v>264</v>
      </c>
      <c r="AV222" s="28">
        <f>AQ219*AV218</f>
        <v>3702.4693326854049</v>
      </c>
      <c r="AW222">
        <f t="shared" ref="AW222" si="232">AW40</f>
        <v>0</v>
      </c>
      <c r="AX222" s="18"/>
      <c r="AY222" s="12" t="str">
        <f t="shared" ref="AY222:AZ222" si="233">AY40</f>
        <v>Hospitalized</v>
      </c>
      <c r="AZ222" s="33">
        <f t="shared" si="233"/>
        <v>193.36226749457933</v>
      </c>
      <c r="BA222" s="33">
        <f>AQ218*BA223</f>
        <v>176.09777932542048</v>
      </c>
      <c r="BB222" s="33">
        <f>AQ219*BB223</f>
        <v>210.62675566373824</v>
      </c>
      <c r="BC222">
        <f t="shared" ref="BC222:BD222" si="234">BC40</f>
        <v>0</v>
      </c>
      <c r="BD222">
        <f t="shared" si="234"/>
        <v>0</v>
      </c>
    </row>
    <row r="223" spans="1:56" x14ac:dyDescent="0.3">
      <c r="A223">
        <f t="shared" ref="A223:AA223" si="235">A41</f>
        <v>0</v>
      </c>
      <c r="B223">
        <f t="shared" si="235"/>
        <v>0</v>
      </c>
      <c r="C223">
        <f t="shared" si="235"/>
        <v>0</v>
      </c>
      <c r="D223">
        <f t="shared" si="235"/>
        <v>0</v>
      </c>
      <c r="E223">
        <f t="shared" si="235"/>
        <v>0</v>
      </c>
      <c r="F223">
        <f t="shared" si="235"/>
        <v>0</v>
      </c>
      <c r="G223">
        <f t="shared" si="235"/>
        <v>0</v>
      </c>
      <c r="H223" s="11">
        <f t="shared" si="235"/>
        <v>0</v>
      </c>
      <c r="I223">
        <f t="shared" si="235"/>
        <v>0</v>
      </c>
      <c r="J223">
        <f t="shared" si="235"/>
        <v>0</v>
      </c>
      <c r="K223" s="11">
        <f t="shared" si="235"/>
        <v>0</v>
      </c>
      <c r="L223">
        <f t="shared" si="235"/>
        <v>0</v>
      </c>
      <c r="N223" s="12" t="str">
        <f t="shared" si="235"/>
        <v>Not MA for RSV</v>
      </c>
      <c r="O223" s="62" t="str">
        <f t="shared" si="235"/>
        <v>unknown</v>
      </c>
      <c r="P223">
        <f t="shared" si="235"/>
        <v>0</v>
      </c>
      <c r="Q223">
        <f t="shared" si="235"/>
        <v>0</v>
      </c>
      <c r="R223">
        <f t="shared" si="235"/>
        <v>0</v>
      </c>
      <c r="S223">
        <f t="shared" si="235"/>
        <v>0</v>
      </c>
      <c r="T223" s="1117" t="s">
        <v>181</v>
      </c>
      <c r="U223" s="1117"/>
      <c r="V223" s="2" t="str">
        <f t="shared" si="235"/>
        <v>p5a</v>
      </c>
      <c r="W223" s="61">
        <f>$W$41</f>
        <v>8.2500373812772285E-3</v>
      </c>
      <c r="X223" s="61">
        <f t="shared" ref="X223:Y223" si="236">$W$41</f>
        <v>8.2500373812772285E-3</v>
      </c>
      <c r="Y223" s="61">
        <f t="shared" si="236"/>
        <v>8.2500373812772285E-3</v>
      </c>
      <c r="Z223">
        <f t="shared" si="235"/>
        <v>0</v>
      </c>
      <c r="AA223">
        <f t="shared" si="235"/>
        <v>0</v>
      </c>
      <c r="AD223">
        <f t="shared" ref="AD223:AO223" si="237">AD41</f>
        <v>0</v>
      </c>
      <c r="AE223">
        <f t="shared" si="237"/>
        <v>0</v>
      </c>
      <c r="AF223">
        <f t="shared" si="237"/>
        <v>0</v>
      </c>
      <c r="AG223">
        <f t="shared" si="237"/>
        <v>0</v>
      </c>
      <c r="AH223">
        <f t="shared" si="237"/>
        <v>0</v>
      </c>
      <c r="AI223">
        <f t="shared" si="237"/>
        <v>0</v>
      </c>
      <c r="AJ223">
        <f t="shared" si="237"/>
        <v>0</v>
      </c>
      <c r="AK223" s="11">
        <f t="shared" si="237"/>
        <v>0</v>
      </c>
      <c r="AL223">
        <f t="shared" si="237"/>
        <v>0</v>
      </c>
      <c r="AM223">
        <f t="shared" si="237"/>
        <v>0</v>
      </c>
      <c r="AN223" s="11">
        <f t="shared" si="237"/>
        <v>0</v>
      </c>
      <c r="AO223">
        <f t="shared" si="237"/>
        <v>0</v>
      </c>
      <c r="AQ223" s="12" t="str">
        <f t="shared" ref="AQ223:AV223" si="238">AQ41</f>
        <v>Not MA for RSV</v>
      </c>
      <c r="AR223" s="62" t="str">
        <f t="shared" si="238"/>
        <v>unknown</v>
      </c>
      <c r="AS223">
        <f t="shared" si="238"/>
        <v>0</v>
      </c>
      <c r="AT223">
        <f t="shared" si="238"/>
        <v>0</v>
      </c>
      <c r="AU223">
        <f t="shared" si="238"/>
        <v>0</v>
      </c>
      <c r="AV223">
        <f t="shared" si="238"/>
        <v>0</v>
      </c>
      <c r="AW223" s="1117" t="s">
        <v>181</v>
      </c>
      <c r="AX223" s="1117"/>
      <c r="AY223" s="2" t="str">
        <f t="shared" ref="AY223" si="239">AY41</f>
        <v>p5a</v>
      </c>
      <c r="AZ223" s="61">
        <f>BA196</f>
        <v>9.62027692246428E-4</v>
      </c>
      <c r="BA223" s="61">
        <f t="shared" ref="BA223:BB223" si="240">BB196</f>
        <v>9.62027692246428E-4</v>
      </c>
      <c r="BB223" s="61">
        <f t="shared" si="240"/>
        <v>9.62027692246428E-4</v>
      </c>
      <c r="BC223">
        <f t="shared" ref="BC223:BD223" si="241">BC41</f>
        <v>0</v>
      </c>
      <c r="BD223">
        <f t="shared" si="241"/>
        <v>0</v>
      </c>
    </row>
    <row r="224" spans="1:56" x14ac:dyDescent="0.3">
      <c r="A224">
        <f t="shared" ref="A224:AA224" si="242">A42</f>
        <v>0</v>
      </c>
      <c r="B224">
        <f t="shared" si="242"/>
        <v>0</v>
      </c>
      <c r="C224">
        <f t="shared" si="242"/>
        <v>0</v>
      </c>
      <c r="D224">
        <f t="shared" si="242"/>
        <v>0</v>
      </c>
      <c r="E224">
        <f t="shared" si="242"/>
        <v>0</v>
      </c>
      <c r="F224">
        <f t="shared" si="242"/>
        <v>0</v>
      </c>
      <c r="G224">
        <f t="shared" si="242"/>
        <v>0</v>
      </c>
      <c r="H224" s="11">
        <f t="shared" si="242"/>
        <v>0</v>
      </c>
      <c r="I224">
        <f t="shared" si="242"/>
        <v>0</v>
      </c>
      <c r="J224">
        <f t="shared" si="242"/>
        <v>0</v>
      </c>
      <c r="K224" s="59">
        <f t="shared" si="242"/>
        <v>0</v>
      </c>
      <c r="L224" s="60">
        <f t="shared" si="242"/>
        <v>0</v>
      </c>
      <c r="M224">
        <f t="shared" si="242"/>
        <v>0</v>
      </c>
      <c r="N224" s="11">
        <f t="shared" si="242"/>
        <v>0</v>
      </c>
      <c r="O224" s="13">
        <f t="shared" si="242"/>
        <v>0</v>
      </c>
      <c r="P224" s="13">
        <f t="shared" si="242"/>
        <v>0</v>
      </c>
      <c r="Q224">
        <f t="shared" si="242"/>
        <v>0</v>
      </c>
      <c r="R224">
        <f t="shared" si="242"/>
        <v>0</v>
      </c>
      <c r="S224" s="437" t="str">
        <f t="shared" si="242"/>
        <v>base</v>
      </c>
      <c r="T224" s="437" t="str">
        <f t="shared" si="242"/>
        <v>low</v>
      </c>
      <c r="U224" s="437" t="str">
        <f t="shared" si="242"/>
        <v>high</v>
      </c>
      <c r="V224">
        <f t="shared" si="242"/>
        <v>0</v>
      </c>
      <c r="W224">
        <f t="shared" si="242"/>
        <v>0</v>
      </c>
      <c r="X224" s="37">
        <f t="shared" si="242"/>
        <v>0</v>
      </c>
      <c r="Y224" s="20">
        <f t="shared" si="242"/>
        <v>0</v>
      </c>
      <c r="Z224">
        <f t="shared" si="242"/>
        <v>0</v>
      </c>
      <c r="AA224">
        <f t="shared" si="242"/>
        <v>0</v>
      </c>
      <c r="AD224">
        <f t="shared" ref="AD224:BD224" si="243">AD42</f>
        <v>0</v>
      </c>
      <c r="AE224">
        <f t="shared" si="243"/>
        <v>0</v>
      </c>
      <c r="AF224">
        <f t="shared" si="243"/>
        <v>0</v>
      </c>
      <c r="AG224">
        <f t="shared" si="243"/>
        <v>0</v>
      </c>
      <c r="AH224">
        <f t="shared" si="243"/>
        <v>0</v>
      </c>
      <c r="AI224">
        <f t="shared" si="243"/>
        <v>0</v>
      </c>
      <c r="AJ224">
        <f t="shared" si="243"/>
        <v>0</v>
      </c>
      <c r="AK224" s="11">
        <f t="shared" si="243"/>
        <v>0</v>
      </c>
      <c r="AL224">
        <f t="shared" si="243"/>
        <v>0</v>
      </c>
      <c r="AM224">
        <f t="shared" si="243"/>
        <v>0</v>
      </c>
      <c r="AN224" s="59">
        <f t="shared" si="243"/>
        <v>0</v>
      </c>
      <c r="AO224" s="60">
        <f t="shared" si="243"/>
        <v>0</v>
      </c>
      <c r="AP224">
        <f t="shared" si="243"/>
        <v>0</v>
      </c>
      <c r="AQ224" s="11">
        <f t="shared" si="243"/>
        <v>0</v>
      </c>
      <c r="AR224" s="13">
        <f t="shared" si="243"/>
        <v>0</v>
      </c>
      <c r="AS224" s="13">
        <f t="shared" si="243"/>
        <v>0</v>
      </c>
      <c r="AT224">
        <f t="shared" si="243"/>
        <v>0</v>
      </c>
      <c r="AU224">
        <f t="shared" si="243"/>
        <v>0</v>
      </c>
      <c r="AV224" s="684" t="str">
        <f t="shared" si="243"/>
        <v>base</v>
      </c>
      <c r="AW224" s="684" t="str">
        <f t="shared" si="243"/>
        <v>low</v>
      </c>
      <c r="AX224" s="684" t="str">
        <f t="shared" si="243"/>
        <v>high</v>
      </c>
      <c r="AY224">
        <f t="shared" si="243"/>
        <v>0</v>
      </c>
      <c r="AZ224">
        <f t="shared" si="243"/>
        <v>0</v>
      </c>
      <c r="BA224" s="37">
        <f t="shared" si="243"/>
        <v>0</v>
      </c>
      <c r="BB224" s="20">
        <f t="shared" si="243"/>
        <v>0</v>
      </c>
      <c r="BC224">
        <f t="shared" si="243"/>
        <v>0</v>
      </c>
      <c r="BD224">
        <f t="shared" si="243"/>
        <v>0</v>
      </c>
    </row>
    <row r="225" spans="1:56" x14ac:dyDescent="0.3">
      <c r="A225">
        <f t="shared" ref="A225:AA225" si="244">A43</f>
        <v>0</v>
      </c>
      <c r="B225">
        <f t="shared" si="244"/>
        <v>0</v>
      </c>
      <c r="C225">
        <f t="shared" si="244"/>
        <v>0</v>
      </c>
      <c r="D225">
        <f t="shared" si="244"/>
        <v>0</v>
      </c>
      <c r="E225">
        <f t="shared" si="244"/>
        <v>0</v>
      </c>
      <c r="F225">
        <f t="shared" si="244"/>
        <v>0</v>
      </c>
      <c r="G225">
        <f t="shared" si="244"/>
        <v>0</v>
      </c>
      <c r="H225" s="11">
        <f t="shared" si="244"/>
        <v>0</v>
      </c>
      <c r="I225">
        <f t="shared" si="244"/>
        <v>0</v>
      </c>
      <c r="J225">
        <f t="shared" si="244"/>
        <v>0</v>
      </c>
      <c r="K225" s="59" t="str">
        <f t="shared" si="244"/>
        <v>1-p8</v>
      </c>
      <c r="L225" s="97">
        <f t="shared" si="244"/>
        <v>8.1392716666666587E-2</v>
      </c>
      <c r="M225" s="438">
        <f t="shared" si="244"/>
        <v>0</v>
      </c>
      <c r="N225" s="11">
        <f t="shared" si="244"/>
        <v>0</v>
      </c>
      <c r="O225">
        <f t="shared" si="244"/>
        <v>0</v>
      </c>
      <c r="P225">
        <f t="shared" si="244"/>
        <v>0</v>
      </c>
      <c r="Q225">
        <f t="shared" si="244"/>
        <v>0</v>
      </c>
      <c r="R225" s="12" t="str">
        <f t="shared" si="244"/>
        <v>Outpatient</v>
      </c>
      <c r="S225" s="33">
        <f t="shared" si="244"/>
        <v>11507.279065919813</v>
      </c>
      <c r="T225" s="33">
        <f>L227*T226</f>
        <v>10479.843435034116</v>
      </c>
      <c r="U225" s="33">
        <f>L228*U226</f>
        <v>12534.714696805511</v>
      </c>
      <c r="V225">
        <f t="shared" si="244"/>
        <v>0</v>
      </c>
      <c r="W225">
        <f t="shared" si="244"/>
        <v>0</v>
      </c>
      <c r="X225" s="69">
        <f t="shared" si="244"/>
        <v>0</v>
      </c>
      <c r="Y225">
        <f t="shared" si="244"/>
        <v>0</v>
      </c>
      <c r="Z225">
        <f t="shared" si="244"/>
        <v>0</v>
      </c>
      <c r="AA225">
        <f t="shared" si="244"/>
        <v>0</v>
      </c>
      <c r="AD225">
        <f t="shared" ref="AD225:AV225" si="245">AD43</f>
        <v>0</v>
      </c>
      <c r="AE225">
        <f t="shared" si="245"/>
        <v>0</v>
      </c>
      <c r="AF225">
        <f t="shared" si="245"/>
        <v>0</v>
      </c>
      <c r="AG225">
        <f t="shared" si="245"/>
        <v>0</v>
      </c>
      <c r="AH225">
        <f t="shared" si="245"/>
        <v>0</v>
      </c>
      <c r="AI225">
        <f t="shared" si="245"/>
        <v>0</v>
      </c>
      <c r="AJ225">
        <f t="shared" si="245"/>
        <v>0</v>
      </c>
      <c r="AK225" s="11">
        <f t="shared" si="245"/>
        <v>0</v>
      </c>
      <c r="AL225">
        <f t="shared" si="245"/>
        <v>0</v>
      </c>
      <c r="AM225">
        <f t="shared" si="245"/>
        <v>0</v>
      </c>
      <c r="AN225" s="59" t="str">
        <f t="shared" si="245"/>
        <v>1-p8</v>
      </c>
      <c r="AO225" s="97">
        <f t="shared" si="245"/>
        <v>8.1392716666666587E-2</v>
      </c>
      <c r="AP225" s="500">
        <f t="shared" si="245"/>
        <v>0</v>
      </c>
      <c r="AQ225" s="11">
        <f t="shared" si="245"/>
        <v>0</v>
      </c>
      <c r="AR225">
        <f t="shared" si="245"/>
        <v>0</v>
      </c>
      <c r="AS225">
        <f t="shared" si="245"/>
        <v>0</v>
      </c>
      <c r="AT225">
        <f t="shared" si="245"/>
        <v>0</v>
      </c>
      <c r="AU225" s="12" t="str">
        <f t="shared" si="245"/>
        <v>Outpatient</v>
      </c>
      <c r="AV225" s="33">
        <f t="shared" si="245"/>
        <v>4679.5969730824927</v>
      </c>
      <c r="AW225" s="33">
        <f>AO227*AW226</f>
        <v>4261.7758147715567</v>
      </c>
      <c r="AX225" s="33">
        <f>AO228*AX226</f>
        <v>5097.4181313934305</v>
      </c>
      <c r="AY225">
        <f t="shared" ref="AY225:BD225" si="246">AY43</f>
        <v>0</v>
      </c>
      <c r="AZ225">
        <f t="shared" si="246"/>
        <v>0</v>
      </c>
      <c r="BA225" s="69">
        <f t="shared" si="246"/>
        <v>0</v>
      </c>
      <c r="BB225">
        <f t="shared" si="246"/>
        <v>0</v>
      </c>
      <c r="BC225">
        <f t="shared" si="246"/>
        <v>0</v>
      </c>
      <c r="BD225">
        <f t="shared" si="246"/>
        <v>0</v>
      </c>
    </row>
    <row r="226" spans="1:56" x14ac:dyDescent="0.3">
      <c r="A226">
        <f t="shared" ref="A226:AA226" si="247">A44</f>
        <v>0</v>
      </c>
      <c r="B226">
        <f t="shared" si="247"/>
        <v>0</v>
      </c>
      <c r="C226">
        <f t="shared" si="247"/>
        <v>0</v>
      </c>
      <c r="D226">
        <f t="shared" si="247"/>
        <v>0</v>
      </c>
      <c r="E226">
        <f t="shared" si="247"/>
        <v>0</v>
      </c>
      <c r="F226">
        <f t="shared" si="247"/>
        <v>0</v>
      </c>
      <c r="G226">
        <f t="shared" si="247"/>
        <v>0</v>
      </c>
      <c r="H226" s="11"/>
      <c r="K226" s="15" t="str">
        <f t="shared" si="247"/>
        <v>antibodies don't transfer before birth</v>
      </c>
      <c r="L226" s="28">
        <f t="shared" si="247"/>
        <v>89045.057952336516</v>
      </c>
      <c r="M226">
        <f t="shared" si="247"/>
        <v>0</v>
      </c>
      <c r="N226" s="59" t="str">
        <f t="shared" si="247"/>
        <v>low:</v>
      </c>
      <c r="O226" s="50">
        <f>SUM(T226,T229,T232)</f>
        <v>0.18597458567567429</v>
      </c>
      <c r="P226">
        <f t="shared" si="247"/>
        <v>0</v>
      </c>
      <c r="Q226" s="16">
        <f t="shared" si="247"/>
        <v>0</v>
      </c>
      <c r="R226" s="2" t="str">
        <f t="shared" si="247"/>
        <v>p5c</v>
      </c>
      <c r="S226" s="61">
        <f>$S$44</f>
        <v>0.12922984532257092</v>
      </c>
      <c r="T226" s="61">
        <f t="shared" ref="T226:U226" si="248">$S$44</f>
        <v>0.12922984532257092</v>
      </c>
      <c r="U226" s="61">
        <f t="shared" si="248"/>
        <v>0.12922984532257092</v>
      </c>
      <c r="V226">
        <f t="shared" si="247"/>
        <v>0</v>
      </c>
      <c r="W226">
        <f t="shared" si="247"/>
        <v>0</v>
      </c>
      <c r="X226">
        <f t="shared" si="247"/>
        <v>0</v>
      </c>
      <c r="Y226">
        <f t="shared" si="247"/>
        <v>0</v>
      </c>
      <c r="Z226">
        <f t="shared" si="247"/>
        <v>0</v>
      </c>
      <c r="AA226">
        <f t="shared" si="247"/>
        <v>0</v>
      </c>
      <c r="AD226">
        <f t="shared" ref="AD226:AJ226" si="249">AD44</f>
        <v>0</v>
      </c>
      <c r="AE226">
        <f t="shared" si="249"/>
        <v>0</v>
      </c>
      <c r="AF226">
        <f t="shared" si="249"/>
        <v>0</v>
      </c>
      <c r="AG226">
        <f t="shared" si="249"/>
        <v>0</v>
      </c>
      <c r="AH226">
        <f t="shared" si="249"/>
        <v>0</v>
      </c>
      <c r="AI226">
        <f t="shared" si="249"/>
        <v>0</v>
      </c>
      <c r="AJ226">
        <f t="shared" si="249"/>
        <v>0</v>
      </c>
      <c r="AK226" s="11"/>
      <c r="AN226" s="15" t="str">
        <f t="shared" ref="AN226:AQ226" si="250">AN44</f>
        <v>antibodies don't transfer before birth</v>
      </c>
      <c r="AO226" s="28">
        <f t="shared" si="250"/>
        <v>89045.057952336516</v>
      </c>
      <c r="AP226">
        <f t="shared" si="250"/>
        <v>0</v>
      </c>
      <c r="AQ226" s="59" t="str">
        <f t="shared" si="250"/>
        <v>low:</v>
      </c>
      <c r="AR226" s="50">
        <f>SUM(AW226,AW229,AW232)</f>
        <v>7.633199129690689E-2</v>
      </c>
      <c r="AS226">
        <f t="shared" ref="AS226:AU226" si="251">AS44</f>
        <v>0</v>
      </c>
      <c r="AT226" s="16">
        <f t="shared" si="251"/>
        <v>0</v>
      </c>
      <c r="AU226" s="2" t="str">
        <f t="shared" si="251"/>
        <v>p5c</v>
      </c>
      <c r="AV226" s="61">
        <f>AV44</f>
        <v>5.2553135240670609E-2</v>
      </c>
      <c r="AW226" s="61">
        <f>AV226</f>
        <v>5.2553135240670609E-2</v>
      </c>
      <c r="AX226" s="61">
        <f>AV226</f>
        <v>5.2553135240670609E-2</v>
      </c>
      <c r="AY226">
        <f t="shared" ref="AY226:BD226" si="252">AY44</f>
        <v>0</v>
      </c>
      <c r="AZ226">
        <f t="shared" si="252"/>
        <v>0</v>
      </c>
      <c r="BA226">
        <f t="shared" si="252"/>
        <v>0</v>
      </c>
      <c r="BB226">
        <f t="shared" si="252"/>
        <v>0</v>
      </c>
      <c r="BC226">
        <f t="shared" si="252"/>
        <v>0</v>
      </c>
      <c r="BD226">
        <f t="shared" si="252"/>
        <v>0</v>
      </c>
    </row>
    <row r="227" spans="1:56" x14ac:dyDescent="0.3">
      <c r="A227">
        <f t="shared" ref="A227:AA227" si="253">A45</f>
        <v>0</v>
      </c>
      <c r="B227">
        <f t="shared" si="253"/>
        <v>0</v>
      </c>
      <c r="C227">
        <f t="shared" si="253"/>
        <v>0</v>
      </c>
      <c r="D227">
        <f t="shared" si="253"/>
        <v>0</v>
      </c>
      <c r="E227">
        <f t="shared" si="253"/>
        <v>0</v>
      </c>
      <c r="F227">
        <f t="shared" si="253"/>
        <v>0</v>
      </c>
      <c r="G227">
        <f t="shared" si="253"/>
        <v>0</v>
      </c>
      <c r="H227" s="11">
        <f t="shared" si="253"/>
        <v>0</v>
      </c>
      <c r="I227">
        <f t="shared" si="253"/>
        <v>0</v>
      </c>
      <c r="J227">
        <f t="shared" si="253"/>
        <v>0</v>
      </c>
      <c r="K227" s="2" t="s">
        <v>263</v>
      </c>
      <c r="L227" s="8">
        <f>I212*$L$225</f>
        <v>81094.606349449343</v>
      </c>
      <c r="M227">
        <f t="shared" si="253"/>
        <v>0</v>
      </c>
      <c r="N227" s="59" t="str">
        <f t="shared" si="253"/>
        <v>high:</v>
      </c>
      <c r="O227" s="50">
        <f>SUM(U226,U229,U232)</f>
        <v>0.18597458567567429</v>
      </c>
      <c r="P227">
        <f t="shared" si="253"/>
        <v>0</v>
      </c>
      <c r="Q227" s="11">
        <f t="shared" si="253"/>
        <v>0</v>
      </c>
      <c r="R227" s="2">
        <f t="shared" si="253"/>
        <v>0</v>
      </c>
      <c r="S227">
        <f t="shared" si="253"/>
        <v>0</v>
      </c>
      <c r="T227">
        <f t="shared" si="253"/>
        <v>0</v>
      </c>
      <c r="U227">
        <f t="shared" si="253"/>
        <v>0</v>
      </c>
      <c r="V227">
        <f t="shared" si="253"/>
        <v>0</v>
      </c>
      <c r="W227">
        <f t="shared" si="253"/>
        <v>0</v>
      </c>
      <c r="X227">
        <f t="shared" si="253"/>
        <v>0</v>
      </c>
      <c r="Y227">
        <f t="shared" si="253"/>
        <v>0</v>
      </c>
      <c r="Z227">
        <f t="shared" si="253"/>
        <v>0</v>
      </c>
      <c r="AA227">
        <f t="shared" si="253"/>
        <v>0</v>
      </c>
      <c r="AD227">
        <f t="shared" ref="AD227:AM227" si="254">AD45</f>
        <v>0</v>
      </c>
      <c r="AE227">
        <f t="shared" si="254"/>
        <v>0</v>
      </c>
      <c r="AF227">
        <f t="shared" si="254"/>
        <v>0</v>
      </c>
      <c r="AG227">
        <f t="shared" si="254"/>
        <v>0</v>
      </c>
      <c r="AH227">
        <f t="shared" si="254"/>
        <v>0</v>
      </c>
      <c r="AI227">
        <f t="shared" si="254"/>
        <v>0</v>
      </c>
      <c r="AJ227">
        <f t="shared" si="254"/>
        <v>0</v>
      </c>
      <c r="AK227" s="11">
        <f t="shared" si="254"/>
        <v>0</v>
      </c>
      <c r="AL227">
        <f t="shared" si="254"/>
        <v>0</v>
      </c>
      <c r="AM227">
        <f t="shared" si="254"/>
        <v>0</v>
      </c>
      <c r="AN227" s="2" t="s">
        <v>263</v>
      </c>
      <c r="AO227" s="8">
        <f>AL212*$L$225</f>
        <v>81094.606349449343</v>
      </c>
      <c r="AP227">
        <f t="shared" ref="AP227:AQ227" si="255">AP45</f>
        <v>0</v>
      </c>
      <c r="AQ227" s="59" t="str">
        <f t="shared" si="255"/>
        <v>high:</v>
      </c>
      <c r="AR227" s="50">
        <f>SUM(AX226,AX229,AX232)</f>
        <v>7.633199129690689E-2</v>
      </c>
      <c r="AS227">
        <f t="shared" ref="AS227:BD227" si="256">AS45</f>
        <v>0</v>
      </c>
      <c r="AT227" s="11">
        <f t="shared" si="256"/>
        <v>0</v>
      </c>
      <c r="AU227" s="2">
        <f t="shared" si="256"/>
        <v>0</v>
      </c>
      <c r="AV227">
        <f t="shared" si="256"/>
        <v>0</v>
      </c>
      <c r="AW227">
        <f t="shared" si="256"/>
        <v>0</v>
      </c>
      <c r="AX227">
        <f t="shared" si="256"/>
        <v>0</v>
      </c>
      <c r="AY227">
        <f t="shared" si="256"/>
        <v>0</v>
      </c>
      <c r="AZ227">
        <f t="shared" si="256"/>
        <v>0</v>
      </c>
      <c r="BA227">
        <f t="shared" si="256"/>
        <v>0</v>
      </c>
      <c r="BB227">
        <f t="shared" si="256"/>
        <v>0</v>
      </c>
      <c r="BC227">
        <f t="shared" si="256"/>
        <v>0</v>
      </c>
      <c r="BD227">
        <f t="shared" si="256"/>
        <v>0</v>
      </c>
    </row>
    <row r="228" spans="1:56" x14ac:dyDescent="0.3">
      <c r="A228">
        <f t="shared" ref="A228:AA228" si="257">A46</f>
        <v>0</v>
      </c>
      <c r="B228">
        <f t="shared" si="257"/>
        <v>0</v>
      </c>
      <c r="C228">
        <f t="shared" si="257"/>
        <v>0</v>
      </c>
      <c r="D228">
        <f t="shared" si="257"/>
        <v>0</v>
      </c>
      <c r="E228">
        <f t="shared" si="257"/>
        <v>0</v>
      </c>
      <c r="F228">
        <f t="shared" si="257"/>
        <v>0</v>
      </c>
      <c r="G228">
        <f t="shared" si="257"/>
        <v>0</v>
      </c>
      <c r="H228" s="11">
        <f t="shared" si="257"/>
        <v>0</v>
      </c>
      <c r="I228">
        <f t="shared" si="257"/>
        <v>0</v>
      </c>
      <c r="J228">
        <f t="shared" si="257"/>
        <v>0</v>
      </c>
      <c r="K228" s="2" t="s">
        <v>264</v>
      </c>
      <c r="L228" s="8">
        <f>I213*$L$225</f>
        <v>96995.509555223718</v>
      </c>
      <c r="M228">
        <f t="shared" si="257"/>
        <v>0</v>
      </c>
      <c r="N228" s="18" t="str">
        <f t="shared" si="257"/>
        <v>sum p5a-c</v>
      </c>
      <c r="O228" s="50">
        <f t="shared" si="257"/>
        <v>0.18597458567567429</v>
      </c>
      <c r="P228" s="438">
        <f t="shared" si="257"/>
        <v>0</v>
      </c>
      <c r="Q228" s="18">
        <f t="shared" si="257"/>
        <v>0</v>
      </c>
      <c r="R228" s="12" t="str">
        <f t="shared" si="257"/>
        <v>ED</v>
      </c>
      <c r="S228" s="33">
        <f t="shared" si="257"/>
        <v>3989.8895888093821</v>
      </c>
      <c r="T228" s="33">
        <f>L227*T229</f>
        <v>3633.6494469514023</v>
      </c>
      <c r="U228" s="33">
        <f>L228*U229</f>
        <v>4346.1297306673632</v>
      </c>
      <c r="V228">
        <f t="shared" si="257"/>
        <v>0</v>
      </c>
      <c r="W228">
        <f t="shared" si="257"/>
        <v>0</v>
      </c>
      <c r="X228">
        <f t="shared" si="257"/>
        <v>0</v>
      </c>
      <c r="Y228">
        <f t="shared" si="257"/>
        <v>0</v>
      </c>
      <c r="Z228">
        <f t="shared" si="257"/>
        <v>0</v>
      </c>
      <c r="AA228">
        <f t="shared" si="257"/>
        <v>0</v>
      </c>
      <c r="AD228">
        <f t="shared" ref="AD228:AM228" si="258">AD46</f>
        <v>0</v>
      </c>
      <c r="AE228">
        <f t="shared" si="258"/>
        <v>0</v>
      </c>
      <c r="AF228">
        <f t="shared" si="258"/>
        <v>0</v>
      </c>
      <c r="AG228">
        <f t="shared" si="258"/>
        <v>0</v>
      </c>
      <c r="AH228">
        <f t="shared" si="258"/>
        <v>0</v>
      </c>
      <c r="AI228">
        <f t="shared" si="258"/>
        <v>0</v>
      </c>
      <c r="AJ228">
        <f t="shared" si="258"/>
        <v>0</v>
      </c>
      <c r="AK228" s="11">
        <f t="shared" si="258"/>
        <v>0</v>
      </c>
      <c r="AL228">
        <f t="shared" si="258"/>
        <v>0</v>
      </c>
      <c r="AM228">
        <f t="shared" si="258"/>
        <v>0</v>
      </c>
      <c r="AN228" s="2" t="s">
        <v>264</v>
      </c>
      <c r="AO228" s="8">
        <f>AL213*$L$225</f>
        <v>96995.509555223718</v>
      </c>
      <c r="AP228">
        <f t="shared" ref="AP228:AV228" si="259">AP46</f>
        <v>0</v>
      </c>
      <c r="AQ228" s="18" t="str">
        <f t="shared" si="259"/>
        <v>sum p5a-c</v>
      </c>
      <c r="AR228" s="50">
        <f t="shared" si="259"/>
        <v>7.633199129690689E-2</v>
      </c>
      <c r="AS228" s="500">
        <f t="shared" si="259"/>
        <v>0</v>
      </c>
      <c r="AT228" s="18">
        <f t="shared" si="259"/>
        <v>0</v>
      </c>
      <c r="AU228" s="12" t="str">
        <f t="shared" si="259"/>
        <v>ED</v>
      </c>
      <c r="AV228" s="33">
        <f t="shared" si="259"/>
        <v>1860.9835405546251</v>
      </c>
      <c r="AW228" s="33">
        <f>AO227*AW229</f>
        <v>1694.8242958622482</v>
      </c>
      <c r="AX228" s="33">
        <f>AO228*AX229</f>
        <v>2027.1427852470024</v>
      </c>
      <c r="AY228">
        <f t="shared" ref="AY228:BD228" si="260">AY46</f>
        <v>0</v>
      </c>
      <c r="AZ228">
        <f t="shared" si="260"/>
        <v>0</v>
      </c>
      <c r="BA228">
        <f t="shared" si="260"/>
        <v>0</v>
      </c>
      <c r="BB228">
        <f t="shared" si="260"/>
        <v>0</v>
      </c>
      <c r="BC228">
        <f t="shared" si="260"/>
        <v>0</v>
      </c>
      <c r="BD228">
        <f t="shared" si="260"/>
        <v>0</v>
      </c>
    </row>
    <row r="229" spans="1:56" x14ac:dyDescent="0.3">
      <c r="A229">
        <f t="shared" ref="A229:AA229" si="261">A47</f>
        <v>0</v>
      </c>
      <c r="B229">
        <f t="shared" si="261"/>
        <v>0</v>
      </c>
      <c r="C229">
        <f t="shared" si="261"/>
        <v>0</v>
      </c>
      <c r="D229">
        <f t="shared" si="261"/>
        <v>0</v>
      </c>
      <c r="E229">
        <f t="shared" si="261"/>
        <v>0</v>
      </c>
      <c r="F229">
        <f t="shared" si="261"/>
        <v>0</v>
      </c>
      <c r="G229">
        <f t="shared" si="261"/>
        <v>0</v>
      </c>
      <c r="H229" s="11">
        <f t="shared" si="261"/>
        <v>0</v>
      </c>
      <c r="I229">
        <f t="shared" si="261"/>
        <v>0</v>
      </c>
      <c r="J229">
        <f t="shared" si="261"/>
        <v>0</v>
      </c>
      <c r="K229">
        <f t="shared" si="261"/>
        <v>0</v>
      </c>
      <c r="N229" s="2" t="str">
        <f t="shared" si="261"/>
        <v>Medically Attended for RSV</v>
      </c>
      <c r="O229" s="54">
        <f t="shared" si="261"/>
        <v>16560.117759152188</v>
      </c>
      <c r="P229">
        <f t="shared" si="261"/>
        <v>0</v>
      </c>
      <c r="Q229" s="11">
        <f t="shared" si="261"/>
        <v>0</v>
      </c>
      <c r="R229" s="2" t="str">
        <f t="shared" si="261"/>
        <v>p5b</v>
      </c>
      <c r="S229" s="61">
        <f>$S$47</f>
        <v>4.4807535427121237E-2</v>
      </c>
      <c r="T229" s="61">
        <f t="shared" ref="T229:U229" si="262">$S$47</f>
        <v>4.4807535427121237E-2</v>
      </c>
      <c r="U229" s="61">
        <f t="shared" si="262"/>
        <v>4.4807535427121237E-2</v>
      </c>
      <c r="V229">
        <f t="shared" si="261"/>
        <v>0</v>
      </c>
      <c r="W229">
        <f t="shared" si="261"/>
        <v>0</v>
      </c>
      <c r="X229">
        <f t="shared" si="261"/>
        <v>0</v>
      </c>
      <c r="Y229">
        <f t="shared" si="261"/>
        <v>0</v>
      </c>
      <c r="Z229">
        <f t="shared" si="261"/>
        <v>0</v>
      </c>
      <c r="AA229">
        <f t="shared" si="261"/>
        <v>0</v>
      </c>
      <c r="AD229">
        <f t="shared" ref="AD229:AN229" si="263">AD47</f>
        <v>0</v>
      </c>
      <c r="AE229">
        <f t="shared" si="263"/>
        <v>0</v>
      </c>
      <c r="AF229">
        <f t="shared" si="263"/>
        <v>0</v>
      </c>
      <c r="AG229">
        <f t="shared" si="263"/>
        <v>0</v>
      </c>
      <c r="AH229">
        <f t="shared" si="263"/>
        <v>0</v>
      </c>
      <c r="AI229">
        <f t="shared" si="263"/>
        <v>0</v>
      </c>
      <c r="AJ229">
        <f t="shared" si="263"/>
        <v>0</v>
      </c>
      <c r="AK229" s="11">
        <f t="shared" si="263"/>
        <v>0</v>
      </c>
      <c r="AL229">
        <f t="shared" si="263"/>
        <v>0</v>
      </c>
      <c r="AM229">
        <f t="shared" si="263"/>
        <v>0</v>
      </c>
      <c r="AN229">
        <f t="shared" si="263"/>
        <v>0</v>
      </c>
      <c r="AQ229" s="2" t="str">
        <f t="shared" ref="AQ229:AU229" si="264">AQ47</f>
        <v>Medically Attended for RSV</v>
      </c>
      <c r="AR229" s="54">
        <f t="shared" si="264"/>
        <v>6796.9865886503203</v>
      </c>
      <c r="AS229">
        <f t="shared" si="264"/>
        <v>0</v>
      </c>
      <c r="AT229" s="11">
        <f t="shared" si="264"/>
        <v>0</v>
      </c>
      <c r="AU229" s="2" t="str">
        <f t="shared" si="264"/>
        <v>p5b</v>
      </c>
      <c r="AV229" s="61">
        <f>AV47</f>
        <v>2.0899346727931388E-2</v>
      </c>
      <c r="AW229" s="61">
        <f>AV229</f>
        <v>2.0899346727931388E-2</v>
      </c>
      <c r="AX229" s="61">
        <f>AV229</f>
        <v>2.0899346727931388E-2</v>
      </c>
      <c r="AY229">
        <f t="shared" ref="AY229:BD229" si="265">AY47</f>
        <v>0</v>
      </c>
      <c r="AZ229">
        <f t="shared" si="265"/>
        <v>0</v>
      </c>
      <c r="BA229">
        <f t="shared" si="265"/>
        <v>0</v>
      </c>
      <c r="BB229">
        <f t="shared" si="265"/>
        <v>0</v>
      </c>
      <c r="BC229">
        <f t="shared" si="265"/>
        <v>0</v>
      </c>
      <c r="BD229">
        <f t="shared" si="265"/>
        <v>0</v>
      </c>
    </row>
    <row r="230" spans="1:56" x14ac:dyDescent="0.3">
      <c r="A230">
        <f t="shared" ref="A230:AA230" si="266">A48</f>
        <v>0</v>
      </c>
      <c r="B230">
        <f t="shared" si="266"/>
        <v>0</v>
      </c>
      <c r="C230">
        <f t="shared" si="266"/>
        <v>0</v>
      </c>
      <c r="D230">
        <f t="shared" si="266"/>
        <v>0</v>
      </c>
      <c r="E230">
        <f t="shared" si="266"/>
        <v>0</v>
      </c>
      <c r="F230">
        <f t="shared" si="266"/>
        <v>0</v>
      </c>
      <c r="G230">
        <f t="shared" si="266"/>
        <v>0</v>
      </c>
      <c r="H230" s="11">
        <f t="shared" si="266"/>
        <v>0</v>
      </c>
      <c r="I230">
        <f t="shared" si="266"/>
        <v>0</v>
      </c>
      <c r="J230">
        <f t="shared" si="266"/>
        <v>0</v>
      </c>
      <c r="K230">
        <f t="shared" si="266"/>
        <v>0</v>
      </c>
      <c r="L230">
        <f t="shared" si="266"/>
        <v>0</v>
      </c>
      <c r="M230">
        <f t="shared" si="266"/>
        <v>0</v>
      </c>
      <c r="N230" s="2" t="s">
        <v>263</v>
      </c>
      <c r="O230" s="71">
        <f>L227*O226</f>
        <v>15081.535816370748</v>
      </c>
      <c r="P230">
        <f t="shared" si="266"/>
        <v>0</v>
      </c>
      <c r="Q230" s="11">
        <f t="shared" si="266"/>
        <v>0</v>
      </c>
      <c r="R230" s="2">
        <f t="shared" si="266"/>
        <v>0</v>
      </c>
      <c r="S230">
        <f t="shared" si="266"/>
        <v>0</v>
      </c>
      <c r="T230">
        <f t="shared" si="266"/>
        <v>0</v>
      </c>
      <c r="U230">
        <f t="shared" si="266"/>
        <v>0</v>
      </c>
      <c r="V230">
        <f t="shared" si="266"/>
        <v>0</v>
      </c>
      <c r="W230">
        <f t="shared" si="266"/>
        <v>0</v>
      </c>
      <c r="X230">
        <f t="shared" si="266"/>
        <v>0</v>
      </c>
      <c r="Y230">
        <f t="shared" si="266"/>
        <v>0</v>
      </c>
      <c r="Z230">
        <f t="shared" si="266"/>
        <v>0</v>
      </c>
      <c r="AA230">
        <f t="shared" si="266"/>
        <v>0</v>
      </c>
      <c r="AD230">
        <f t="shared" ref="AD230:AP230" si="267">AD48</f>
        <v>0</v>
      </c>
      <c r="AE230">
        <f t="shared" si="267"/>
        <v>0</v>
      </c>
      <c r="AF230">
        <f t="shared" si="267"/>
        <v>0</v>
      </c>
      <c r="AG230">
        <f t="shared" si="267"/>
        <v>0</v>
      </c>
      <c r="AH230">
        <f t="shared" si="267"/>
        <v>0</v>
      </c>
      <c r="AI230">
        <f t="shared" si="267"/>
        <v>0</v>
      </c>
      <c r="AJ230">
        <f t="shared" si="267"/>
        <v>0</v>
      </c>
      <c r="AK230" s="11">
        <f t="shared" si="267"/>
        <v>0</v>
      </c>
      <c r="AL230">
        <f t="shared" si="267"/>
        <v>0</v>
      </c>
      <c r="AM230">
        <f t="shared" si="267"/>
        <v>0</v>
      </c>
      <c r="AN230">
        <f t="shared" si="267"/>
        <v>0</v>
      </c>
      <c r="AO230">
        <f t="shared" si="267"/>
        <v>0</v>
      </c>
      <c r="AP230">
        <f t="shared" si="267"/>
        <v>0</v>
      </c>
      <c r="AQ230" s="2" t="s">
        <v>263</v>
      </c>
      <c r="AR230" s="71">
        <f>AO227*AR226</f>
        <v>6190.112786092257</v>
      </c>
      <c r="AS230">
        <f t="shared" ref="AS230:BD230" si="268">AS48</f>
        <v>0</v>
      </c>
      <c r="AT230" s="11">
        <f t="shared" si="268"/>
        <v>0</v>
      </c>
      <c r="AU230" s="2">
        <f t="shared" si="268"/>
        <v>0</v>
      </c>
      <c r="AV230">
        <f t="shared" si="268"/>
        <v>0</v>
      </c>
      <c r="AW230">
        <f t="shared" si="268"/>
        <v>0</v>
      </c>
      <c r="AX230">
        <f t="shared" si="268"/>
        <v>0</v>
      </c>
      <c r="AY230">
        <f t="shared" si="268"/>
        <v>0</v>
      </c>
      <c r="AZ230">
        <f t="shared" si="268"/>
        <v>0</v>
      </c>
      <c r="BA230">
        <f t="shared" si="268"/>
        <v>0</v>
      </c>
      <c r="BB230">
        <f t="shared" si="268"/>
        <v>0</v>
      </c>
      <c r="BC230">
        <f t="shared" si="268"/>
        <v>0</v>
      </c>
      <c r="BD230">
        <f t="shared" si="268"/>
        <v>0</v>
      </c>
    </row>
    <row r="231" spans="1:56" x14ac:dyDescent="0.3">
      <c r="A231">
        <f t="shared" ref="A231:AA231" si="269">A49</f>
        <v>0</v>
      </c>
      <c r="B231">
        <f t="shared" si="269"/>
        <v>0</v>
      </c>
      <c r="C231">
        <f t="shared" si="269"/>
        <v>0</v>
      </c>
      <c r="D231">
        <f t="shared" si="269"/>
        <v>0</v>
      </c>
      <c r="E231">
        <f t="shared" si="269"/>
        <v>0</v>
      </c>
      <c r="F231">
        <f t="shared" si="269"/>
        <v>0</v>
      </c>
      <c r="G231">
        <f t="shared" si="269"/>
        <v>0</v>
      </c>
      <c r="H231" s="11">
        <f t="shared" si="269"/>
        <v>0</v>
      </c>
      <c r="I231">
        <f t="shared" si="269"/>
        <v>0</v>
      </c>
      <c r="J231">
        <f t="shared" si="269"/>
        <v>0</v>
      </c>
      <c r="K231">
        <f t="shared" si="269"/>
        <v>0</v>
      </c>
      <c r="L231">
        <f t="shared" si="269"/>
        <v>0</v>
      </c>
      <c r="M231">
        <f t="shared" si="269"/>
        <v>0</v>
      </c>
      <c r="N231" s="2" t="s">
        <v>264</v>
      </c>
      <c r="O231" s="71">
        <f>L228*O227</f>
        <v>18038.699701933638</v>
      </c>
      <c r="P231">
        <f t="shared" si="269"/>
        <v>0</v>
      </c>
      <c r="Q231" s="18">
        <f t="shared" si="269"/>
        <v>0</v>
      </c>
      <c r="R231" s="12" t="str">
        <f t="shared" si="269"/>
        <v>Hospitalized</v>
      </c>
      <c r="S231" s="30">
        <f t="shared" si="269"/>
        <v>1062.949104422996</v>
      </c>
      <c r="T231" s="33">
        <f>L227*T232</f>
        <v>968.04293438522859</v>
      </c>
      <c r="U231" s="33">
        <f>L228*U232</f>
        <v>1157.8552744607637</v>
      </c>
      <c r="V231">
        <f t="shared" si="269"/>
        <v>0</v>
      </c>
      <c r="W231">
        <f t="shared" si="269"/>
        <v>0</v>
      </c>
      <c r="X231">
        <f t="shared" si="269"/>
        <v>0</v>
      </c>
      <c r="Y231">
        <f t="shared" si="269"/>
        <v>0</v>
      </c>
      <c r="Z231">
        <f t="shared" si="269"/>
        <v>0</v>
      </c>
      <c r="AA231">
        <f t="shared" si="269"/>
        <v>0</v>
      </c>
      <c r="AD231">
        <f t="shared" ref="AD231:AP231" si="270">AD49</f>
        <v>0</v>
      </c>
      <c r="AE231">
        <f t="shared" si="270"/>
        <v>0</v>
      </c>
      <c r="AF231">
        <f t="shared" si="270"/>
        <v>0</v>
      </c>
      <c r="AG231">
        <f t="shared" si="270"/>
        <v>0</v>
      </c>
      <c r="AH231">
        <f t="shared" si="270"/>
        <v>0</v>
      </c>
      <c r="AI231">
        <f t="shared" si="270"/>
        <v>0</v>
      </c>
      <c r="AJ231">
        <f t="shared" si="270"/>
        <v>0</v>
      </c>
      <c r="AK231" s="11">
        <f t="shared" si="270"/>
        <v>0</v>
      </c>
      <c r="AL231">
        <f t="shared" si="270"/>
        <v>0</v>
      </c>
      <c r="AM231">
        <f t="shared" si="270"/>
        <v>0</v>
      </c>
      <c r="AN231">
        <f t="shared" si="270"/>
        <v>0</v>
      </c>
      <c r="AO231">
        <f t="shared" si="270"/>
        <v>0</v>
      </c>
      <c r="AP231">
        <f t="shared" si="270"/>
        <v>0</v>
      </c>
      <c r="AQ231" s="2" t="s">
        <v>264</v>
      </c>
      <c r="AR231" s="71">
        <f>AO228*AR227</f>
        <v>7403.8603912083863</v>
      </c>
      <c r="AS231">
        <f t="shared" ref="AS231:AV231" si="271">AS49</f>
        <v>0</v>
      </c>
      <c r="AT231" s="18">
        <f t="shared" si="271"/>
        <v>0</v>
      </c>
      <c r="AU231" s="12" t="str">
        <f t="shared" si="271"/>
        <v>Hospitalized</v>
      </c>
      <c r="AV231" s="30">
        <f t="shared" si="271"/>
        <v>256.40607501320306</v>
      </c>
      <c r="AW231" s="33">
        <f>AO227*AW232</f>
        <v>233.51267545845283</v>
      </c>
      <c r="AX231" s="33">
        <f>AO228*AX232</f>
        <v>279.29947456795338</v>
      </c>
      <c r="AY231">
        <f t="shared" ref="AY231:BD231" si="272">AY49</f>
        <v>0</v>
      </c>
      <c r="AZ231">
        <f t="shared" si="272"/>
        <v>0</v>
      </c>
      <c r="BA231">
        <f t="shared" si="272"/>
        <v>0</v>
      </c>
      <c r="BB231">
        <f t="shared" si="272"/>
        <v>0</v>
      </c>
      <c r="BC231">
        <f t="shared" si="272"/>
        <v>0</v>
      </c>
      <c r="BD231">
        <f t="shared" si="272"/>
        <v>0</v>
      </c>
    </row>
    <row r="232" spans="1:56" x14ac:dyDescent="0.3">
      <c r="A232">
        <f t="shared" ref="A232:AA232" si="273">A50</f>
        <v>0</v>
      </c>
      <c r="B232">
        <f t="shared" si="273"/>
        <v>0</v>
      </c>
      <c r="C232">
        <f t="shared" si="273"/>
        <v>0</v>
      </c>
      <c r="D232">
        <f t="shared" si="273"/>
        <v>0</v>
      </c>
      <c r="E232">
        <f t="shared" si="273"/>
        <v>0</v>
      </c>
      <c r="F232">
        <f t="shared" si="273"/>
        <v>0</v>
      </c>
      <c r="G232">
        <f t="shared" si="273"/>
        <v>0</v>
      </c>
      <c r="H232" s="11">
        <f t="shared" si="273"/>
        <v>0</v>
      </c>
      <c r="I232">
        <f t="shared" si="273"/>
        <v>0</v>
      </c>
      <c r="J232">
        <f t="shared" si="273"/>
        <v>0</v>
      </c>
      <c r="K232">
        <f t="shared" si="273"/>
        <v>0</v>
      </c>
      <c r="L232" s="22">
        <f t="shared" si="273"/>
        <v>0</v>
      </c>
      <c r="M232">
        <f t="shared" si="273"/>
        <v>0</v>
      </c>
      <c r="N232">
        <f t="shared" si="273"/>
        <v>0</v>
      </c>
      <c r="O232" s="71">
        <f t="shared" si="273"/>
        <v>0</v>
      </c>
      <c r="P232">
        <f t="shared" si="273"/>
        <v>0</v>
      </c>
      <c r="Q232">
        <f t="shared" si="273"/>
        <v>0</v>
      </c>
      <c r="R232" s="2" t="str">
        <f t="shared" si="273"/>
        <v>p5a</v>
      </c>
      <c r="S232" s="61">
        <f>$S$50</f>
        <v>1.1937204925982133E-2</v>
      </c>
      <c r="T232" s="61">
        <f t="shared" ref="T232:U232" si="274">$S$50</f>
        <v>1.1937204925982133E-2</v>
      </c>
      <c r="U232" s="61">
        <f t="shared" si="274"/>
        <v>1.1937204925982133E-2</v>
      </c>
      <c r="V232">
        <f t="shared" si="273"/>
        <v>0</v>
      </c>
      <c r="W232">
        <f t="shared" si="273"/>
        <v>0</v>
      </c>
      <c r="X232">
        <f t="shared" si="273"/>
        <v>0</v>
      </c>
      <c r="Y232">
        <f t="shared" si="273"/>
        <v>0</v>
      </c>
      <c r="Z232">
        <f t="shared" si="273"/>
        <v>0</v>
      </c>
      <c r="AA232">
        <f t="shared" si="273"/>
        <v>0</v>
      </c>
      <c r="AD232">
        <f t="shared" ref="AD232:AU232" si="275">AD50</f>
        <v>0</v>
      </c>
      <c r="AE232">
        <f t="shared" si="275"/>
        <v>0</v>
      </c>
      <c r="AF232">
        <f t="shared" si="275"/>
        <v>0</v>
      </c>
      <c r="AG232">
        <f t="shared" si="275"/>
        <v>0</v>
      </c>
      <c r="AH232">
        <f t="shared" si="275"/>
        <v>0</v>
      </c>
      <c r="AI232">
        <f t="shared" si="275"/>
        <v>0</v>
      </c>
      <c r="AJ232">
        <f t="shared" si="275"/>
        <v>0</v>
      </c>
      <c r="AK232" s="11">
        <f t="shared" si="275"/>
        <v>0</v>
      </c>
      <c r="AL232">
        <f t="shared" si="275"/>
        <v>0</v>
      </c>
      <c r="AM232">
        <f t="shared" si="275"/>
        <v>0</v>
      </c>
      <c r="AN232">
        <f t="shared" si="275"/>
        <v>0</v>
      </c>
      <c r="AO232" s="22">
        <f t="shared" si="275"/>
        <v>0</v>
      </c>
      <c r="AP232">
        <f t="shared" si="275"/>
        <v>0</v>
      </c>
      <c r="AQ232">
        <f t="shared" si="275"/>
        <v>0</v>
      </c>
      <c r="AR232" s="71">
        <f t="shared" si="275"/>
        <v>0</v>
      </c>
      <c r="AS232">
        <f t="shared" si="275"/>
        <v>0</v>
      </c>
      <c r="AT232">
        <f t="shared" si="275"/>
        <v>0</v>
      </c>
      <c r="AU232" s="2" t="str">
        <f t="shared" si="275"/>
        <v>p5a</v>
      </c>
      <c r="AV232" s="61">
        <f>AV50</f>
        <v>2.879509328304896E-3</v>
      </c>
      <c r="AW232" s="61">
        <f>AV232</f>
        <v>2.879509328304896E-3</v>
      </c>
      <c r="AX232" s="61">
        <f>AV232</f>
        <v>2.879509328304896E-3</v>
      </c>
      <c r="AY232">
        <f t="shared" ref="AY232:BD232" si="276">AY50</f>
        <v>0</v>
      </c>
      <c r="AZ232">
        <f t="shared" si="276"/>
        <v>0</v>
      </c>
      <c r="BA232">
        <f t="shared" si="276"/>
        <v>0</v>
      </c>
      <c r="BB232">
        <f t="shared" si="276"/>
        <v>0</v>
      </c>
      <c r="BC232">
        <f t="shared" si="276"/>
        <v>0</v>
      </c>
      <c r="BD232">
        <f t="shared" si="276"/>
        <v>0</v>
      </c>
    </row>
    <row r="233" spans="1:56" x14ac:dyDescent="0.3">
      <c r="A233">
        <f t="shared" ref="A233:AA233" si="277">A51</f>
        <v>0</v>
      </c>
      <c r="B233">
        <f t="shared" si="277"/>
        <v>0</v>
      </c>
      <c r="C233">
        <f t="shared" si="277"/>
        <v>0</v>
      </c>
      <c r="D233">
        <f t="shared" si="277"/>
        <v>0</v>
      </c>
      <c r="E233">
        <f t="shared" si="277"/>
        <v>0</v>
      </c>
      <c r="F233">
        <f t="shared" si="277"/>
        <v>0</v>
      </c>
      <c r="G233">
        <f t="shared" si="277"/>
        <v>0</v>
      </c>
      <c r="H233" s="11">
        <f t="shared" si="277"/>
        <v>0</v>
      </c>
      <c r="I233">
        <f t="shared" si="277"/>
        <v>0</v>
      </c>
      <c r="J233">
        <f t="shared" si="277"/>
        <v>0</v>
      </c>
      <c r="K233">
        <f t="shared" si="277"/>
        <v>0</v>
      </c>
      <c r="L233">
        <f t="shared" si="277"/>
        <v>0</v>
      </c>
      <c r="M233">
        <f t="shared" si="277"/>
        <v>0</v>
      </c>
      <c r="N233">
        <f t="shared" si="277"/>
        <v>0</v>
      </c>
      <c r="O233">
        <f t="shared" si="277"/>
        <v>0</v>
      </c>
      <c r="P233">
        <f t="shared" si="277"/>
        <v>0</v>
      </c>
      <c r="Q233">
        <f t="shared" si="277"/>
        <v>0</v>
      </c>
      <c r="R233">
        <f t="shared" si="277"/>
        <v>0</v>
      </c>
      <c r="S233">
        <f t="shared" si="277"/>
        <v>0</v>
      </c>
      <c r="T233">
        <f t="shared" si="277"/>
        <v>0</v>
      </c>
      <c r="U233">
        <f t="shared" si="277"/>
        <v>0</v>
      </c>
      <c r="V233">
        <f t="shared" si="277"/>
        <v>0</v>
      </c>
      <c r="W233">
        <f t="shared" si="277"/>
        <v>0</v>
      </c>
      <c r="X233">
        <f t="shared" si="277"/>
        <v>0</v>
      </c>
      <c r="Y233">
        <f t="shared" si="277"/>
        <v>0</v>
      </c>
      <c r="Z233">
        <f t="shared" si="277"/>
        <v>0</v>
      </c>
      <c r="AA233">
        <f t="shared" si="277"/>
        <v>0</v>
      </c>
      <c r="AD233">
        <f t="shared" ref="AD233:BD233" si="278">AD51</f>
        <v>0</v>
      </c>
      <c r="AE233">
        <f t="shared" si="278"/>
        <v>0</v>
      </c>
      <c r="AF233">
        <f t="shared" si="278"/>
        <v>0</v>
      </c>
      <c r="AG233">
        <f t="shared" si="278"/>
        <v>0</v>
      </c>
      <c r="AH233">
        <f t="shared" si="278"/>
        <v>0</v>
      </c>
      <c r="AI233">
        <f t="shared" si="278"/>
        <v>0</v>
      </c>
      <c r="AJ233">
        <f t="shared" si="278"/>
        <v>0</v>
      </c>
      <c r="AK233" s="11">
        <f t="shared" si="278"/>
        <v>0</v>
      </c>
      <c r="AL233">
        <f t="shared" si="278"/>
        <v>0</v>
      </c>
      <c r="AM233">
        <f t="shared" si="278"/>
        <v>0</v>
      </c>
      <c r="AN233">
        <f t="shared" si="278"/>
        <v>0</v>
      </c>
      <c r="AO233">
        <f t="shared" si="278"/>
        <v>0</v>
      </c>
      <c r="AP233">
        <f t="shared" si="278"/>
        <v>0</v>
      </c>
      <c r="AQ233">
        <f t="shared" si="278"/>
        <v>0</v>
      </c>
      <c r="AR233">
        <f t="shared" si="278"/>
        <v>0</v>
      </c>
      <c r="AS233">
        <f t="shared" si="278"/>
        <v>0</v>
      </c>
      <c r="AT233">
        <f t="shared" si="278"/>
        <v>0</v>
      </c>
      <c r="AU233">
        <f t="shared" si="278"/>
        <v>0</v>
      </c>
      <c r="AV233">
        <f t="shared" si="278"/>
        <v>0</v>
      </c>
      <c r="AW233">
        <f t="shared" si="278"/>
        <v>0</v>
      </c>
      <c r="AX233">
        <f t="shared" si="278"/>
        <v>0</v>
      </c>
      <c r="AY233">
        <f t="shared" si="278"/>
        <v>0</v>
      </c>
      <c r="AZ233">
        <f t="shared" si="278"/>
        <v>0</v>
      </c>
      <c r="BA233">
        <f t="shared" si="278"/>
        <v>0</v>
      </c>
      <c r="BB233">
        <f t="shared" si="278"/>
        <v>0</v>
      </c>
      <c r="BC233">
        <f t="shared" si="278"/>
        <v>0</v>
      </c>
      <c r="BD233">
        <f t="shared" si="278"/>
        <v>0</v>
      </c>
    </row>
    <row r="234" spans="1:56" x14ac:dyDescent="0.3">
      <c r="A234" t="str">
        <f t="shared" ref="A234:AA234" si="279">A52</f>
        <v>sum check row</v>
      </c>
      <c r="B234">
        <f t="shared" si="279"/>
        <v>0</v>
      </c>
      <c r="C234">
        <f t="shared" si="279"/>
        <v>0</v>
      </c>
      <c r="D234">
        <f t="shared" si="279"/>
        <v>0</v>
      </c>
      <c r="E234">
        <f t="shared" si="279"/>
        <v>0</v>
      </c>
      <c r="F234">
        <f t="shared" si="279"/>
        <v>0</v>
      </c>
      <c r="G234">
        <f t="shared" si="279"/>
        <v>0</v>
      </c>
      <c r="H234" s="11">
        <f t="shared" si="279"/>
        <v>0</v>
      </c>
      <c r="I234">
        <f t="shared" si="279"/>
        <v>0</v>
      </c>
      <c r="J234">
        <f t="shared" si="279"/>
        <v>0</v>
      </c>
      <c r="K234" s="2">
        <f t="shared" si="279"/>
        <v>0</v>
      </c>
      <c r="L234" s="21">
        <f t="shared" si="279"/>
        <v>0</v>
      </c>
      <c r="M234" s="28">
        <f t="shared" si="279"/>
        <v>0</v>
      </c>
      <c r="N234" s="55">
        <f t="shared" si="279"/>
        <v>0</v>
      </c>
      <c r="O234" s="21">
        <f t="shared" si="279"/>
        <v>0</v>
      </c>
      <c r="P234" s="28">
        <f t="shared" si="279"/>
        <v>0</v>
      </c>
      <c r="Q234" s="28">
        <f t="shared" si="279"/>
        <v>0</v>
      </c>
      <c r="R234" s="55" t="str">
        <f t="shared" si="279"/>
        <v>sum check</v>
      </c>
      <c r="S234" s="56">
        <f t="shared" si="279"/>
        <v>16560.117759152188</v>
      </c>
      <c r="T234" s="56">
        <f t="shared" si="279"/>
        <v>0</v>
      </c>
      <c r="U234">
        <f t="shared" si="279"/>
        <v>0</v>
      </c>
      <c r="V234" s="55" t="str">
        <f t="shared" si="279"/>
        <v>sum check</v>
      </c>
      <c r="W234" s="56">
        <f t="shared" si="279"/>
        <v>14975.631297309001</v>
      </c>
      <c r="X234">
        <f t="shared" si="279"/>
        <v>0</v>
      </c>
      <c r="Y234">
        <f t="shared" si="279"/>
        <v>0</v>
      </c>
      <c r="Z234">
        <f t="shared" si="279"/>
        <v>0</v>
      </c>
      <c r="AA234">
        <f t="shared" si="279"/>
        <v>0</v>
      </c>
      <c r="AD234" t="str">
        <f t="shared" ref="AD234:BD234" si="280">AD52</f>
        <v>sum check row</v>
      </c>
      <c r="AE234">
        <f t="shared" si="280"/>
        <v>0</v>
      </c>
      <c r="AF234">
        <f t="shared" si="280"/>
        <v>0</v>
      </c>
      <c r="AG234">
        <f t="shared" si="280"/>
        <v>0</v>
      </c>
      <c r="AH234">
        <f t="shared" si="280"/>
        <v>0</v>
      </c>
      <c r="AI234">
        <f t="shared" si="280"/>
        <v>0</v>
      </c>
      <c r="AJ234">
        <f t="shared" si="280"/>
        <v>0</v>
      </c>
      <c r="AK234" s="11">
        <f t="shared" si="280"/>
        <v>0</v>
      </c>
      <c r="AL234">
        <f t="shared" si="280"/>
        <v>0</v>
      </c>
      <c r="AM234">
        <f t="shared" si="280"/>
        <v>0</v>
      </c>
      <c r="AN234" s="2">
        <f t="shared" si="280"/>
        <v>0</v>
      </c>
      <c r="AO234" s="21">
        <f t="shared" si="280"/>
        <v>0</v>
      </c>
      <c r="AP234" s="28">
        <f t="shared" si="280"/>
        <v>0</v>
      </c>
      <c r="AQ234" s="55">
        <f t="shared" si="280"/>
        <v>0</v>
      </c>
      <c r="AR234" s="21">
        <f t="shared" si="280"/>
        <v>0</v>
      </c>
      <c r="AS234" s="28">
        <f t="shared" si="280"/>
        <v>0</v>
      </c>
      <c r="AT234" s="28">
        <f t="shared" si="280"/>
        <v>0</v>
      </c>
      <c r="AU234" s="55" t="str">
        <f t="shared" si="280"/>
        <v>sum check</v>
      </c>
      <c r="AV234" s="56">
        <f t="shared" si="280"/>
        <v>6796.9865886503212</v>
      </c>
      <c r="AW234" s="56">
        <f t="shared" si="280"/>
        <v>0</v>
      </c>
      <c r="AX234">
        <f t="shared" si="280"/>
        <v>0</v>
      </c>
      <c r="AY234" s="55" t="str">
        <f t="shared" si="280"/>
        <v>sum check</v>
      </c>
      <c r="AZ234" s="56">
        <f t="shared" si="280"/>
        <v>3398.9882398423379</v>
      </c>
      <c r="BA234">
        <f t="shared" si="280"/>
        <v>0</v>
      </c>
      <c r="BB234">
        <f t="shared" si="280"/>
        <v>0</v>
      </c>
      <c r="BC234">
        <f t="shared" si="280"/>
        <v>0</v>
      </c>
      <c r="BD234">
        <f t="shared" si="280"/>
        <v>0</v>
      </c>
    </row>
    <row r="235" spans="1:56" x14ac:dyDescent="0.3">
      <c r="A235">
        <f t="shared" ref="A235:AA235" si="281">A53</f>
        <v>0</v>
      </c>
      <c r="B235">
        <f t="shared" si="281"/>
        <v>0</v>
      </c>
      <c r="C235">
        <f t="shared" si="281"/>
        <v>0</v>
      </c>
      <c r="D235">
        <f t="shared" si="281"/>
        <v>0</v>
      </c>
      <c r="E235" s="14" t="s">
        <v>161</v>
      </c>
      <c r="F235" s="8">
        <f>$C$279*F239</f>
        <v>2012396.25</v>
      </c>
      <c r="G235">
        <f t="shared" si="281"/>
        <v>0</v>
      </c>
      <c r="H235" s="11">
        <f t="shared" si="281"/>
        <v>0</v>
      </c>
      <c r="I235">
        <f t="shared" si="281"/>
        <v>0</v>
      </c>
      <c r="J235">
        <f t="shared" si="281"/>
        <v>0</v>
      </c>
      <c r="K235">
        <f t="shared" si="281"/>
        <v>0</v>
      </c>
      <c r="L235">
        <f t="shared" si="281"/>
        <v>0</v>
      </c>
      <c r="M235">
        <f t="shared" si="281"/>
        <v>0</v>
      </c>
      <c r="N235">
        <f t="shared" si="281"/>
        <v>0</v>
      </c>
      <c r="O235">
        <f t="shared" si="281"/>
        <v>0</v>
      </c>
      <c r="P235">
        <f t="shared" si="281"/>
        <v>0</v>
      </c>
      <c r="Q235">
        <f t="shared" si="281"/>
        <v>0</v>
      </c>
      <c r="R235">
        <f t="shared" si="281"/>
        <v>0</v>
      </c>
      <c r="S235">
        <f t="shared" si="281"/>
        <v>0</v>
      </c>
      <c r="T235">
        <f t="shared" si="281"/>
        <v>0</v>
      </c>
      <c r="U235">
        <f t="shared" si="281"/>
        <v>0</v>
      </c>
      <c r="V235">
        <f t="shared" si="281"/>
        <v>0</v>
      </c>
      <c r="W235">
        <f t="shared" si="281"/>
        <v>0</v>
      </c>
      <c r="X235">
        <f t="shared" si="281"/>
        <v>0</v>
      </c>
      <c r="Y235">
        <f t="shared" si="281"/>
        <v>0</v>
      </c>
      <c r="Z235">
        <f t="shared" si="281"/>
        <v>0</v>
      </c>
      <c r="AA235">
        <f t="shared" si="281"/>
        <v>0</v>
      </c>
      <c r="AD235">
        <f t="shared" ref="AD235:AG235" si="282">AD53</f>
        <v>0</v>
      </c>
      <c r="AE235">
        <f t="shared" si="282"/>
        <v>0</v>
      </c>
      <c r="AF235">
        <f t="shared" si="282"/>
        <v>0</v>
      </c>
      <c r="AG235">
        <f t="shared" si="282"/>
        <v>0</v>
      </c>
      <c r="AH235" s="14" t="s">
        <v>161</v>
      </c>
      <c r="AI235" s="8">
        <f>$C$279*AI239</f>
        <v>2012396.25</v>
      </c>
      <c r="AJ235">
        <f t="shared" ref="AJ235:BD235" si="283">AJ53</f>
        <v>0</v>
      </c>
      <c r="AK235" s="11">
        <f t="shared" si="283"/>
        <v>0</v>
      </c>
      <c r="AL235">
        <f t="shared" si="283"/>
        <v>0</v>
      </c>
      <c r="AM235">
        <f t="shared" si="283"/>
        <v>0</v>
      </c>
      <c r="AN235">
        <f t="shared" si="283"/>
        <v>0</v>
      </c>
      <c r="AO235">
        <f t="shared" si="283"/>
        <v>0</v>
      </c>
      <c r="AP235">
        <f t="shared" si="283"/>
        <v>0</v>
      </c>
      <c r="AQ235">
        <f t="shared" si="283"/>
        <v>0</v>
      </c>
      <c r="AR235">
        <f t="shared" si="283"/>
        <v>0</v>
      </c>
      <c r="AS235">
        <f t="shared" si="283"/>
        <v>0</v>
      </c>
      <c r="AT235">
        <f t="shared" si="283"/>
        <v>0</v>
      </c>
      <c r="AU235">
        <f t="shared" si="283"/>
        <v>0</v>
      </c>
      <c r="AV235">
        <f t="shared" si="283"/>
        <v>0</v>
      </c>
      <c r="AW235">
        <f t="shared" si="283"/>
        <v>0</v>
      </c>
      <c r="AX235">
        <f t="shared" si="283"/>
        <v>0</v>
      </c>
      <c r="AY235">
        <f t="shared" si="283"/>
        <v>0</v>
      </c>
      <c r="AZ235">
        <f t="shared" si="283"/>
        <v>0</v>
      </c>
      <c r="BA235">
        <f t="shared" si="283"/>
        <v>0</v>
      </c>
      <c r="BB235">
        <f t="shared" si="283"/>
        <v>0</v>
      </c>
      <c r="BC235">
        <f t="shared" si="283"/>
        <v>0</v>
      </c>
      <c r="BD235">
        <f t="shared" si="283"/>
        <v>0</v>
      </c>
    </row>
    <row r="236" spans="1:56" x14ac:dyDescent="0.3">
      <c r="A236">
        <f t="shared" ref="A236:AA236" si="284">A54</f>
        <v>0</v>
      </c>
      <c r="B236">
        <f t="shared" si="284"/>
        <v>0</v>
      </c>
      <c r="C236">
        <f t="shared" si="284"/>
        <v>0</v>
      </c>
      <c r="D236">
        <f t="shared" si="284"/>
        <v>0</v>
      </c>
      <c r="E236" s="2" t="s">
        <v>162</v>
      </c>
      <c r="F236" s="8">
        <f>$C$279*F240</f>
        <v>2406983.75</v>
      </c>
      <c r="G236">
        <f t="shared" si="284"/>
        <v>0</v>
      </c>
      <c r="H236" s="11">
        <f t="shared" si="284"/>
        <v>0</v>
      </c>
      <c r="I236">
        <f t="shared" si="284"/>
        <v>0</v>
      </c>
      <c r="J236">
        <f t="shared" si="284"/>
        <v>0</v>
      </c>
      <c r="K236">
        <f t="shared" si="284"/>
        <v>0</v>
      </c>
      <c r="L236">
        <f t="shared" si="284"/>
        <v>0</v>
      </c>
      <c r="M236">
        <f t="shared" si="284"/>
        <v>0</v>
      </c>
      <c r="N236">
        <f t="shared" si="284"/>
        <v>0</v>
      </c>
      <c r="O236">
        <f t="shared" si="284"/>
        <v>0</v>
      </c>
      <c r="P236">
        <f t="shared" si="284"/>
        <v>0</v>
      </c>
      <c r="Q236">
        <f t="shared" si="284"/>
        <v>0</v>
      </c>
      <c r="R236">
        <f t="shared" si="284"/>
        <v>0</v>
      </c>
      <c r="S236">
        <f t="shared" si="284"/>
        <v>0</v>
      </c>
      <c r="T236">
        <f t="shared" si="284"/>
        <v>0</v>
      </c>
      <c r="U236">
        <f t="shared" si="284"/>
        <v>0</v>
      </c>
      <c r="V236">
        <f t="shared" si="284"/>
        <v>0</v>
      </c>
      <c r="W236">
        <f t="shared" si="284"/>
        <v>0</v>
      </c>
      <c r="X236">
        <f t="shared" si="284"/>
        <v>0</v>
      </c>
      <c r="Y236">
        <f t="shared" si="284"/>
        <v>0</v>
      </c>
      <c r="Z236">
        <f t="shared" si="284"/>
        <v>0</v>
      </c>
      <c r="AA236">
        <f t="shared" si="284"/>
        <v>0</v>
      </c>
      <c r="AD236">
        <f t="shared" ref="AD236:AG236" si="285">AD54</f>
        <v>0</v>
      </c>
      <c r="AE236">
        <f t="shared" si="285"/>
        <v>0</v>
      </c>
      <c r="AF236">
        <f t="shared" si="285"/>
        <v>0</v>
      </c>
      <c r="AG236">
        <f t="shared" si="285"/>
        <v>0</v>
      </c>
      <c r="AH236" s="2" t="s">
        <v>162</v>
      </c>
      <c r="AI236" s="8">
        <f>$C$279*AI240</f>
        <v>2406983.75</v>
      </c>
      <c r="AJ236">
        <f t="shared" ref="AJ236:BD236" si="286">AJ54</f>
        <v>0</v>
      </c>
      <c r="AK236" s="11">
        <f t="shared" si="286"/>
        <v>0</v>
      </c>
      <c r="AL236">
        <f t="shared" si="286"/>
        <v>0</v>
      </c>
      <c r="AM236">
        <f t="shared" si="286"/>
        <v>0</v>
      </c>
      <c r="AN236">
        <f t="shared" si="286"/>
        <v>0</v>
      </c>
      <c r="AO236">
        <f t="shared" si="286"/>
        <v>0</v>
      </c>
      <c r="AP236">
        <f t="shared" si="286"/>
        <v>0</v>
      </c>
      <c r="AQ236">
        <f t="shared" si="286"/>
        <v>0</v>
      </c>
      <c r="AR236">
        <f t="shared" si="286"/>
        <v>0</v>
      </c>
      <c r="AS236">
        <f t="shared" si="286"/>
        <v>0</v>
      </c>
      <c r="AT236">
        <f t="shared" si="286"/>
        <v>0</v>
      </c>
      <c r="AU236">
        <f t="shared" si="286"/>
        <v>0</v>
      </c>
      <c r="AV236">
        <f t="shared" si="286"/>
        <v>0</v>
      </c>
      <c r="AW236">
        <f t="shared" si="286"/>
        <v>0</v>
      </c>
      <c r="AX236">
        <f t="shared" si="286"/>
        <v>0</v>
      </c>
      <c r="AY236">
        <f t="shared" si="286"/>
        <v>0</v>
      </c>
      <c r="AZ236">
        <f t="shared" si="286"/>
        <v>0</v>
      </c>
      <c r="BA236">
        <f t="shared" si="286"/>
        <v>0</v>
      </c>
      <c r="BB236">
        <f t="shared" si="286"/>
        <v>0</v>
      </c>
      <c r="BC236">
        <f t="shared" si="286"/>
        <v>0</v>
      </c>
      <c r="BD236">
        <f t="shared" si="286"/>
        <v>0</v>
      </c>
    </row>
    <row r="237" spans="1:56" x14ac:dyDescent="0.3">
      <c r="A237">
        <f t="shared" ref="A237:AA237" si="287">A55</f>
        <v>0</v>
      </c>
      <c r="B237">
        <f t="shared" si="287"/>
        <v>0</v>
      </c>
      <c r="C237">
        <f t="shared" si="287"/>
        <v>0</v>
      </c>
      <c r="D237" s="438" t="str">
        <f t="shared" si="287"/>
        <v>Obtain Maternal Candidate</v>
      </c>
      <c r="E237" s="438"/>
      <c r="F237" s="33">
        <f>$C$279*F238</f>
        <v>2209690</v>
      </c>
      <c r="G237" s="438">
        <f t="shared" si="287"/>
        <v>0</v>
      </c>
      <c r="H237" s="11">
        <f t="shared" si="287"/>
        <v>0</v>
      </c>
      <c r="I237">
        <f t="shared" si="287"/>
        <v>0</v>
      </c>
      <c r="J237">
        <f t="shared" si="287"/>
        <v>0</v>
      </c>
      <c r="K237">
        <f t="shared" si="287"/>
        <v>0</v>
      </c>
      <c r="L237">
        <f t="shared" si="287"/>
        <v>0</v>
      </c>
      <c r="M237">
        <f t="shared" si="287"/>
        <v>0</v>
      </c>
      <c r="N237">
        <f t="shared" si="287"/>
        <v>0</v>
      </c>
      <c r="O237">
        <f t="shared" si="287"/>
        <v>0</v>
      </c>
      <c r="P237">
        <f t="shared" si="287"/>
        <v>0</v>
      </c>
      <c r="Q237">
        <f t="shared" si="287"/>
        <v>0</v>
      </c>
      <c r="R237">
        <f t="shared" si="287"/>
        <v>0</v>
      </c>
      <c r="S237">
        <f t="shared" si="287"/>
        <v>0</v>
      </c>
      <c r="T237">
        <f t="shared" si="287"/>
        <v>0</v>
      </c>
      <c r="U237">
        <f t="shared" si="287"/>
        <v>0</v>
      </c>
      <c r="V237">
        <f t="shared" si="287"/>
        <v>0</v>
      </c>
      <c r="W237">
        <f t="shared" si="287"/>
        <v>0</v>
      </c>
      <c r="X237">
        <f t="shared" si="287"/>
        <v>0</v>
      </c>
      <c r="Y237">
        <f t="shared" si="287"/>
        <v>0</v>
      </c>
      <c r="Z237">
        <f t="shared" si="287"/>
        <v>0</v>
      </c>
      <c r="AA237">
        <f t="shared" si="287"/>
        <v>0</v>
      </c>
      <c r="AD237">
        <f t="shared" ref="AD237:AG237" si="288">AD55</f>
        <v>0</v>
      </c>
      <c r="AE237">
        <f t="shared" si="288"/>
        <v>0</v>
      </c>
      <c r="AF237">
        <f t="shared" si="288"/>
        <v>0</v>
      </c>
      <c r="AG237" s="500" t="str">
        <f t="shared" si="288"/>
        <v>Obtain Maternal Candidate</v>
      </c>
      <c r="AH237" s="500"/>
      <c r="AI237" s="33">
        <f>$C$279*AI238</f>
        <v>2209690</v>
      </c>
      <c r="AJ237" s="500">
        <f t="shared" ref="AJ237:BD237" si="289">AJ55</f>
        <v>0</v>
      </c>
      <c r="AK237" s="11">
        <f t="shared" si="289"/>
        <v>0</v>
      </c>
      <c r="AL237">
        <f t="shared" si="289"/>
        <v>0</v>
      </c>
      <c r="AM237">
        <f t="shared" si="289"/>
        <v>0</v>
      </c>
      <c r="AN237">
        <f t="shared" si="289"/>
        <v>0</v>
      </c>
      <c r="AO237">
        <f t="shared" si="289"/>
        <v>0</v>
      </c>
      <c r="AP237">
        <f t="shared" si="289"/>
        <v>0</v>
      </c>
      <c r="AQ237">
        <f t="shared" si="289"/>
        <v>0</v>
      </c>
      <c r="AR237">
        <f t="shared" si="289"/>
        <v>0</v>
      </c>
      <c r="AS237">
        <f t="shared" si="289"/>
        <v>0</v>
      </c>
      <c r="AT237">
        <f t="shared" si="289"/>
        <v>0</v>
      </c>
      <c r="AU237">
        <f t="shared" si="289"/>
        <v>0</v>
      </c>
      <c r="AV237">
        <f t="shared" si="289"/>
        <v>0</v>
      </c>
      <c r="AW237">
        <f t="shared" si="289"/>
        <v>0</v>
      </c>
      <c r="AX237">
        <f t="shared" si="289"/>
        <v>0</v>
      </c>
      <c r="AY237">
        <f t="shared" si="289"/>
        <v>0</v>
      </c>
      <c r="AZ237">
        <f t="shared" si="289"/>
        <v>0</v>
      </c>
      <c r="BA237">
        <f t="shared" si="289"/>
        <v>0</v>
      </c>
      <c r="BB237">
        <f t="shared" si="289"/>
        <v>0</v>
      </c>
      <c r="BC237">
        <f t="shared" si="289"/>
        <v>0</v>
      </c>
      <c r="BD237">
        <f t="shared" si="289"/>
        <v>0</v>
      </c>
    </row>
    <row r="238" spans="1:56" x14ac:dyDescent="0.3">
      <c r="A238">
        <f t="shared" ref="A238:AA238" si="290">A56</f>
        <v>0</v>
      </c>
      <c r="B238">
        <f t="shared" si="290"/>
        <v>0</v>
      </c>
      <c r="C238">
        <f t="shared" si="290"/>
        <v>0</v>
      </c>
      <c r="D238" s="11">
        <f t="shared" si="290"/>
        <v>0</v>
      </c>
      <c r="E238" s="14" t="str">
        <f t="shared" si="290"/>
        <v>p7</v>
      </c>
      <c r="F238" s="50">
        <f>'Input 5_Product Uptake'!M20</f>
        <v>0.56000000000000005</v>
      </c>
      <c r="G238">
        <f t="shared" si="290"/>
        <v>0</v>
      </c>
      <c r="H238" s="11">
        <f t="shared" si="290"/>
        <v>0</v>
      </c>
      <c r="I238">
        <f t="shared" si="290"/>
        <v>0</v>
      </c>
      <c r="J238">
        <f t="shared" si="290"/>
        <v>0</v>
      </c>
      <c r="K238">
        <f t="shared" si="290"/>
        <v>0</v>
      </c>
      <c r="L238">
        <f t="shared" si="290"/>
        <v>0</v>
      </c>
      <c r="M238">
        <f t="shared" si="290"/>
        <v>0</v>
      </c>
      <c r="N238">
        <f t="shared" si="290"/>
        <v>0</v>
      </c>
      <c r="O238">
        <f t="shared" si="290"/>
        <v>0</v>
      </c>
      <c r="P238">
        <f t="shared" si="290"/>
        <v>0</v>
      </c>
      <c r="Q238">
        <f t="shared" si="290"/>
        <v>0</v>
      </c>
      <c r="R238">
        <f t="shared" si="290"/>
        <v>0</v>
      </c>
      <c r="S238">
        <f t="shared" si="290"/>
        <v>0</v>
      </c>
      <c r="T238">
        <f t="shared" si="290"/>
        <v>0</v>
      </c>
      <c r="U238">
        <f t="shared" si="290"/>
        <v>0</v>
      </c>
      <c r="V238">
        <f t="shared" si="290"/>
        <v>0</v>
      </c>
      <c r="W238">
        <f t="shared" si="290"/>
        <v>0</v>
      </c>
      <c r="X238">
        <f t="shared" si="290"/>
        <v>0</v>
      </c>
      <c r="Y238">
        <f t="shared" si="290"/>
        <v>0</v>
      </c>
      <c r="Z238">
        <f t="shared" si="290"/>
        <v>0</v>
      </c>
      <c r="AA238">
        <f t="shared" si="290"/>
        <v>0</v>
      </c>
      <c r="AD238">
        <f t="shared" ref="AD238:AH238" si="291">AD56</f>
        <v>0</v>
      </c>
      <c r="AE238">
        <f t="shared" si="291"/>
        <v>0</v>
      </c>
      <c r="AF238">
        <f t="shared" si="291"/>
        <v>0</v>
      </c>
      <c r="AG238" s="11">
        <f t="shared" si="291"/>
        <v>0</v>
      </c>
      <c r="AH238" s="14" t="str">
        <f t="shared" si="291"/>
        <v>p7</v>
      </c>
      <c r="AI238" s="50">
        <f>F238</f>
        <v>0.56000000000000005</v>
      </c>
      <c r="AJ238">
        <f t="shared" ref="AJ238:BD238" si="292">AJ56</f>
        <v>0</v>
      </c>
      <c r="AK238" s="11">
        <f t="shared" si="292"/>
        <v>0</v>
      </c>
      <c r="AL238">
        <f t="shared" si="292"/>
        <v>0</v>
      </c>
      <c r="AM238">
        <f t="shared" si="292"/>
        <v>0</v>
      </c>
      <c r="AN238">
        <f t="shared" si="292"/>
        <v>0</v>
      </c>
      <c r="AO238">
        <f t="shared" si="292"/>
        <v>0</v>
      </c>
      <c r="AP238">
        <f t="shared" si="292"/>
        <v>0</v>
      </c>
      <c r="AQ238">
        <f t="shared" si="292"/>
        <v>0</v>
      </c>
      <c r="AR238">
        <f t="shared" si="292"/>
        <v>0</v>
      </c>
      <c r="AS238">
        <f t="shared" si="292"/>
        <v>0</v>
      </c>
      <c r="AT238">
        <f t="shared" si="292"/>
        <v>0</v>
      </c>
      <c r="AU238">
        <f t="shared" si="292"/>
        <v>0</v>
      </c>
      <c r="AV238">
        <f t="shared" si="292"/>
        <v>0</v>
      </c>
      <c r="AW238">
        <f t="shared" si="292"/>
        <v>0</v>
      </c>
      <c r="AX238">
        <f t="shared" si="292"/>
        <v>0</v>
      </c>
      <c r="AY238">
        <f t="shared" si="292"/>
        <v>0</v>
      </c>
      <c r="AZ238">
        <f t="shared" si="292"/>
        <v>0</v>
      </c>
      <c r="BA238">
        <f t="shared" si="292"/>
        <v>0</v>
      </c>
      <c r="BB238">
        <f t="shared" si="292"/>
        <v>0</v>
      </c>
      <c r="BC238">
        <f t="shared" si="292"/>
        <v>0</v>
      </c>
      <c r="BD238">
        <f t="shared" si="292"/>
        <v>0</v>
      </c>
    </row>
    <row r="239" spans="1:56" x14ac:dyDescent="0.3">
      <c r="A239" t="str">
        <f t="shared" ref="A239:AA239" si="293">A57</f>
        <v>sum check row</v>
      </c>
      <c r="B239">
        <f t="shared" si="293"/>
        <v>0</v>
      </c>
      <c r="C239">
        <f t="shared" si="293"/>
        <v>0</v>
      </c>
      <c r="D239" s="11">
        <f t="shared" si="293"/>
        <v>0</v>
      </c>
      <c r="E239" s="14" t="s">
        <v>161</v>
      </c>
      <c r="F239" s="50">
        <f>'Input 5_Product Uptake'!O20</f>
        <v>0.51</v>
      </c>
      <c r="G239">
        <f t="shared" si="293"/>
        <v>0</v>
      </c>
      <c r="H239" s="11">
        <f t="shared" si="293"/>
        <v>0</v>
      </c>
      <c r="I239">
        <f t="shared" si="293"/>
        <v>0</v>
      </c>
      <c r="J239">
        <f t="shared" si="293"/>
        <v>0</v>
      </c>
      <c r="K239" t="str">
        <f t="shared" si="293"/>
        <v>sum check</v>
      </c>
      <c r="L239" s="8">
        <f t="shared" si="293"/>
        <v>1094017.5189999999</v>
      </c>
      <c r="M239">
        <f t="shared" si="293"/>
        <v>0</v>
      </c>
      <c r="N239">
        <f t="shared" si="293"/>
        <v>0</v>
      </c>
      <c r="O239" s="28">
        <f t="shared" si="293"/>
        <v>0</v>
      </c>
      <c r="P239">
        <f t="shared" si="293"/>
        <v>0</v>
      </c>
      <c r="Q239" s="2" t="str">
        <f t="shared" si="293"/>
        <v>sum check</v>
      </c>
      <c r="R239" s="28">
        <f t="shared" si="293"/>
        <v>9123.6363899214084</v>
      </c>
      <c r="S239" s="28">
        <f t="shared" si="293"/>
        <v>0</v>
      </c>
      <c r="T239">
        <f t="shared" si="293"/>
        <v>0</v>
      </c>
      <c r="U239">
        <f t="shared" si="293"/>
        <v>0</v>
      </c>
      <c r="V239" s="2" t="str">
        <f t="shared" si="293"/>
        <v>sum check</v>
      </c>
      <c r="W239" s="21">
        <f t="shared" si="293"/>
        <v>4653.054558859918</v>
      </c>
      <c r="X239">
        <f t="shared" si="293"/>
        <v>0</v>
      </c>
      <c r="Y239">
        <f t="shared" si="293"/>
        <v>0</v>
      </c>
      <c r="Z239">
        <f t="shared" si="293"/>
        <v>0</v>
      </c>
      <c r="AA239">
        <f t="shared" si="293"/>
        <v>0</v>
      </c>
      <c r="AD239" t="str">
        <f t="shared" ref="AD239:AG239" si="294">AD57</f>
        <v>sum check row</v>
      </c>
      <c r="AE239">
        <f t="shared" si="294"/>
        <v>0</v>
      </c>
      <c r="AF239">
        <f t="shared" si="294"/>
        <v>0</v>
      </c>
      <c r="AG239" s="11">
        <f t="shared" si="294"/>
        <v>0</v>
      </c>
      <c r="AH239" s="14" t="s">
        <v>161</v>
      </c>
      <c r="AI239" s="50">
        <f t="shared" ref="AI239:AI240" si="295">F239</f>
        <v>0.51</v>
      </c>
      <c r="AJ239">
        <f t="shared" ref="AJ239:BD239" si="296">AJ57</f>
        <v>0</v>
      </c>
      <c r="AK239" s="11">
        <f t="shared" si="296"/>
        <v>0</v>
      </c>
      <c r="AL239">
        <f t="shared" si="296"/>
        <v>0</v>
      </c>
      <c r="AM239">
        <f t="shared" si="296"/>
        <v>0</v>
      </c>
      <c r="AN239" t="str">
        <f t="shared" si="296"/>
        <v>sum check</v>
      </c>
      <c r="AO239" s="8">
        <f t="shared" si="296"/>
        <v>1094017.5189999999</v>
      </c>
      <c r="AP239">
        <f t="shared" si="296"/>
        <v>0</v>
      </c>
      <c r="AQ239">
        <f t="shared" si="296"/>
        <v>0</v>
      </c>
      <c r="AR239" s="28">
        <f t="shared" si="296"/>
        <v>0</v>
      </c>
      <c r="AS239">
        <f t="shared" si="296"/>
        <v>0</v>
      </c>
      <c r="AT239" s="2" t="str">
        <f t="shared" si="296"/>
        <v>sum check</v>
      </c>
      <c r="AU239" s="28" t="e">
        <f t="shared" si="296"/>
        <v>#REF!</v>
      </c>
      <c r="AV239" s="28">
        <f t="shared" si="296"/>
        <v>0</v>
      </c>
      <c r="AW239">
        <f t="shared" si="296"/>
        <v>0</v>
      </c>
      <c r="AX239">
        <f t="shared" si="296"/>
        <v>0</v>
      </c>
      <c r="AY239" s="2" t="str">
        <f t="shared" si="296"/>
        <v>sum check</v>
      </c>
      <c r="AZ239" s="21">
        <f t="shared" si="296"/>
        <v>2333.8386416771882</v>
      </c>
      <c r="BA239">
        <f t="shared" si="296"/>
        <v>0</v>
      </c>
      <c r="BB239">
        <f t="shared" si="296"/>
        <v>0</v>
      </c>
      <c r="BC239">
        <f t="shared" si="296"/>
        <v>0</v>
      </c>
      <c r="BD239">
        <f t="shared" si="296"/>
        <v>0</v>
      </c>
    </row>
    <row r="240" spans="1:56" x14ac:dyDescent="0.3">
      <c r="A240" t="str">
        <f t="shared" ref="A240:Z240" si="297">A58</f>
        <v>sum check row</v>
      </c>
      <c r="B240">
        <f t="shared" si="297"/>
        <v>0</v>
      </c>
      <c r="C240">
        <f t="shared" si="297"/>
        <v>0</v>
      </c>
      <c r="D240" s="11">
        <f t="shared" si="297"/>
        <v>0</v>
      </c>
      <c r="E240" s="2" t="s">
        <v>162</v>
      </c>
      <c r="F240" s="50">
        <f>'Input 5_Product Uptake'!Q20</f>
        <v>0.61</v>
      </c>
      <c r="G240">
        <f t="shared" si="297"/>
        <v>0</v>
      </c>
      <c r="H240" s="11">
        <f t="shared" si="297"/>
        <v>0</v>
      </c>
      <c r="I240">
        <f t="shared" si="297"/>
        <v>0</v>
      </c>
      <c r="J240">
        <f t="shared" si="297"/>
        <v>0</v>
      </c>
      <c r="K240">
        <f t="shared" si="297"/>
        <v>0</v>
      </c>
      <c r="L240">
        <f t="shared" si="297"/>
        <v>0</v>
      </c>
      <c r="M240">
        <f t="shared" si="297"/>
        <v>0</v>
      </c>
      <c r="N240">
        <f t="shared" si="297"/>
        <v>0</v>
      </c>
      <c r="O240">
        <f t="shared" si="297"/>
        <v>0</v>
      </c>
      <c r="P240">
        <f t="shared" si="297"/>
        <v>0</v>
      </c>
      <c r="Q240">
        <f t="shared" si="297"/>
        <v>0</v>
      </c>
      <c r="R240">
        <f t="shared" si="297"/>
        <v>0</v>
      </c>
      <c r="S240">
        <f t="shared" si="297"/>
        <v>0</v>
      </c>
      <c r="T240">
        <f t="shared" si="297"/>
        <v>0</v>
      </c>
      <c r="U240">
        <f t="shared" si="297"/>
        <v>0</v>
      </c>
      <c r="V240" s="2" t="str">
        <f t="shared" si="297"/>
        <v>sum check</v>
      </c>
      <c r="W240" s="21">
        <f t="shared" si="297"/>
        <v>6716.5163394128367</v>
      </c>
      <c r="X240">
        <f t="shared" si="297"/>
        <v>0</v>
      </c>
      <c r="Y240">
        <f t="shared" si="297"/>
        <v>0</v>
      </c>
      <c r="Z240">
        <f t="shared" si="297"/>
        <v>0</v>
      </c>
      <c r="AA240">
        <f t="shared" ref="AA240:AA277" si="298">BG58</f>
        <v>0</v>
      </c>
      <c r="AD240" t="str">
        <f t="shared" ref="AD240:AG240" si="299">AD58</f>
        <v>sum check row</v>
      </c>
      <c r="AE240">
        <f t="shared" si="299"/>
        <v>0</v>
      </c>
      <c r="AF240">
        <f t="shared" si="299"/>
        <v>0</v>
      </c>
      <c r="AG240" s="11">
        <f t="shared" si="299"/>
        <v>0</v>
      </c>
      <c r="AH240" s="2" t="s">
        <v>162</v>
      </c>
      <c r="AI240" s="50">
        <f t="shared" si="295"/>
        <v>0.61</v>
      </c>
      <c r="AJ240">
        <f t="shared" ref="AJ240:BC240" si="300">AJ58</f>
        <v>0</v>
      </c>
      <c r="AK240" s="11">
        <f t="shared" si="300"/>
        <v>0</v>
      </c>
      <c r="AL240">
        <f t="shared" si="300"/>
        <v>0</v>
      </c>
      <c r="AM240">
        <f t="shared" si="300"/>
        <v>0</v>
      </c>
      <c r="AN240">
        <f t="shared" si="300"/>
        <v>0</v>
      </c>
      <c r="AO240">
        <f t="shared" si="300"/>
        <v>0</v>
      </c>
      <c r="AP240">
        <f t="shared" si="300"/>
        <v>0</v>
      </c>
      <c r="AQ240">
        <f t="shared" si="300"/>
        <v>0</v>
      </c>
      <c r="AR240">
        <f t="shared" si="300"/>
        <v>0</v>
      </c>
      <c r="AS240">
        <f t="shared" si="300"/>
        <v>0</v>
      </c>
      <c r="AT240">
        <f t="shared" si="300"/>
        <v>0</v>
      </c>
      <c r="AU240">
        <f t="shared" si="300"/>
        <v>0</v>
      </c>
      <c r="AV240">
        <f t="shared" si="300"/>
        <v>0</v>
      </c>
      <c r="AW240">
        <f t="shared" si="300"/>
        <v>0</v>
      </c>
      <c r="AX240">
        <f t="shared" si="300"/>
        <v>0</v>
      </c>
      <c r="AY240" s="2" t="str">
        <f t="shared" si="300"/>
        <v>sum check</v>
      </c>
      <c r="AZ240" s="21">
        <f t="shared" si="300"/>
        <v>2242.3155576898475</v>
      </c>
      <c r="BA240">
        <f t="shared" si="300"/>
        <v>0</v>
      </c>
      <c r="BB240">
        <f t="shared" si="300"/>
        <v>0</v>
      </c>
      <c r="BC240">
        <f t="shared" si="300"/>
        <v>0</v>
      </c>
      <c r="BD240">
        <f t="shared" ref="BD240:BD277" si="301">CJ58</f>
        <v>0</v>
      </c>
    </row>
    <row r="241" spans="1:56" x14ac:dyDescent="0.3">
      <c r="A241">
        <f t="shared" ref="A241:Z241" si="302">A59</f>
        <v>0</v>
      </c>
      <c r="B241">
        <f t="shared" si="302"/>
        <v>0</v>
      </c>
      <c r="C241">
        <f t="shared" si="302"/>
        <v>0</v>
      </c>
      <c r="D241" s="11">
        <f t="shared" si="302"/>
        <v>0</v>
      </c>
      <c r="E241">
        <f t="shared" si="302"/>
        <v>0</v>
      </c>
      <c r="F241">
        <f t="shared" si="302"/>
        <v>0</v>
      </c>
      <c r="G241">
        <f t="shared" si="302"/>
        <v>0</v>
      </c>
      <c r="H241" s="11">
        <f t="shared" si="302"/>
        <v>0</v>
      </c>
      <c r="I241">
        <f t="shared" si="302"/>
        <v>0</v>
      </c>
      <c r="J241">
        <f t="shared" si="302"/>
        <v>0</v>
      </c>
      <c r="K241">
        <f t="shared" si="302"/>
        <v>0</v>
      </c>
      <c r="L241">
        <f t="shared" si="302"/>
        <v>0</v>
      </c>
      <c r="M241">
        <f t="shared" si="302"/>
        <v>0</v>
      </c>
      <c r="N241">
        <f t="shared" si="302"/>
        <v>0</v>
      </c>
      <c r="O241">
        <f t="shared" si="302"/>
        <v>0</v>
      </c>
      <c r="P241">
        <f t="shared" si="302"/>
        <v>0</v>
      </c>
      <c r="Q241">
        <f t="shared" si="302"/>
        <v>0</v>
      </c>
      <c r="R241">
        <f t="shared" si="302"/>
        <v>0</v>
      </c>
      <c r="S241">
        <f t="shared" si="302"/>
        <v>0</v>
      </c>
      <c r="T241">
        <f t="shared" si="302"/>
        <v>0</v>
      </c>
      <c r="U241">
        <f t="shared" si="302"/>
        <v>0</v>
      </c>
      <c r="V241">
        <f t="shared" si="302"/>
        <v>0</v>
      </c>
      <c r="W241">
        <f t="shared" si="302"/>
        <v>0</v>
      </c>
      <c r="X241" s="1117" t="s">
        <v>181</v>
      </c>
      <c r="Y241" s="1117"/>
      <c r="Z241">
        <f t="shared" si="302"/>
        <v>0</v>
      </c>
      <c r="AA241">
        <f t="shared" si="298"/>
        <v>0</v>
      </c>
      <c r="AD241">
        <f t="shared" ref="AD241:AZ241" si="303">AD59</f>
        <v>0</v>
      </c>
      <c r="AE241">
        <f t="shared" si="303"/>
        <v>0</v>
      </c>
      <c r="AF241">
        <f t="shared" si="303"/>
        <v>0</v>
      </c>
      <c r="AG241" s="11">
        <f t="shared" si="303"/>
        <v>0</v>
      </c>
      <c r="AH241">
        <f t="shared" si="303"/>
        <v>0</v>
      </c>
      <c r="AI241">
        <f t="shared" si="303"/>
        <v>0</v>
      </c>
      <c r="AJ241">
        <f t="shared" si="303"/>
        <v>0</v>
      </c>
      <c r="AK241" s="11">
        <f t="shared" si="303"/>
        <v>0</v>
      </c>
      <c r="AL241">
        <f t="shared" si="303"/>
        <v>0</v>
      </c>
      <c r="AM241">
        <f t="shared" si="303"/>
        <v>0</v>
      </c>
      <c r="AN241">
        <f t="shared" si="303"/>
        <v>0</v>
      </c>
      <c r="AO241">
        <f t="shared" si="303"/>
        <v>0</v>
      </c>
      <c r="AP241">
        <f t="shared" si="303"/>
        <v>0</v>
      </c>
      <c r="AQ241">
        <f t="shared" si="303"/>
        <v>0</v>
      </c>
      <c r="AR241">
        <f t="shared" si="303"/>
        <v>0</v>
      </c>
      <c r="AS241">
        <f t="shared" si="303"/>
        <v>0</v>
      </c>
      <c r="AT241">
        <f t="shared" si="303"/>
        <v>0</v>
      </c>
      <c r="AU241">
        <f t="shared" si="303"/>
        <v>0</v>
      </c>
      <c r="AV241">
        <f t="shared" si="303"/>
        <v>0</v>
      </c>
      <c r="AW241">
        <f t="shared" si="303"/>
        <v>0</v>
      </c>
      <c r="AX241">
        <f t="shared" si="303"/>
        <v>0</v>
      </c>
      <c r="AY241">
        <f t="shared" si="303"/>
        <v>0</v>
      </c>
      <c r="AZ241">
        <f t="shared" si="303"/>
        <v>0</v>
      </c>
      <c r="BA241" s="1117" t="s">
        <v>181</v>
      </c>
      <c r="BB241" s="1117"/>
      <c r="BC241">
        <f t="shared" ref="BC241" si="304">BC59</f>
        <v>0</v>
      </c>
      <c r="BD241">
        <f t="shared" si="301"/>
        <v>0</v>
      </c>
    </row>
    <row r="242" spans="1:56" x14ac:dyDescent="0.3">
      <c r="A242">
        <f t="shared" ref="A242:Z242" si="305">A60</f>
        <v>0</v>
      </c>
      <c r="B242">
        <f t="shared" si="305"/>
        <v>0</v>
      </c>
      <c r="C242">
        <f t="shared" si="305"/>
        <v>0</v>
      </c>
      <c r="D242" s="11">
        <f t="shared" si="305"/>
        <v>0</v>
      </c>
      <c r="E242">
        <f t="shared" si="305"/>
        <v>0</v>
      </c>
      <c r="F242">
        <f t="shared" si="305"/>
        <v>0</v>
      </c>
      <c r="G242">
        <f t="shared" si="305"/>
        <v>0</v>
      </c>
      <c r="H242" s="11">
        <f t="shared" si="305"/>
        <v>0</v>
      </c>
      <c r="I242">
        <f t="shared" si="305"/>
        <v>0</v>
      </c>
      <c r="J242">
        <f t="shared" si="305"/>
        <v>0</v>
      </c>
      <c r="K242">
        <f t="shared" si="305"/>
        <v>0</v>
      </c>
      <c r="L242" s="8">
        <f t="shared" si="305"/>
        <v>0</v>
      </c>
      <c r="M242">
        <f t="shared" si="305"/>
        <v>0</v>
      </c>
      <c r="N242">
        <f t="shared" si="305"/>
        <v>0</v>
      </c>
      <c r="O242" s="28">
        <f t="shared" si="305"/>
        <v>0</v>
      </c>
      <c r="P242">
        <f t="shared" si="305"/>
        <v>0</v>
      </c>
      <c r="Q242" s="2">
        <f t="shared" si="305"/>
        <v>0</v>
      </c>
      <c r="R242" s="28">
        <f t="shared" si="305"/>
        <v>0</v>
      </c>
      <c r="S242" s="19">
        <f t="shared" si="305"/>
        <v>0</v>
      </c>
      <c r="T242">
        <f t="shared" si="305"/>
        <v>0</v>
      </c>
      <c r="U242">
        <f t="shared" si="305"/>
        <v>0</v>
      </c>
      <c r="V242">
        <f t="shared" si="305"/>
        <v>0</v>
      </c>
      <c r="W242" s="437" t="str">
        <f t="shared" si="305"/>
        <v>base</v>
      </c>
      <c r="X242" s="445" t="str">
        <f t="shared" si="305"/>
        <v>low</v>
      </c>
      <c r="Y242" s="445" t="str">
        <f t="shared" si="305"/>
        <v>high</v>
      </c>
      <c r="Z242">
        <f t="shared" si="305"/>
        <v>0</v>
      </c>
      <c r="AA242">
        <f t="shared" si="298"/>
        <v>0</v>
      </c>
      <c r="AD242">
        <f t="shared" ref="AD242:BC242" si="306">AD60</f>
        <v>0</v>
      </c>
      <c r="AE242">
        <f t="shared" si="306"/>
        <v>0</v>
      </c>
      <c r="AF242">
        <f t="shared" si="306"/>
        <v>0</v>
      </c>
      <c r="AG242" s="11">
        <f t="shared" si="306"/>
        <v>0</v>
      </c>
      <c r="AH242">
        <f t="shared" si="306"/>
        <v>0</v>
      </c>
      <c r="AI242">
        <f t="shared" si="306"/>
        <v>0</v>
      </c>
      <c r="AJ242">
        <f t="shared" si="306"/>
        <v>0</v>
      </c>
      <c r="AK242" s="11">
        <f t="shared" si="306"/>
        <v>0</v>
      </c>
      <c r="AL242">
        <f t="shared" si="306"/>
        <v>0</v>
      </c>
      <c r="AM242">
        <f t="shared" si="306"/>
        <v>0</v>
      </c>
      <c r="AN242">
        <f t="shared" si="306"/>
        <v>0</v>
      </c>
      <c r="AO242" s="8">
        <f t="shared" si="306"/>
        <v>0</v>
      </c>
      <c r="AP242">
        <f t="shared" si="306"/>
        <v>0</v>
      </c>
      <c r="AQ242">
        <f t="shared" si="306"/>
        <v>0</v>
      </c>
      <c r="AR242" s="28">
        <f t="shared" si="306"/>
        <v>0</v>
      </c>
      <c r="AS242">
        <f t="shared" si="306"/>
        <v>0</v>
      </c>
      <c r="AT242" s="2">
        <f t="shared" si="306"/>
        <v>0</v>
      </c>
      <c r="AU242" s="28">
        <f t="shared" si="306"/>
        <v>0</v>
      </c>
      <c r="AV242" s="19">
        <f t="shared" si="306"/>
        <v>0</v>
      </c>
      <c r="AW242">
        <f t="shared" si="306"/>
        <v>0</v>
      </c>
      <c r="AX242">
        <f t="shared" si="306"/>
        <v>0</v>
      </c>
      <c r="AY242">
        <f t="shared" si="306"/>
        <v>0</v>
      </c>
      <c r="AZ242" s="684" t="str">
        <f t="shared" si="306"/>
        <v>base</v>
      </c>
      <c r="BA242" s="445" t="str">
        <f t="shared" si="306"/>
        <v>low</v>
      </c>
      <c r="BB242" s="445" t="str">
        <f t="shared" si="306"/>
        <v>high</v>
      </c>
      <c r="BC242">
        <f t="shared" si="306"/>
        <v>0</v>
      </c>
      <c r="BD242">
        <f t="shared" si="301"/>
        <v>0</v>
      </c>
    </row>
    <row r="243" spans="1:56" x14ac:dyDescent="0.3">
      <c r="A243">
        <f t="shared" ref="A243:Z243" si="307">A61</f>
        <v>0</v>
      </c>
      <c r="B243">
        <f t="shared" si="307"/>
        <v>0</v>
      </c>
      <c r="C243">
        <f t="shared" si="307"/>
        <v>0</v>
      </c>
      <c r="D243" s="11">
        <f t="shared" si="307"/>
        <v>0</v>
      </c>
      <c r="E243">
        <f t="shared" si="307"/>
        <v>0</v>
      </c>
      <c r="F243">
        <f t="shared" si="307"/>
        <v>0</v>
      </c>
      <c r="G243">
        <f t="shared" si="307"/>
        <v>0</v>
      </c>
      <c r="H243" s="11">
        <f t="shared" si="307"/>
        <v>0</v>
      </c>
      <c r="I243">
        <f t="shared" si="307"/>
        <v>0</v>
      </c>
      <c r="J243">
        <f t="shared" si="307"/>
        <v>0</v>
      </c>
      <c r="K243">
        <f t="shared" si="307"/>
        <v>0</v>
      </c>
      <c r="L243" s="8">
        <f t="shared" si="307"/>
        <v>0</v>
      </c>
      <c r="M243">
        <f t="shared" si="307"/>
        <v>0</v>
      </c>
      <c r="N243">
        <f t="shared" si="307"/>
        <v>0</v>
      </c>
      <c r="O243" s="28">
        <f t="shared" si="307"/>
        <v>0</v>
      </c>
      <c r="P243">
        <f t="shared" si="307"/>
        <v>0</v>
      </c>
      <c r="Q243" s="2">
        <f t="shared" si="307"/>
        <v>0</v>
      </c>
      <c r="R243" s="28">
        <f t="shared" si="307"/>
        <v>0</v>
      </c>
      <c r="S243" s="19">
        <f t="shared" si="307"/>
        <v>0</v>
      </c>
      <c r="V243" s="2" t="str">
        <f t="shared" si="307"/>
        <v>Outpatient visits prevented</v>
      </c>
      <c r="W243" s="33">
        <f t="shared" si="307"/>
        <v>3128.8049063757953</v>
      </c>
      <c r="X243" s="446">
        <f>X244*L254*$R$247</f>
        <v>2849.4473254493851</v>
      </c>
      <c r="Y243" s="446">
        <f>Y244*L255*$R$247</f>
        <v>3408.1624873022051</v>
      </c>
      <c r="Z243">
        <f t="shared" si="307"/>
        <v>0</v>
      </c>
      <c r="AA243">
        <f t="shared" si="298"/>
        <v>0</v>
      </c>
      <c r="AD243">
        <f t="shared" ref="AD243:AV243" si="308">AD61</f>
        <v>0</v>
      </c>
      <c r="AE243">
        <f t="shared" si="308"/>
        <v>0</v>
      </c>
      <c r="AF243">
        <f t="shared" si="308"/>
        <v>0</v>
      </c>
      <c r="AG243" s="11">
        <f t="shared" si="308"/>
        <v>0</v>
      </c>
      <c r="AH243">
        <f t="shared" si="308"/>
        <v>0</v>
      </c>
      <c r="AI243">
        <f t="shared" si="308"/>
        <v>0</v>
      </c>
      <c r="AJ243">
        <f t="shared" si="308"/>
        <v>0</v>
      </c>
      <c r="AK243" s="11">
        <f t="shared" si="308"/>
        <v>0</v>
      </c>
      <c r="AL243">
        <f t="shared" si="308"/>
        <v>0</v>
      </c>
      <c r="AM243">
        <f t="shared" si="308"/>
        <v>0</v>
      </c>
      <c r="AN243">
        <f t="shared" si="308"/>
        <v>0</v>
      </c>
      <c r="AO243" s="8">
        <f t="shared" si="308"/>
        <v>0</v>
      </c>
      <c r="AP243">
        <f t="shared" si="308"/>
        <v>0</v>
      </c>
      <c r="AQ243">
        <f t="shared" si="308"/>
        <v>0</v>
      </c>
      <c r="AR243" s="28">
        <f t="shared" si="308"/>
        <v>0</v>
      </c>
      <c r="AS243">
        <f t="shared" si="308"/>
        <v>0</v>
      </c>
      <c r="AT243" s="2">
        <f t="shared" si="308"/>
        <v>0</v>
      </c>
      <c r="AU243" s="28">
        <f t="shared" si="308"/>
        <v>0</v>
      </c>
      <c r="AV243" s="19">
        <f t="shared" si="308"/>
        <v>0</v>
      </c>
      <c r="AY243" s="2" t="str">
        <f t="shared" ref="AY243:AZ243" si="309">AY61</f>
        <v>Outpatient visits prevented</v>
      </c>
      <c r="AZ243" s="33">
        <f t="shared" si="309"/>
        <v>1607.0191797845375</v>
      </c>
      <c r="BA243" s="446">
        <f>BA244*AO254*$R$247</f>
        <v>1463.5353244466326</v>
      </c>
      <c r="BB243" s="446">
        <f>BB244*AO255*$R$247</f>
        <v>1750.5030351224425</v>
      </c>
      <c r="BC243">
        <f t="shared" ref="BC243" si="310">BC61</f>
        <v>0</v>
      </c>
      <c r="BD243">
        <f t="shared" si="301"/>
        <v>0</v>
      </c>
    </row>
    <row r="244" spans="1:56" x14ac:dyDescent="0.3">
      <c r="A244">
        <f t="shared" ref="A244:Z244" si="311">A62</f>
        <v>0</v>
      </c>
      <c r="B244">
        <f t="shared" si="311"/>
        <v>0</v>
      </c>
      <c r="C244">
        <f t="shared" si="311"/>
        <v>0</v>
      </c>
      <c r="D244" s="11">
        <f t="shared" si="311"/>
        <v>0</v>
      </c>
      <c r="E244">
        <f t="shared" si="311"/>
        <v>0</v>
      </c>
      <c r="F244">
        <f t="shared" si="311"/>
        <v>0</v>
      </c>
      <c r="G244">
        <f t="shared" si="311"/>
        <v>0</v>
      </c>
      <c r="H244" s="11">
        <f t="shared" si="311"/>
        <v>0</v>
      </c>
      <c r="I244">
        <f t="shared" si="311"/>
        <v>0</v>
      </c>
      <c r="J244">
        <f t="shared" si="311"/>
        <v>0</v>
      </c>
      <c r="K244">
        <f t="shared" si="311"/>
        <v>0</v>
      </c>
      <c r="L244">
        <f t="shared" si="311"/>
        <v>0</v>
      </c>
      <c r="M244">
        <f t="shared" si="311"/>
        <v>0</v>
      </c>
      <c r="N244">
        <f t="shared" si="311"/>
        <v>0</v>
      </c>
      <c r="O244">
        <f t="shared" si="311"/>
        <v>0</v>
      </c>
      <c r="Q244" s="2" t="s">
        <v>263</v>
      </c>
      <c r="R244" s="71">
        <f>O241*R240</f>
        <v>0</v>
      </c>
      <c r="S244">
        <f t="shared" si="311"/>
        <v>0</v>
      </c>
      <c r="T244" s="16">
        <f t="shared" si="311"/>
        <v>0</v>
      </c>
      <c r="U244" s="17">
        <f t="shared" si="311"/>
        <v>0</v>
      </c>
      <c r="V244" s="15" t="str">
        <f t="shared" si="311"/>
        <v>p4c</v>
      </c>
      <c r="W244" s="61">
        <f>$W$62</f>
        <v>1.4910674201012974</v>
      </c>
      <c r="X244" s="61">
        <f t="shared" ref="X244:Y244" si="312">$W$62</f>
        <v>1.4910674201012974</v>
      </c>
      <c r="Y244" s="61">
        <f t="shared" si="312"/>
        <v>1.4910674201012974</v>
      </c>
      <c r="Z244">
        <f t="shared" si="311"/>
        <v>0</v>
      </c>
      <c r="AA244">
        <f t="shared" si="298"/>
        <v>0</v>
      </c>
      <c r="AD244">
        <f t="shared" ref="AD244:AR244" si="313">AD62</f>
        <v>0</v>
      </c>
      <c r="AE244">
        <f t="shared" si="313"/>
        <v>0</v>
      </c>
      <c r="AF244">
        <f t="shared" si="313"/>
        <v>0</v>
      </c>
      <c r="AG244" s="11">
        <f t="shared" si="313"/>
        <v>0</v>
      </c>
      <c r="AH244">
        <f t="shared" si="313"/>
        <v>0</v>
      </c>
      <c r="AI244">
        <f t="shared" si="313"/>
        <v>0</v>
      </c>
      <c r="AJ244">
        <f t="shared" si="313"/>
        <v>0</v>
      </c>
      <c r="AK244" s="11">
        <f t="shared" si="313"/>
        <v>0</v>
      </c>
      <c r="AL244">
        <f t="shared" si="313"/>
        <v>0</v>
      </c>
      <c r="AM244">
        <f t="shared" si="313"/>
        <v>0</v>
      </c>
      <c r="AN244">
        <f t="shared" si="313"/>
        <v>0</v>
      </c>
      <c r="AO244">
        <f t="shared" si="313"/>
        <v>0</v>
      </c>
      <c r="AP244">
        <f t="shared" si="313"/>
        <v>0</v>
      </c>
      <c r="AQ244">
        <f t="shared" si="313"/>
        <v>0</v>
      </c>
      <c r="AR244">
        <f t="shared" si="313"/>
        <v>0</v>
      </c>
      <c r="AT244" s="2" t="s">
        <v>263</v>
      </c>
      <c r="AU244" s="71">
        <f>AR241*AU240</f>
        <v>0</v>
      </c>
      <c r="AV244">
        <f t="shared" ref="AV244:AY244" si="314">AV62</f>
        <v>0</v>
      </c>
      <c r="AW244" s="16">
        <f t="shared" si="314"/>
        <v>0</v>
      </c>
      <c r="AX244" s="17">
        <f t="shared" si="314"/>
        <v>0</v>
      </c>
      <c r="AY244" s="15" t="str">
        <f t="shared" si="314"/>
        <v>p4c</v>
      </c>
      <c r="AZ244" s="61">
        <f>AZ62</f>
        <v>0.76584319385710953</v>
      </c>
      <c r="BA244" s="61">
        <f>AZ244</f>
        <v>0.76584319385710953</v>
      </c>
      <c r="BB244" s="61">
        <f>AZ244</f>
        <v>0.76584319385710953</v>
      </c>
      <c r="BC244">
        <f t="shared" ref="BC244" si="315">BC62</f>
        <v>0</v>
      </c>
      <c r="BD244">
        <f t="shared" si="301"/>
        <v>0</v>
      </c>
    </row>
    <row r="245" spans="1:56" x14ac:dyDescent="0.3">
      <c r="A245">
        <f t="shared" ref="A245:Z245" si="316">A63</f>
        <v>0</v>
      </c>
      <c r="B245">
        <f t="shared" si="316"/>
        <v>0</v>
      </c>
      <c r="C245">
        <f t="shared" si="316"/>
        <v>0</v>
      </c>
      <c r="D245" s="11">
        <f t="shared" si="316"/>
        <v>0</v>
      </c>
      <c r="E245">
        <f t="shared" si="316"/>
        <v>0</v>
      </c>
      <c r="F245">
        <f t="shared" si="316"/>
        <v>0</v>
      </c>
      <c r="G245">
        <f t="shared" si="316"/>
        <v>0</v>
      </c>
      <c r="H245" s="11">
        <f t="shared" si="316"/>
        <v>0</v>
      </c>
      <c r="I245">
        <f t="shared" si="316"/>
        <v>0</v>
      </c>
      <c r="J245">
        <f t="shared" si="316"/>
        <v>0</v>
      </c>
      <c r="K245">
        <f t="shared" si="316"/>
        <v>0</v>
      </c>
      <c r="L245">
        <f t="shared" si="316"/>
        <v>0</v>
      </c>
      <c r="M245">
        <f t="shared" si="316"/>
        <v>0</v>
      </c>
      <c r="N245">
        <f t="shared" si="316"/>
        <v>0</v>
      </c>
      <c r="O245">
        <f t="shared" si="316"/>
        <v>0</v>
      </c>
      <c r="Q245" s="2" t="s">
        <v>264</v>
      </c>
      <c r="R245" s="71">
        <f>O242*R241</f>
        <v>0</v>
      </c>
      <c r="S245">
        <f t="shared" si="316"/>
        <v>0</v>
      </c>
      <c r="T245" s="11">
        <f t="shared" si="316"/>
        <v>0</v>
      </c>
      <c r="U245" s="13">
        <f t="shared" si="316"/>
        <v>0</v>
      </c>
      <c r="V245" s="2">
        <f t="shared" si="316"/>
        <v>0</v>
      </c>
      <c r="W245">
        <f t="shared" si="316"/>
        <v>0</v>
      </c>
      <c r="X245" s="452">
        <f t="shared" si="316"/>
        <v>0</v>
      </c>
      <c r="Y245" s="452">
        <f t="shared" si="316"/>
        <v>0</v>
      </c>
      <c r="Z245">
        <f t="shared" si="316"/>
        <v>0</v>
      </c>
      <c r="AA245">
        <f t="shared" si="298"/>
        <v>0</v>
      </c>
      <c r="AD245">
        <f t="shared" ref="AD245:AR245" si="317">AD63</f>
        <v>0</v>
      </c>
      <c r="AE245">
        <f t="shared" si="317"/>
        <v>0</v>
      </c>
      <c r="AF245">
        <f t="shared" si="317"/>
        <v>0</v>
      </c>
      <c r="AG245" s="11">
        <f t="shared" si="317"/>
        <v>0</v>
      </c>
      <c r="AH245">
        <f t="shared" si="317"/>
        <v>0</v>
      </c>
      <c r="AI245">
        <f t="shared" si="317"/>
        <v>0</v>
      </c>
      <c r="AJ245">
        <f t="shared" si="317"/>
        <v>0</v>
      </c>
      <c r="AK245" s="11">
        <f t="shared" si="317"/>
        <v>0</v>
      </c>
      <c r="AL245">
        <f t="shared" si="317"/>
        <v>0</v>
      </c>
      <c r="AM245">
        <f t="shared" si="317"/>
        <v>0</v>
      </c>
      <c r="AN245">
        <f t="shared" si="317"/>
        <v>0</v>
      </c>
      <c r="AO245">
        <f t="shared" si="317"/>
        <v>0</v>
      </c>
      <c r="AP245">
        <f t="shared" si="317"/>
        <v>0</v>
      </c>
      <c r="AQ245">
        <f t="shared" si="317"/>
        <v>0</v>
      </c>
      <c r="AR245">
        <f t="shared" si="317"/>
        <v>0</v>
      </c>
      <c r="AT245" s="2" t="s">
        <v>264</v>
      </c>
      <c r="AU245" s="71">
        <f>AR242*AU241</f>
        <v>0</v>
      </c>
      <c r="AV245">
        <f t="shared" ref="AV245:BC245" si="318">AV63</f>
        <v>0</v>
      </c>
      <c r="AW245" s="11">
        <f t="shared" si="318"/>
        <v>0</v>
      </c>
      <c r="AX245" s="13">
        <f t="shared" si="318"/>
        <v>0</v>
      </c>
      <c r="AY245" s="2">
        <f t="shared" si="318"/>
        <v>0</v>
      </c>
      <c r="AZ245">
        <f t="shared" si="318"/>
        <v>0</v>
      </c>
      <c r="BA245" s="452">
        <f t="shared" si="318"/>
        <v>0</v>
      </c>
      <c r="BB245" s="452">
        <f t="shared" si="318"/>
        <v>0</v>
      </c>
      <c r="BC245">
        <f t="shared" si="318"/>
        <v>0</v>
      </c>
      <c r="BD245">
        <f t="shared" si="301"/>
        <v>0</v>
      </c>
    </row>
    <row r="246" spans="1:56" x14ac:dyDescent="0.3">
      <c r="A246">
        <f t="shared" ref="A246:Z246" si="319">A64</f>
        <v>0</v>
      </c>
      <c r="B246">
        <f t="shared" si="319"/>
        <v>0</v>
      </c>
      <c r="C246">
        <f t="shared" si="319"/>
        <v>0</v>
      </c>
      <c r="D246" s="11">
        <f t="shared" si="319"/>
        <v>0</v>
      </c>
      <c r="E246">
        <f t="shared" si="319"/>
        <v>0</v>
      </c>
      <c r="F246">
        <f t="shared" si="319"/>
        <v>0</v>
      </c>
      <c r="G246">
        <f t="shared" si="319"/>
        <v>0</v>
      </c>
      <c r="H246" s="11">
        <f t="shared" si="319"/>
        <v>0</v>
      </c>
      <c r="I246">
        <f t="shared" si="319"/>
        <v>0</v>
      </c>
      <c r="J246">
        <f t="shared" si="319"/>
        <v>0</v>
      </c>
      <c r="K246">
        <f t="shared" si="319"/>
        <v>0</v>
      </c>
      <c r="L246">
        <f t="shared" si="319"/>
        <v>0</v>
      </c>
      <c r="M246">
        <f t="shared" si="319"/>
        <v>0</v>
      </c>
      <c r="N246">
        <f t="shared" si="319"/>
        <v>0</v>
      </c>
      <c r="O246">
        <f t="shared" si="319"/>
        <v>0</v>
      </c>
      <c r="Q246" s="2" t="str">
        <f t="shared" si="319"/>
        <v>Vaccine Effective</v>
      </c>
      <c r="R246" s="33">
        <f t="shared" si="319"/>
        <v>4653.054558859918</v>
      </c>
      <c r="S246">
        <f t="shared" si="319"/>
        <v>0</v>
      </c>
      <c r="T246" s="18">
        <f t="shared" si="319"/>
        <v>0</v>
      </c>
      <c r="U246" s="438"/>
      <c r="V246" s="12" t="str">
        <f t="shared" si="319"/>
        <v>ED visits prevented</v>
      </c>
      <c r="W246" s="33">
        <f t="shared" si="319"/>
        <v>1175.0532109326552</v>
      </c>
      <c r="X246" s="446">
        <f>X247*L254*$R$247</f>
        <v>1070.137745670811</v>
      </c>
      <c r="Y246" s="446">
        <f>Y247*L255*$R$247</f>
        <v>1279.968676194499</v>
      </c>
      <c r="Z246">
        <f t="shared" si="319"/>
        <v>0</v>
      </c>
      <c r="AA246">
        <f t="shared" si="298"/>
        <v>0</v>
      </c>
      <c r="AD246">
        <f t="shared" ref="AD246:AR246" si="320">AD64</f>
        <v>0</v>
      </c>
      <c r="AE246">
        <f t="shared" si="320"/>
        <v>0</v>
      </c>
      <c r="AF246">
        <f t="shared" si="320"/>
        <v>0</v>
      </c>
      <c r="AG246" s="11">
        <f t="shared" si="320"/>
        <v>0</v>
      </c>
      <c r="AH246">
        <f t="shared" si="320"/>
        <v>0</v>
      </c>
      <c r="AI246">
        <f t="shared" si="320"/>
        <v>0</v>
      </c>
      <c r="AJ246">
        <f t="shared" si="320"/>
        <v>0</v>
      </c>
      <c r="AK246" s="11">
        <f t="shared" si="320"/>
        <v>0</v>
      </c>
      <c r="AL246">
        <f t="shared" si="320"/>
        <v>0</v>
      </c>
      <c r="AM246">
        <f t="shared" si="320"/>
        <v>0</v>
      </c>
      <c r="AN246">
        <f t="shared" si="320"/>
        <v>0</v>
      </c>
      <c r="AO246">
        <f t="shared" si="320"/>
        <v>0</v>
      </c>
      <c r="AP246">
        <f t="shared" si="320"/>
        <v>0</v>
      </c>
      <c r="AQ246">
        <f t="shared" si="320"/>
        <v>0</v>
      </c>
      <c r="AR246">
        <f t="shared" si="320"/>
        <v>0</v>
      </c>
      <c r="AT246" s="2" t="str">
        <f t="shared" ref="AT246:AW246" si="321">AT64</f>
        <v>Vaccine Effective</v>
      </c>
      <c r="AU246" s="33" t="e">
        <f t="shared" si="321"/>
        <v>#REF!</v>
      </c>
      <c r="AV246">
        <f t="shared" si="321"/>
        <v>0</v>
      </c>
      <c r="AW246" s="18">
        <f t="shared" si="321"/>
        <v>0</v>
      </c>
      <c r="AX246" s="500"/>
      <c r="AY246" s="12" t="str">
        <f t="shared" ref="AY246:AZ246" si="322">AY64</f>
        <v>ED visits prevented</v>
      </c>
      <c r="AZ246" s="33">
        <f t="shared" si="322"/>
        <v>638.72292748453822</v>
      </c>
      <c r="BA246" s="446">
        <f>BA247*AO254*$R$247</f>
        <v>581.6940946734187</v>
      </c>
      <c r="BB246" s="446">
        <f>BB247*AO255*$R$247</f>
        <v>695.7517602956575</v>
      </c>
      <c r="BC246">
        <f t="shared" ref="BC246" si="323">BC64</f>
        <v>0</v>
      </c>
      <c r="BD246">
        <f t="shared" si="301"/>
        <v>0</v>
      </c>
    </row>
    <row r="247" spans="1:56" x14ac:dyDescent="0.3">
      <c r="A247">
        <f t="shared" ref="A247:Z247" si="324">A65</f>
        <v>0</v>
      </c>
      <c r="B247">
        <f t="shared" si="324"/>
        <v>0</v>
      </c>
      <c r="C247">
        <f t="shared" si="324"/>
        <v>0</v>
      </c>
      <c r="D247" s="11">
        <f t="shared" si="324"/>
        <v>0</v>
      </c>
      <c r="E247">
        <f t="shared" si="324"/>
        <v>0</v>
      </c>
      <c r="F247">
        <f t="shared" si="324"/>
        <v>0</v>
      </c>
      <c r="G247">
        <f t="shared" si="324"/>
        <v>0</v>
      </c>
      <c r="H247" s="11">
        <f t="shared" si="324"/>
        <v>0</v>
      </c>
      <c r="I247">
        <f t="shared" si="324"/>
        <v>0</v>
      </c>
      <c r="J247">
        <f t="shared" si="324"/>
        <v>0</v>
      </c>
      <c r="K247">
        <f t="shared" si="324"/>
        <v>0</v>
      </c>
      <c r="L247">
        <f t="shared" si="324"/>
        <v>0</v>
      </c>
      <c r="M247">
        <f t="shared" si="324"/>
        <v>0</v>
      </c>
      <c r="N247">
        <f t="shared" si="324"/>
        <v>0</v>
      </c>
      <c r="O247">
        <f t="shared" si="324"/>
        <v>0</v>
      </c>
      <c r="P247">
        <f t="shared" si="324"/>
        <v>0</v>
      </c>
      <c r="Q247" s="64" t="str">
        <f t="shared" si="324"/>
        <v>p6</v>
      </c>
      <c r="R247" s="66">
        <f t="shared" si="324"/>
        <v>0.51</v>
      </c>
      <c r="S247" s="17">
        <f t="shared" si="324"/>
        <v>0</v>
      </c>
      <c r="T247" s="11">
        <f t="shared" si="324"/>
        <v>0</v>
      </c>
      <c r="U247" s="13">
        <f t="shared" si="324"/>
        <v>0</v>
      </c>
      <c r="V247" s="2" t="str">
        <f t="shared" si="324"/>
        <v>p4b</v>
      </c>
      <c r="W247" s="61">
        <f>$W$65</f>
        <v>0.55998491824682028</v>
      </c>
      <c r="X247" s="61">
        <f t="shared" ref="X247:Y247" si="325">$W$65</f>
        <v>0.55998491824682028</v>
      </c>
      <c r="Y247" s="61">
        <f t="shared" si="325"/>
        <v>0.55998491824682028</v>
      </c>
      <c r="Z247">
        <f t="shared" si="324"/>
        <v>0</v>
      </c>
      <c r="AA247">
        <f t="shared" si="298"/>
        <v>0</v>
      </c>
      <c r="AD247">
        <f t="shared" ref="AD247:AY247" si="326">AD65</f>
        <v>0</v>
      </c>
      <c r="AE247">
        <f t="shared" si="326"/>
        <v>0</v>
      </c>
      <c r="AF247">
        <f t="shared" si="326"/>
        <v>0</v>
      </c>
      <c r="AG247" s="11">
        <f t="shared" si="326"/>
        <v>0</v>
      </c>
      <c r="AH247">
        <f t="shared" si="326"/>
        <v>0</v>
      </c>
      <c r="AI247">
        <f t="shared" si="326"/>
        <v>0</v>
      </c>
      <c r="AJ247">
        <f t="shared" si="326"/>
        <v>0</v>
      </c>
      <c r="AK247" s="11">
        <f t="shared" si="326"/>
        <v>0</v>
      </c>
      <c r="AL247">
        <f t="shared" si="326"/>
        <v>0</v>
      </c>
      <c r="AM247">
        <f t="shared" si="326"/>
        <v>0</v>
      </c>
      <c r="AN247">
        <f t="shared" si="326"/>
        <v>0</v>
      </c>
      <c r="AO247">
        <f t="shared" si="326"/>
        <v>0</v>
      </c>
      <c r="AP247">
        <f t="shared" si="326"/>
        <v>0</v>
      </c>
      <c r="AQ247">
        <f t="shared" si="326"/>
        <v>0</v>
      </c>
      <c r="AR247">
        <f t="shared" si="326"/>
        <v>0</v>
      </c>
      <c r="AS247">
        <f t="shared" si="326"/>
        <v>0</v>
      </c>
      <c r="AT247" s="64" t="str">
        <f t="shared" si="326"/>
        <v>p6</v>
      </c>
      <c r="AU247" s="66">
        <f t="shared" si="326"/>
        <v>0.51</v>
      </c>
      <c r="AV247" s="17">
        <f t="shared" si="326"/>
        <v>0</v>
      </c>
      <c r="AW247" s="11">
        <f t="shared" si="326"/>
        <v>0</v>
      </c>
      <c r="AX247" s="13">
        <f t="shared" si="326"/>
        <v>0</v>
      </c>
      <c r="AY247" s="2" t="str">
        <f t="shared" si="326"/>
        <v>p4b</v>
      </c>
      <c r="AZ247" s="61">
        <f>AZ65</f>
        <v>0.30439064631456758</v>
      </c>
      <c r="BA247" s="61">
        <f>AZ247</f>
        <v>0.30439064631456758</v>
      </c>
      <c r="BB247" s="61">
        <f>AZ247</f>
        <v>0.30439064631456758</v>
      </c>
      <c r="BC247">
        <f t="shared" ref="BC247" si="327">BC65</f>
        <v>0</v>
      </c>
      <c r="BD247">
        <f t="shared" si="301"/>
        <v>0</v>
      </c>
    </row>
    <row r="248" spans="1:56" x14ac:dyDescent="0.3">
      <c r="A248">
        <f t="shared" ref="A248:Z248" si="328">A66</f>
        <v>0</v>
      </c>
      <c r="B248">
        <f t="shared" si="328"/>
        <v>0</v>
      </c>
      <c r="C248">
        <f t="shared" si="328"/>
        <v>0</v>
      </c>
      <c r="D248" s="11">
        <f t="shared" si="328"/>
        <v>0</v>
      </c>
      <c r="E248">
        <f t="shared" si="328"/>
        <v>0</v>
      </c>
      <c r="F248">
        <f t="shared" si="328"/>
        <v>0</v>
      </c>
      <c r="G248">
        <f t="shared" si="328"/>
        <v>0</v>
      </c>
      <c r="H248" s="11">
        <f t="shared" si="328"/>
        <v>0</v>
      </c>
      <c r="I248">
        <f t="shared" si="328"/>
        <v>0</v>
      </c>
      <c r="J248">
        <f t="shared" si="328"/>
        <v>0</v>
      </c>
      <c r="K248">
        <f t="shared" si="328"/>
        <v>0</v>
      </c>
      <c r="L248">
        <f t="shared" si="328"/>
        <v>0</v>
      </c>
      <c r="M248">
        <f t="shared" si="328"/>
        <v>0</v>
      </c>
      <c r="N248">
        <f t="shared" si="328"/>
        <v>0</v>
      </c>
      <c r="O248">
        <f t="shared" si="328"/>
        <v>0</v>
      </c>
      <c r="P248">
        <f t="shared" si="328"/>
        <v>0</v>
      </c>
      <c r="Q248" s="11">
        <f t="shared" si="328"/>
        <v>0</v>
      </c>
      <c r="R248">
        <f t="shared" si="328"/>
        <v>0</v>
      </c>
      <c r="S248">
        <f t="shared" si="328"/>
        <v>0</v>
      </c>
      <c r="T248" s="11">
        <f t="shared" si="328"/>
        <v>0</v>
      </c>
      <c r="U248" s="13">
        <f t="shared" si="328"/>
        <v>0</v>
      </c>
      <c r="V248" s="2">
        <f t="shared" si="328"/>
        <v>0</v>
      </c>
      <c r="W248">
        <f t="shared" si="328"/>
        <v>0</v>
      </c>
      <c r="X248" s="452">
        <f t="shared" si="328"/>
        <v>0</v>
      </c>
      <c r="Y248" s="452">
        <f t="shared" si="328"/>
        <v>0</v>
      </c>
      <c r="Z248">
        <f t="shared" si="328"/>
        <v>0</v>
      </c>
      <c r="AA248">
        <f t="shared" si="298"/>
        <v>0</v>
      </c>
      <c r="AD248">
        <f t="shared" ref="AD248:BC248" si="329">AD66</f>
        <v>0</v>
      </c>
      <c r="AE248">
        <f t="shared" si="329"/>
        <v>0</v>
      </c>
      <c r="AF248">
        <f t="shared" si="329"/>
        <v>0</v>
      </c>
      <c r="AG248" s="11">
        <f t="shared" si="329"/>
        <v>0</v>
      </c>
      <c r="AH248">
        <f t="shared" si="329"/>
        <v>0</v>
      </c>
      <c r="AI248">
        <f t="shared" si="329"/>
        <v>0</v>
      </c>
      <c r="AJ248">
        <f t="shared" si="329"/>
        <v>0</v>
      </c>
      <c r="AK248" s="11">
        <f t="shared" si="329"/>
        <v>0</v>
      </c>
      <c r="AL248">
        <f t="shared" si="329"/>
        <v>0</v>
      </c>
      <c r="AM248">
        <f t="shared" si="329"/>
        <v>0</v>
      </c>
      <c r="AN248">
        <f t="shared" si="329"/>
        <v>0</v>
      </c>
      <c r="AO248">
        <f t="shared" si="329"/>
        <v>0</v>
      </c>
      <c r="AP248">
        <f t="shared" si="329"/>
        <v>0</v>
      </c>
      <c r="AQ248">
        <f t="shared" si="329"/>
        <v>0</v>
      </c>
      <c r="AR248">
        <f t="shared" si="329"/>
        <v>0</v>
      </c>
      <c r="AS248">
        <f t="shared" si="329"/>
        <v>0</v>
      </c>
      <c r="AT248" s="11">
        <f t="shared" si="329"/>
        <v>0</v>
      </c>
      <c r="AU248">
        <f t="shared" si="329"/>
        <v>0</v>
      </c>
      <c r="AV248">
        <f t="shared" si="329"/>
        <v>0</v>
      </c>
      <c r="AW248" s="11">
        <f t="shared" si="329"/>
        <v>0</v>
      </c>
      <c r="AX248" s="13">
        <f t="shared" si="329"/>
        <v>0</v>
      </c>
      <c r="AY248" s="2">
        <f t="shared" si="329"/>
        <v>0</v>
      </c>
      <c r="AZ248">
        <f t="shared" si="329"/>
        <v>0</v>
      </c>
      <c r="BA248" s="452">
        <f t="shared" si="329"/>
        <v>0</v>
      </c>
      <c r="BB248" s="452">
        <f t="shared" si="329"/>
        <v>0</v>
      </c>
      <c r="BC248">
        <f t="shared" si="329"/>
        <v>0</v>
      </c>
      <c r="BD248">
        <f t="shared" si="301"/>
        <v>0</v>
      </c>
    </row>
    <row r="249" spans="1:56" x14ac:dyDescent="0.3">
      <c r="A249">
        <f t="shared" ref="A249:Z249" si="330">A67</f>
        <v>0</v>
      </c>
      <c r="B249">
        <f t="shared" si="330"/>
        <v>0</v>
      </c>
      <c r="C249">
        <f t="shared" si="330"/>
        <v>0</v>
      </c>
      <c r="D249" s="11">
        <f t="shared" si="330"/>
        <v>0</v>
      </c>
      <c r="E249">
        <f t="shared" si="330"/>
        <v>0</v>
      </c>
      <c r="F249">
        <f t="shared" si="330"/>
        <v>0</v>
      </c>
      <c r="G249">
        <f t="shared" si="330"/>
        <v>0</v>
      </c>
      <c r="H249" s="11">
        <f t="shared" si="330"/>
        <v>0</v>
      </c>
      <c r="I249">
        <f t="shared" si="330"/>
        <v>0</v>
      </c>
      <c r="J249">
        <f t="shared" si="330"/>
        <v>0</v>
      </c>
      <c r="K249">
        <f t="shared" si="330"/>
        <v>0</v>
      </c>
      <c r="L249">
        <f t="shared" si="330"/>
        <v>0</v>
      </c>
      <c r="M249">
        <f t="shared" si="330"/>
        <v>0</v>
      </c>
      <c r="N249" s="2" t="s">
        <v>263</v>
      </c>
      <c r="O249" s="8">
        <f>L254*$O$253</f>
        <v>8309.0259979641396</v>
      </c>
      <c r="P249">
        <f t="shared" si="330"/>
        <v>0</v>
      </c>
      <c r="Q249" s="11">
        <f t="shared" si="330"/>
        <v>0</v>
      </c>
      <c r="R249">
        <f t="shared" si="330"/>
        <v>0</v>
      </c>
      <c r="S249">
        <f t="shared" si="330"/>
        <v>0</v>
      </c>
      <c r="T249" s="18"/>
      <c r="U249" s="438"/>
      <c r="V249" s="12" t="str">
        <f t="shared" si="330"/>
        <v>Hospitalizations prevented</v>
      </c>
      <c r="W249" s="30">
        <f t="shared" si="330"/>
        <v>349.19644155146779</v>
      </c>
      <c r="X249" s="446">
        <f>X250*L254*$R$247</f>
        <v>318.01818784151533</v>
      </c>
      <c r="Y249" s="446">
        <f>Y250*L255*$R$247</f>
        <v>380.37469526142024</v>
      </c>
      <c r="Z249">
        <f t="shared" si="330"/>
        <v>0</v>
      </c>
      <c r="AA249">
        <f t="shared" si="298"/>
        <v>0</v>
      </c>
      <c r="AD249">
        <f t="shared" ref="AD249:AP249" si="331">AD67</f>
        <v>0</v>
      </c>
      <c r="AE249">
        <f t="shared" si="331"/>
        <v>0</v>
      </c>
      <c r="AF249">
        <f t="shared" si="331"/>
        <v>0</v>
      </c>
      <c r="AG249" s="11">
        <f t="shared" si="331"/>
        <v>0</v>
      </c>
      <c r="AH249">
        <f t="shared" si="331"/>
        <v>0</v>
      </c>
      <c r="AI249">
        <f t="shared" si="331"/>
        <v>0</v>
      </c>
      <c r="AJ249">
        <f t="shared" si="331"/>
        <v>0</v>
      </c>
      <c r="AK249" s="11">
        <f t="shared" si="331"/>
        <v>0</v>
      </c>
      <c r="AL249">
        <f t="shared" si="331"/>
        <v>0</v>
      </c>
      <c r="AM249">
        <f t="shared" si="331"/>
        <v>0</v>
      </c>
      <c r="AN249">
        <f t="shared" si="331"/>
        <v>0</v>
      </c>
      <c r="AO249">
        <f t="shared" si="331"/>
        <v>0</v>
      </c>
      <c r="AP249">
        <f t="shared" si="331"/>
        <v>0</v>
      </c>
      <c r="AQ249" s="2" t="s">
        <v>263</v>
      </c>
      <c r="AR249" s="8">
        <f>AO254*$O$253</f>
        <v>8309.0259979641396</v>
      </c>
      <c r="AS249">
        <f t="shared" ref="AS249:AV249" si="332">AS67</f>
        <v>0</v>
      </c>
      <c r="AT249" s="11">
        <f t="shared" si="332"/>
        <v>0</v>
      </c>
      <c r="AU249">
        <f t="shared" si="332"/>
        <v>0</v>
      </c>
      <c r="AV249">
        <f t="shared" si="332"/>
        <v>0</v>
      </c>
      <c r="AW249" s="18"/>
      <c r="AX249" s="500"/>
      <c r="AY249" s="12" t="str">
        <f t="shared" ref="AY249:AZ249" si="333">AY67</f>
        <v>Hospitalizations prevented</v>
      </c>
      <c r="AZ249" s="30">
        <f t="shared" si="333"/>
        <v>88.096534408112319</v>
      </c>
      <c r="BA249" s="446">
        <f>BA250*AO254*$R$247</f>
        <v>80.230772407388017</v>
      </c>
      <c r="BB249" s="446">
        <f>BB250*AO255*$R$247</f>
        <v>95.962296408836622</v>
      </c>
      <c r="BC249">
        <f t="shared" ref="BC249" si="334">BC67</f>
        <v>0</v>
      </c>
      <c r="BD249">
        <f t="shared" si="301"/>
        <v>0</v>
      </c>
    </row>
    <row r="250" spans="1:56" x14ac:dyDescent="0.3">
      <c r="A250">
        <f t="shared" ref="A250:Z250" si="335">A68</f>
        <v>0</v>
      </c>
      <c r="B250">
        <f t="shared" si="335"/>
        <v>0</v>
      </c>
      <c r="C250">
        <f t="shared" si="335"/>
        <v>0</v>
      </c>
      <c r="D250" s="11">
        <f t="shared" si="335"/>
        <v>0</v>
      </c>
      <c r="E250">
        <f t="shared" si="335"/>
        <v>0</v>
      </c>
      <c r="F250">
        <f t="shared" si="335"/>
        <v>0</v>
      </c>
      <c r="G250">
        <f t="shared" si="335"/>
        <v>0</v>
      </c>
      <c r="H250" s="11">
        <f t="shared" si="335"/>
        <v>0</v>
      </c>
      <c r="I250">
        <f t="shared" si="335"/>
        <v>0</v>
      </c>
      <c r="J250" s="13">
        <f t="shared" si="335"/>
        <v>0</v>
      </c>
      <c r="K250">
        <f t="shared" si="335"/>
        <v>0</v>
      </c>
      <c r="L250">
        <f t="shared" si="335"/>
        <v>0</v>
      </c>
      <c r="M250">
        <f t="shared" si="335"/>
        <v>0</v>
      </c>
      <c r="N250" s="2" t="s">
        <v>264</v>
      </c>
      <c r="O250" s="8">
        <f>L255*$O$254</f>
        <v>9938.2467818786754</v>
      </c>
      <c r="P250">
        <f t="shared" si="335"/>
        <v>0</v>
      </c>
      <c r="Q250" s="11">
        <f t="shared" si="335"/>
        <v>0</v>
      </c>
      <c r="R250" s="13">
        <f t="shared" si="335"/>
        <v>0</v>
      </c>
      <c r="S250">
        <f t="shared" si="335"/>
        <v>0</v>
      </c>
      <c r="T250">
        <f t="shared" si="335"/>
        <v>0</v>
      </c>
      <c r="U250">
        <f t="shared" si="335"/>
        <v>0</v>
      </c>
      <c r="V250" s="2" t="str">
        <f t="shared" si="335"/>
        <v>p4c</v>
      </c>
      <c r="W250" s="61">
        <f>$W$68</f>
        <v>0.16641351979207206</v>
      </c>
      <c r="X250" s="61">
        <f t="shared" ref="X250:Y250" si="336">$W$68</f>
        <v>0.16641351979207206</v>
      </c>
      <c r="Y250" s="61">
        <f t="shared" si="336"/>
        <v>0.16641351979207206</v>
      </c>
      <c r="Z250">
        <f t="shared" si="335"/>
        <v>0</v>
      </c>
      <c r="AA250">
        <f t="shared" si="298"/>
        <v>0</v>
      </c>
      <c r="AD250">
        <f t="shared" ref="AD250:AP250" si="337">AD68</f>
        <v>0</v>
      </c>
      <c r="AE250">
        <f t="shared" si="337"/>
        <v>0</v>
      </c>
      <c r="AF250">
        <f t="shared" si="337"/>
        <v>0</v>
      </c>
      <c r="AG250" s="11">
        <f t="shared" si="337"/>
        <v>0</v>
      </c>
      <c r="AH250">
        <f t="shared" si="337"/>
        <v>0</v>
      </c>
      <c r="AI250">
        <f t="shared" si="337"/>
        <v>0</v>
      </c>
      <c r="AJ250">
        <f t="shared" si="337"/>
        <v>0</v>
      </c>
      <c r="AK250" s="11">
        <f t="shared" si="337"/>
        <v>0</v>
      </c>
      <c r="AL250">
        <f t="shared" si="337"/>
        <v>0</v>
      </c>
      <c r="AM250" s="13">
        <f t="shared" si="337"/>
        <v>0</v>
      </c>
      <c r="AN250">
        <f t="shared" si="337"/>
        <v>0</v>
      </c>
      <c r="AO250">
        <f t="shared" si="337"/>
        <v>0</v>
      </c>
      <c r="AP250">
        <f t="shared" si="337"/>
        <v>0</v>
      </c>
      <c r="AQ250" s="2" t="s">
        <v>264</v>
      </c>
      <c r="AR250" s="8">
        <f>AO255*$O$254</f>
        <v>9938.2467818786754</v>
      </c>
      <c r="AS250">
        <f t="shared" ref="AS250:AY250" si="338">AS68</f>
        <v>0</v>
      </c>
      <c r="AT250" s="11">
        <f t="shared" si="338"/>
        <v>0</v>
      </c>
      <c r="AU250" s="13">
        <f t="shared" si="338"/>
        <v>0</v>
      </c>
      <c r="AV250">
        <f t="shared" si="338"/>
        <v>0</v>
      </c>
      <c r="AW250">
        <f t="shared" si="338"/>
        <v>0</v>
      </c>
      <c r="AX250">
        <f t="shared" si="338"/>
        <v>0</v>
      </c>
      <c r="AY250" s="2" t="str">
        <f t="shared" si="338"/>
        <v>p4c</v>
      </c>
      <c r="AZ250" s="61">
        <f>AZ68</f>
        <v>4.1983401397796216E-2</v>
      </c>
      <c r="BA250" s="61">
        <f>AZ250</f>
        <v>4.1983401397796216E-2</v>
      </c>
      <c r="BB250" s="61">
        <f>AZ250</f>
        <v>4.1983401397796216E-2</v>
      </c>
      <c r="BC250">
        <f t="shared" ref="BC250" si="339">BC68</f>
        <v>0</v>
      </c>
      <c r="BD250">
        <f t="shared" si="301"/>
        <v>0</v>
      </c>
    </row>
    <row r="251" spans="1:56" x14ac:dyDescent="0.3">
      <c r="A251">
        <f t="shared" ref="A251:Z251" si="340">A69</f>
        <v>0</v>
      </c>
      <c r="B251">
        <f t="shared" si="340"/>
        <v>0</v>
      </c>
      <c r="C251">
        <f t="shared" si="340"/>
        <v>0</v>
      </c>
      <c r="D251" s="11">
        <f t="shared" si="340"/>
        <v>0</v>
      </c>
      <c r="E251">
        <f t="shared" si="340"/>
        <v>0</v>
      </c>
      <c r="F251">
        <f t="shared" si="340"/>
        <v>0</v>
      </c>
      <c r="G251">
        <f t="shared" si="340"/>
        <v>0</v>
      </c>
      <c r="H251" s="11">
        <f t="shared" si="340"/>
        <v>0</v>
      </c>
      <c r="N251" s="2" t="str">
        <f t="shared" si="340"/>
        <v>Expected hlthcare visits had palivizumab not been obtained</v>
      </c>
      <c r="O251" s="33">
        <f t="shared" si="340"/>
        <v>9123.6363899214084</v>
      </c>
      <c r="P251">
        <f t="shared" si="340"/>
        <v>0</v>
      </c>
      <c r="Q251" s="11">
        <f t="shared" si="340"/>
        <v>0</v>
      </c>
      <c r="R251">
        <f t="shared" si="340"/>
        <v>0</v>
      </c>
      <c r="S251">
        <f t="shared" si="340"/>
        <v>0</v>
      </c>
      <c r="T251">
        <f t="shared" si="340"/>
        <v>0</v>
      </c>
      <c r="U251">
        <f t="shared" si="340"/>
        <v>0</v>
      </c>
      <c r="V251">
        <f t="shared" si="340"/>
        <v>0</v>
      </c>
      <c r="W251">
        <f t="shared" si="340"/>
        <v>0</v>
      </c>
      <c r="X251" s="452">
        <f t="shared" si="340"/>
        <v>0</v>
      </c>
      <c r="Y251" s="452">
        <f t="shared" si="340"/>
        <v>0</v>
      </c>
      <c r="Z251">
        <f t="shared" si="340"/>
        <v>0</v>
      </c>
      <c r="AA251">
        <f t="shared" si="298"/>
        <v>0</v>
      </c>
      <c r="AD251">
        <f t="shared" ref="AD251:AK251" si="341">AD69</f>
        <v>0</v>
      </c>
      <c r="AE251">
        <f t="shared" si="341"/>
        <v>0</v>
      </c>
      <c r="AF251">
        <f t="shared" si="341"/>
        <v>0</v>
      </c>
      <c r="AG251" s="11">
        <f t="shared" si="341"/>
        <v>0</v>
      </c>
      <c r="AH251">
        <f t="shared" si="341"/>
        <v>0</v>
      </c>
      <c r="AI251">
        <f t="shared" si="341"/>
        <v>0</v>
      </c>
      <c r="AJ251">
        <f t="shared" si="341"/>
        <v>0</v>
      </c>
      <c r="AK251" s="11">
        <f t="shared" si="341"/>
        <v>0</v>
      </c>
      <c r="AQ251" s="2" t="str">
        <f t="shared" ref="AQ251:BC251" si="342">AQ69</f>
        <v>Expected hlthcare visits had palivizumab not been obtained</v>
      </c>
      <c r="AR251" s="33" t="e">
        <f t="shared" si="342"/>
        <v>#REF!</v>
      </c>
      <c r="AS251">
        <f t="shared" si="342"/>
        <v>0</v>
      </c>
      <c r="AT251" s="11">
        <f t="shared" si="342"/>
        <v>0</v>
      </c>
      <c r="AU251">
        <f t="shared" si="342"/>
        <v>0</v>
      </c>
      <c r="AV251">
        <f t="shared" si="342"/>
        <v>0</v>
      </c>
      <c r="AW251">
        <f t="shared" si="342"/>
        <v>0</v>
      </c>
      <c r="AX251">
        <f t="shared" si="342"/>
        <v>0</v>
      </c>
      <c r="AY251">
        <f t="shared" si="342"/>
        <v>0</v>
      </c>
      <c r="AZ251">
        <f t="shared" si="342"/>
        <v>0</v>
      </c>
      <c r="BA251" s="452">
        <f t="shared" si="342"/>
        <v>0</v>
      </c>
      <c r="BB251" s="452">
        <f t="shared" si="342"/>
        <v>0</v>
      </c>
      <c r="BC251">
        <f t="shared" si="342"/>
        <v>0</v>
      </c>
      <c r="BD251">
        <f t="shared" si="301"/>
        <v>0</v>
      </c>
    </row>
    <row r="252" spans="1:56" x14ac:dyDescent="0.3">
      <c r="A252">
        <f t="shared" ref="A252:Z252" si="343">A70</f>
        <v>0</v>
      </c>
      <c r="B252">
        <f t="shared" si="343"/>
        <v>0</v>
      </c>
      <c r="C252">
        <f t="shared" si="343"/>
        <v>0</v>
      </c>
      <c r="D252" s="11">
        <f t="shared" si="343"/>
        <v>0</v>
      </c>
      <c r="E252">
        <f t="shared" si="343"/>
        <v>0</v>
      </c>
      <c r="F252">
        <f t="shared" si="343"/>
        <v>0</v>
      </c>
      <c r="G252">
        <f t="shared" si="343"/>
        <v>0</v>
      </c>
      <c r="H252" s="11">
        <f t="shared" si="343"/>
        <v>0</v>
      </c>
      <c r="I252">
        <f t="shared" si="343"/>
        <v>0</v>
      </c>
      <c r="J252">
        <f t="shared" si="343"/>
        <v>0</v>
      </c>
      <c r="K252">
        <f t="shared" si="343"/>
        <v>0</v>
      </c>
      <c r="L252">
        <f t="shared" si="343"/>
        <v>0</v>
      </c>
      <c r="N252" s="16" t="str">
        <f t="shared" si="343"/>
        <v>sum p4a-c</v>
      </c>
      <c r="O252" s="68">
        <f>$O$70</f>
        <v>2.2174658581401898</v>
      </c>
      <c r="P252" s="17">
        <f t="shared" si="343"/>
        <v>0</v>
      </c>
      <c r="Q252" s="11">
        <f t="shared" si="343"/>
        <v>0</v>
      </c>
      <c r="R252">
        <f t="shared" si="343"/>
        <v>0</v>
      </c>
      <c r="S252">
        <f t="shared" si="343"/>
        <v>0</v>
      </c>
      <c r="T252">
        <f t="shared" si="343"/>
        <v>0</v>
      </c>
      <c r="U252">
        <f t="shared" si="343"/>
        <v>0</v>
      </c>
      <c r="V252">
        <f t="shared" si="343"/>
        <v>0</v>
      </c>
      <c r="W252">
        <f t="shared" si="343"/>
        <v>0</v>
      </c>
      <c r="X252" s="1117" t="s">
        <v>181</v>
      </c>
      <c r="Y252" s="1117"/>
      <c r="Z252">
        <f t="shared" si="343"/>
        <v>0</v>
      </c>
      <c r="AA252">
        <f t="shared" si="298"/>
        <v>0</v>
      </c>
      <c r="AD252">
        <f t="shared" ref="AD252:AO252" si="344">AD70</f>
        <v>0</v>
      </c>
      <c r="AE252">
        <f t="shared" si="344"/>
        <v>0</v>
      </c>
      <c r="AF252">
        <f t="shared" si="344"/>
        <v>0</v>
      </c>
      <c r="AG252" s="11">
        <f t="shared" si="344"/>
        <v>0</v>
      </c>
      <c r="AH252">
        <f t="shared" si="344"/>
        <v>0</v>
      </c>
      <c r="AI252">
        <f t="shared" si="344"/>
        <v>0</v>
      </c>
      <c r="AJ252">
        <f t="shared" si="344"/>
        <v>0</v>
      </c>
      <c r="AK252" s="11">
        <f t="shared" si="344"/>
        <v>0</v>
      </c>
      <c r="AL252">
        <f t="shared" si="344"/>
        <v>0</v>
      </c>
      <c r="AM252">
        <f t="shared" si="344"/>
        <v>0</v>
      </c>
      <c r="AN252">
        <f t="shared" si="344"/>
        <v>0</v>
      </c>
      <c r="AO252">
        <f t="shared" si="344"/>
        <v>0</v>
      </c>
      <c r="AQ252" s="16" t="str">
        <f t="shared" ref="AQ252" si="345">AQ70</f>
        <v>sum p4a-c</v>
      </c>
      <c r="AR252" s="68">
        <f>$O$70</f>
        <v>2.2174658581401898</v>
      </c>
      <c r="AS252" s="17">
        <f t="shared" ref="AS252:AZ252" si="346">AS70</f>
        <v>0</v>
      </c>
      <c r="AT252" s="11">
        <f t="shared" si="346"/>
        <v>0</v>
      </c>
      <c r="AU252">
        <f t="shared" si="346"/>
        <v>0</v>
      </c>
      <c r="AV252">
        <f t="shared" si="346"/>
        <v>0</v>
      </c>
      <c r="AW252">
        <f t="shared" si="346"/>
        <v>0</v>
      </c>
      <c r="AX252">
        <f t="shared" si="346"/>
        <v>0</v>
      </c>
      <c r="AY252">
        <f t="shared" si="346"/>
        <v>0</v>
      </c>
      <c r="AZ252">
        <f t="shared" si="346"/>
        <v>0</v>
      </c>
      <c r="BA252" s="1117" t="s">
        <v>181</v>
      </c>
      <c r="BB252" s="1117"/>
      <c r="BC252">
        <f t="shared" ref="BC252" si="347">BC70</f>
        <v>0</v>
      </c>
      <c r="BD252">
        <f t="shared" si="301"/>
        <v>0</v>
      </c>
    </row>
    <row r="253" spans="1:56" x14ac:dyDescent="0.3">
      <c r="A253">
        <f t="shared" ref="A253:Z253" si="348">A71</f>
        <v>0</v>
      </c>
      <c r="B253">
        <f t="shared" si="348"/>
        <v>0</v>
      </c>
      <c r="C253">
        <f t="shared" si="348"/>
        <v>0</v>
      </c>
      <c r="D253" s="11">
        <f t="shared" si="348"/>
        <v>0</v>
      </c>
      <c r="E253">
        <f t="shared" si="348"/>
        <v>0</v>
      </c>
      <c r="F253">
        <f t="shared" si="348"/>
        <v>0</v>
      </c>
      <c r="G253">
        <f t="shared" si="348"/>
        <v>0</v>
      </c>
      <c r="H253" s="11">
        <f t="shared" si="348"/>
        <v>0</v>
      </c>
      <c r="I253">
        <f t="shared" si="348"/>
        <v>0</v>
      </c>
      <c r="J253">
        <f t="shared" si="348"/>
        <v>0</v>
      </c>
      <c r="K253">
        <f t="shared" si="348"/>
        <v>0</v>
      </c>
      <c r="L253">
        <f t="shared" si="348"/>
        <v>0</v>
      </c>
      <c r="M253">
        <f t="shared" si="348"/>
        <v>0</v>
      </c>
      <c r="N253" s="59" t="str">
        <f t="shared" si="348"/>
        <v>low:</v>
      </c>
      <c r="O253" s="68">
        <f t="shared" ref="O253:O254" si="349">$O$70</f>
        <v>2.2174658581401898</v>
      </c>
      <c r="P253">
        <f t="shared" si="348"/>
        <v>0</v>
      </c>
      <c r="Q253" s="11">
        <f t="shared" si="348"/>
        <v>0</v>
      </c>
      <c r="R253" s="13">
        <f t="shared" si="348"/>
        <v>0</v>
      </c>
      <c r="S253" s="13">
        <f t="shared" si="348"/>
        <v>0</v>
      </c>
      <c r="T253">
        <f t="shared" si="348"/>
        <v>0</v>
      </c>
      <c r="U253">
        <f t="shared" si="348"/>
        <v>0</v>
      </c>
      <c r="V253">
        <f t="shared" si="348"/>
        <v>0</v>
      </c>
      <c r="W253" s="437" t="str">
        <f t="shared" si="348"/>
        <v>base</v>
      </c>
      <c r="X253" s="445" t="str">
        <f t="shared" si="348"/>
        <v>low</v>
      </c>
      <c r="Y253" s="445" t="str">
        <f t="shared" si="348"/>
        <v>high</v>
      </c>
      <c r="Z253">
        <f t="shared" si="348"/>
        <v>0</v>
      </c>
      <c r="AA253">
        <f t="shared" si="298"/>
        <v>0</v>
      </c>
      <c r="AD253">
        <f t="shared" ref="AD253:AQ253" si="350">AD71</f>
        <v>0</v>
      </c>
      <c r="AE253">
        <f t="shared" si="350"/>
        <v>0</v>
      </c>
      <c r="AF253">
        <f t="shared" si="350"/>
        <v>0</v>
      </c>
      <c r="AG253" s="11">
        <f t="shared" si="350"/>
        <v>0</v>
      </c>
      <c r="AH253">
        <f t="shared" si="350"/>
        <v>0</v>
      </c>
      <c r="AI253">
        <f t="shared" si="350"/>
        <v>0</v>
      </c>
      <c r="AJ253">
        <f t="shared" si="350"/>
        <v>0</v>
      </c>
      <c r="AK253" s="11">
        <f t="shared" si="350"/>
        <v>0</v>
      </c>
      <c r="AL253">
        <f t="shared" si="350"/>
        <v>0</v>
      </c>
      <c r="AM253">
        <f t="shared" si="350"/>
        <v>0</v>
      </c>
      <c r="AN253">
        <f t="shared" si="350"/>
        <v>0</v>
      </c>
      <c r="AO253">
        <f t="shared" si="350"/>
        <v>0</v>
      </c>
      <c r="AP253">
        <f t="shared" si="350"/>
        <v>0</v>
      </c>
      <c r="AQ253" s="59" t="str">
        <f t="shared" si="350"/>
        <v>low:</v>
      </c>
      <c r="AR253" s="68">
        <f t="shared" ref="AR253:AR254" si="351">$O$70</f>
        <v>2.2174658581401898</v>
      </c>
      <c r="AS253">
        <f t="shared" ref="AS253:BC253" si="352">AS71</f>
        <v>0</v>
      </c>
      <c r="AT253" s="11">
        <f t="shared" si="352"/>
        <v>0</v>
      </c>
      <c r="AU253" s="13">
        <f t="shared" si="352"/>
        <v>0</v>
      </c>
      <c r="AV253" s="13">
        <f t="shared" si="352"/>
        <v>0</v>
      </c>
      <c r="AW253">
        <f t="shared" si="352"/>
        <v>0</v>
      </c>
      <c r="AX253">
        <f t="shared" si="352"/>
        <v>0</v>
      </c>
      <c r="AY253">
        <f t="shared" si="352"/>
        <v>0</v>
      </c>
      <c r="AZ253" s="684" t="str">
        <f t="shared" si="352"/>
        <v>base</v>
      </c>
      <c r="BA253" s="445" t="str">
        <f t="shared" si="352"/>
        <v>low</v>
      </c>
      <c r="BB253" s="445" t="str">
        <f t="shared" si="352"/>
        <v>high</v>
      </c>
      <c r="BC253">
        <f t="shared" si="352"/>
        <v>0</v>
      </c>
      <c r="BD253">
        <f t="shared" si="301"/>
        <v>0</v>
      </c>
    </row>
    <row r="254" spans="1:56" x14ac:dyDescent="0.3">
      <c r="A254">
        <f t="shared" ref="A254:Z254" si="353">A72</f>
        <v>0</v>
      </c>
      <c r="B254">
        <f t="shared" si="353"/>
        <v>0</v>
      </c>
      <c r="C254">
        <f t="shared" si="353"/>
        <v>0</v>
      </c>
      <c r="D254" s="11">
        <f t="shared" si="353"/>
        <v>0</v>
      </c>
      <c r="E254">
        <f t="shared" si="353"/>
        <v>0</v>
      </c>
      <c r="F254">
        <f t="shared" si="353"/>
        <v>0</v>
      </c>
      <c r="G254">
        <f t="shared" si="353"/>
        <v>0</v>
      </c>
      <c r="H254" s="11">
        <f t="shared" si="353"/>
        <v>0</v>
      </c>
      <c r="I254">
        <f t="shared" si="353"/>
        <v>0</v>
      </c>
      <c r="J254">
        <f t="shared" si="353"/>
        <v>0</v>
      </c>
      <c r="K254" s="2" t="s">
        <v>263</v>
      </c>
      <c r="L254" s="8">
        <f>I264*$L$257</f>
        <v>3747.0818175000004</v>
      </c>
      <c r="M254">
        <f t="shared" si="353"/>
        <v>0</v>
      </c>
      <c r="N254" s="59" t="str">
        <f t="shared" si="353"/>
        <v>high:</v>
      </c>
      <c r="O254" s="68">
        <f t="shared" si="349"/>
        <v>2.2174658581401898</v>
      </c>
      <c r="P254">
        <f t="shared" si="353"/>
        <v>0</v>
      </c>
      <c r="Q254" s="11">
        <f t="shared" si="353"/>
        <v>0</v>
      </c>
      <c r="R254" s="13">
        <f t="shared" si="353"/>
        <v>0</v>
      </c>
      <c r="S254">
        <f t="shared" si="353"/>
        <v>0</v>
      </c>
      <c r="T254">
        <f t="shared" si="353"/>
        <v>0</v>
      </c>
      <c r="V254" s="517" t="str">
        <f t="shared" si="353"/>
        <v>Outpatient</v>
      </c>
      <c r="W254" s="518">
        <f t="shared" si="353"/>
        <v>4771.6718347318292</v>
      </c>
      <c r="X254" s="518">
        <f>($L$254*$R$257*X255)+($L$254*X256)</f>
        <v>4345.6297066307734</v>
      </c>
      <c r="Y254" s="518">
        <f>($L$255*$R$257*Y255)+($L$255*Y256)</f>
        <v>5197.7139628328841</v>
      </c>
      <c r="Z254">
        <f t="shared" si="353"/>
        <v>0</v>
      </c>
      <c r="AA254">
        <f t="shared" si="298"/>
        <v>0</v>
      </c>
      <c r="AD254">
        <f t="shared" ref="AD254:AM254" si="354">AD72</f>
        <v>0</v>
      </c>
      <c r="AE254">
        <f t="shared" si="354"/>
        <v>0</v>
      </c>
      <c r="AF254">
        <f t="shared" si="354"/>
        <v>0</v>
      </c>
      <c r="AG254" s="11">
        <f t="shared" si="354"/>
        <v>0</v>
      </c>
      <c r="AH254">
        <f t="shared" si="354"/>
        <v>0</v>
      </c>
      <c r="AI254">
        <f t="shared" si="354"/>
        <v>0</v>
      </c>
      <c r="AJ254">
        <f t="shared" si="354"/>
        <v>0</v>
      </c>
      <c r="AK254" s="11">
        <f t="shared" si="354"/>
        <v>0</v>
      </c>
      <c r="AL254">
        <f t="shared" si="354"/>
        <v>0</v>
      </c>
      <c r="AM254">
        <f t="shared" si="354"/>
        <v>0</v>
      </c>
      <c r="AN254" s="2" t="s">
        <v>263</v>
      </c>
      <c r="AO254" s="8">
        <f>AL264*$L$257</f>
        <v>3747.0818175000004</v>
      </c>
      <c r="AP254">
        <f t="shared" ref="AP254:AQ254" si="355">AP72</f>
        <v>0</v>
      </c>
      <c r="AQ254" s="59" t="str">
        <f t="shared" si="355"/>
        <v>high:</v>
      </c>
      <c r="AR254" s="68">
        <f t="shared" si="351"/>
        <v>2.2174658581401898</v>
      </c>
      <c r="AS254">
        <f t="shared" ref="AS254:AW254" si="356">AS72</f>
        <v>0</v>
      </c>
      <c r="AT254" s="11">
        <f t="shared" si="356"/>
        <v>0</v>
      </c>
      <c r="AU254" s="13">
        <f t="shared" si="356"/>
        <v>0</v>
      </c>
      <c r="AV254">
        <f t="shared" si="356"/>
        <v>0</v>
      </c>
      <c r="AW254">
        <f t="shared" si="356"/>
        <v>0</v>
      </c>
      <c r="AY254" s="517" t="str">
        <f t="shared" ref="AY254:AZ254" si="357">AY72</f>
        <v>Outpatient</v>
      </c>
      <c r="AZ254" s="518">
        <f t="shared" si="357"/>
        <v>1543.9988197929872</v>
      </c>
      <c r="BA254" s="518">
        <f>($AO$254*$AU$257*BA255)+($AO$254*BA256)</f>
        <v>1462.4440063350116</v>
      </c>
      <c r="BB254" s="518">
        <f>($AO$255*$AU$257*BB255)+($AO$255*BB256)</f>
        <v>1749.1977330673665</v>
      </c>
      <c r="BC254">
        <f t="shared" ref="BC254" si="358">BC72</f>
        <v>0</v>
      </c>
      <c r="BD254">
        <f t="shared" si="301"/>
        <v>0</v>
      </c>
    </row>
    <row r="255" spans="1:56" x14ac:dyDescent="0.3">
      <c r="A255">
        <f t="shared" ref="A255:Z255" si="359">A73</f>
        <v>0</v>
      </c>
      <c r="B255">
        <f t="shared" si="359"/>
        <v>0</v>
      </c>
      <c r="C255">
        <f t="shared" si="359"/>
        <v>0</v>
      </c>
      <c r="D255" s="11">
        <f t="shared" si="359"/>
        <v>0</v>
      </c>
      <c r="E255">
        <f t="shared" si="359"/>
        <v>0</v>
      </c>
      <c r="F255">
        <f t="shared" si="359"/>
        <v>0</v>
      </c>
      <c r="G255">
        <f t="shared" si="359"/>
        <v>0</v>
      </c>
      <c r="H255" s="11">
        <f t="shared" si="359"/>
        <v>0</v>
      </c>
      <c r="I255">
        <f t="shared" si="359"/>
        <v>0</v>
      </c>
      <c r="J255">
        <f t="shared" si="359"/>
        <v>0</v>
      </c>
      <c r="K255" s="2" t="s">
        <v>264</v>
      </c>
      <c r="L255" s="8">
        <f>I265*$L$257</f>
        <v>4481.8037424999993</v>
      </c>
      <c r="M255">
        <f t="shared" si="359"/>
        <v>0</v>
      </c>
      <c r="N255" s="11">
        <f t="shared" si="359"/>
        <v>0</v>
      </c>
      <c r="O255">
        <f t="shared" si="359"/>
        <v>0</v>
      </c>
      <c r="P255">
        <f t="shared" si="359"/>
        <v>0</v>
      </c>
      <c r="Q255" s="11">
        <f t="shared" si="359"/>
        <v>0</v>
      </c>
      <c r="R255" s="13">
        <f t="shared" si="359"/>
        <v>0</v>
      </c>
      <c r="S255">
        <f t="shared" si="359"/>
        <v>0</v>
      </c>
      <c r="T255" s="16">
        <f t="shared" si="359"/>
        <v>0</v>
      </c>
      <c r="U255" s="17">
        <f t="shared" si="359"/>
        <v>0</v>
      </c>
      <c r="V255" s="15" t="str">
        <f t="shared" si="359"/>
        <v>p4c</v>
      </c>
      <c r="W255" s="61">
        <f>$W$73</f>
        <v>1.4910674201012974</v>
      </c>
      <c r="X255" s="61">
        <f t="shared" ref="X255:Y255" si="360">$W$73</f>
        <v>1.4910674201012974</v>
      </c>
      <c r="Y255" s="61">
        <f t="shared" si="360"/>
        <v>1.4910674201012974</v>
      </c>
      <c r="Z255">
        <f t="shared" si="359"/>
        <v>0</v>
      </c>
      <c r="AA255">
        <f t="shared" si="298"/>
        <v>0</v>
      </c>
      <c r="AD255">
        <f t="shared" ref="AD255:AM255" si="361">AD73</f>
        <v>0</v>
      </c>
      <c r="AE255">
        <f t="shared" si="361"/>
        <v>0</v>
      </c>
      <c r="AF255">
        <f t="shared" si="361"/>
        <v>0</v>
      </c>
      <c r="AG255" s="11">
        <f t="shared" si="361"/>
        <v>0</v>
      </c>
      <c r="AH255">
        <f t="shared" si="361"/>
        <v>0</v>
      </c>
      <c r="AI255">
        <f t="shared" si="361"/>
        <v>0</v>
      </c>
      <c r="AJ255">
        <f t="shared" si="361"/>
        <v>0</v>
      </c>
      <c r="AK255" s="11">
        <f t="shared" si="361"/>
        <v>0</v>
      </c>
      <c r="AL255">
        <f t="shared" si="361"/>
        <v>0</v>
      </c>
      <c r="AM255">
        <f t="shared" si="361"/>
        <v>0</v>
      </c>
      <c r="AN255" s="2" t="s">
        <v>264</v>
      </c>
      <c r="AO255" s="8">
        <f>AL265*$L$257</f>
        <v>4481.8037424999993</v>
      </c>
      <c r="AP255">
        <f t="shared" ref="AP255:AY255" si="362">AP73</f>
        <v>0</v>
      </c>
      <c r="AQ255" s="11">
        <f t="shared" si="362"/>
        <v>0</v>
      </c>
      <c r="AR255">
        <f t="shared" si="362"/>
        <v>0</v>
      </c>
      <c r="AS255">
        <f t="shared" si="362"/>
        <v>0</v>
      </c>
      <c r="AT255" s="11">
        <f t="shared" si="362"/>
        <v>0</v>
      </c>
      <c r="AU255" s="13">
        <f t="shared" si="362"/>
        <v>0</v>
      </c>
      <c r="AV255">
        <f t="shared" si="362"/>
        <v>0</v>
      </c>
      <c r="AW255" s="16">
        <f t="shared" si="362"/>
        <v>0</v>
      </c>
      <c r="AX255" s="17">
        <f t="shared" si="362"/>
        <v>0</v>
      </c>
      <c r="AY255" s="15" t="str">
        <f t="shared" si="362"/>
        <v>p4c</v>
      </c>
      <c r="AZ255" s="61">
        <f>AZ73</f>
        <v>0.76584319385710953</v>
      </c>
      <c r="BA255" s="61">
        <f>AZ255</f>
        <v>0.76584319385710953</v>
      </c>
      <c r="BB255" s="61">
        <f>BA255</f>
        <v>0.76584319385710953</v>
      </c>
      <c r="BC255">
        <f t="shared" ref="BC255" si="363">BC73</f>
        <v>0</v>
      </c>
      <c r="BD255">
        <f t="shared" si="301"/>
        <v>0</v>
      </c>
    </row>
    <row r="256" spans="1:56" x14ac:dyDescent="0.3">
      <c r="A256">
        <f t="shared" ref="A256:Z256" si="364">A74</f>
        <v>0</v>
      </c>
      <c r="B256">
        <f t="shared" si="364"/>
        <v>0</v>
      </c>
      <c r="C256">
        <f t="shared" si="364"/>
        <v>0</v>
      </c>
      <c r="D256" s="11">
        <f t="shared" si="364"/>
        <v>0</v>
      </c>
      <c r="E256">
        <f t="shared" si="364"/>
        <v>0</v>
      </c>
      <c r="F256">
        <f t="shared" si="364"/>
        <v>0</v>
      </c>
      <c r="G256">
        <f t="shared" si="364"/>
        <v>0</v>
      </c>
      <c r="H256" s="11">
        <f t="shared" si="364"/>
        <v>0</v>
      </c>
      <c r="K256" s="12" t="str">
        <f t="shared" si="364"/>
        <v>obtain palivizumab product</v>
      </c>
      <c r="L256" s="30">
        <f t="shared" si="364"/>
        <v>4114.4427800000003</v>
      </c>
      <c r="M256" s="438">
        <f t="shared" si="364"/>
        <v>0</v>
      </c>
      <c r="N256" s="11">
        <f t="shared" si="364"/>
        <v>0</v>
      </c>
      <c r="O256" s="13">
        <f t="shared" si="364"/>
        <v>0</v>
      </c>
      <c r="P256" s="13">
        <f t="shared" si="364"/>
        <v>0</v>
      </c>
      <c r="Q256" s="11">
        <f t="shared" si="364"/>
        <v>0</v>
      </c>
      <c r="R256" s="13">
        <f t="shared" si="364"/>
        <v>0</v>
      </c>
      <c r="S256">
        <f t="shared" si="364"/>
        <v>0</v>
      </c>
      <c r="T256" s="11">
        <f t="shared" si="364"/>
        <v>0</v>
      </c>
      <c r="U256" s="13">
        <f t="shared" si="364"/>
        <v>0</v>
      </c>
      <c r="V256" s="2">
        <f t="shared" si="364"/>
        <v>0</v>
      </c>
      <c r="W256" s="61">
        <f>$W$74</f>
        <v>0.42911403910169688</v>
      </c>
      <c r="X256" s="61">
        <f t="shared" ref="X256:Y256" si="365">$W$74</f>
        <v>0.42911403910169688</v>
      </c>
      <c r="Y256" s="61">
        <f t="shared" si="365"/>
        <v>0.42911403910169688</v>
      </c>
      <c r="Z256">
        <f t="shared" si="364"/>
        <v>0</v>
      </c>
      <c r="AA256">
        <f t="shared" si="298"/>
        <v>0</v>
      </c>
      <c r="AD256">
        <f t="shared" ref="AD256:AK256" si="366">AD74</f>
        <v>0</v>
      </c>
      <c r="AE256">
        <f t="shared" si="366"/>
        <v>0</v>
      </c>
      <c r="AF256">
        <f t="shared" si="366"/>
        <v>0</v>
      </c>
      <c r="AG256" s="11">
        <f t="shared" si="366"/>
        <v>0</v>
      </c>
      <c r="AH256">
        <f t="shared" si="366"/>
        <v>0</v>
      </c>
      <c r="AI256">
        <f t="shared" si="366"/>
        <v>0</v>
      </c>
      <c r="AJ256">
        <f t="shared" si="366"/>
        <v>0</v>
      </c>
      <c r="AK256" s="11">
        <f t="shared" si="366"/>
        <v>0</v>
      </c>
      <c r="AN256" s="12" t="str">
        <f t="shared" ref="AN256:AY256" si="367">AN74</f>
        <v>obtain palivizumab product</v>
      </c>
      <c r="AO256" s="30">
        <f t="shared" si="367"/>
        <v>4114.4427800000003</v>
      </c>
      <c r="AP256" s="500">
        <f t="shared" si="367"/>
        <v>0</v>
      </c>
      <c r="AQ256" s="11">
        <f t="shared" si="367"/>
        <v>0</v>
      </c>
      <c r="AR256" s="13">
        <f t="shared" si="367"/>
        <v>0</v>
      </c>
      <c r="AS256" s="13">
        <f t="shared" si="367"/>
        <v>0</v>
      </c>
      <c r="AT256" s="11">
        <f t="shared" si="367"/>
        <v>0</v>
      </c>
      <c r="AU256" s="13">
        <f t="shared" si="367"/>
        <v>0</v>
      </c>
      <c r="AV256">
        <f t="shared" si="367"/>
        <v>0</v>
      </c>
      <c r="AW256" s="11">
        <f t="shared" si="367"/>
        <v>0</v>
      </c>
      <c r="AX256" s="13">
        <f t="shared" si="367"/>
        <v>0</v>
      </c>
      <c r="AY256" s="2">
        <f t="shared" si="367"/>
        <v>0</v>
      </c>
      <c r="AZ256" s="61">
        <f>AZ74</f>
        <v>1.5025619072578801E-2</v>
      </c>
      <c r="BA256" s="61">
        <f>AZ256</f>
        <v>1.5025619072578801E-2</v>
      </c>
      <c r="BB256" s="61">
        <f>AZ256</f>
        <v>1.5025619072578801E-2</v>
      </c>
      <c r="BC256">
        <f t="shared" ref="BC256" si="368">BC74</f>
        <v>0</v>
      </c>
      <c r="BD256">
        <f t="shared" si="301"/>
        <v>0</v>
      </c>
    </row>
    <row r="257" spans="1:56" x14ac:dyDescent="0.3">
      <c r="A257">
        <f t="shared" ref="A257:Z257" si="369">A75</f>
        <v>0</v>
      </c>
      <c r="B257">
        <f t="shared" si="369"/>
        <v>0</v>
      </c>
      <c r="C257">
        <f t="shared" si="369"/>
        <v>0</v>
      </c>
      <c r="D257" s="11">
        <f t="shared" si="369"/>
        <v>0</v>
      </c>
      <c r="E257">
        <f t="shared" si="369"/>
        <v>0</v>
      </c>
      <c r="F257">
        <f t="shared" si="369"/>
        <v>0</v>
      </c>
      <c r="G257">
        <f t="shared" si="369"/>
        <v>0</v>
      </c>
      <c r="H257" s="11">
        <f t="shared" si="369"/>
        <v>0</v>
      </c>
      <c r="I257">
        <f t="shared" si="369"/>
        <v>0</v>
      </c>
      <c r="J257">
        <f t="shared" si="369"/>
        <v>0</v>
      </c>
      <c r="K257" s="59" t="str">
        <f t="shared" si="369"/>
        <v>p2</v>
      </c>
      <c r="L257" s="60">
        <f t="shared" si="369"/>
        <v>0.38</v>
      </c>
      <c r="M257">
        <f t="shared" si="369"/>
        <v>0</v>
      </c>
      <c r="N257" s="11">
        <f t="shared" si="369"/>
        <v>0</v>
      </c>
      <c r="O257" s="13">
        <f t="shared" si="369"/>
        <v>0</v>
      </c>
      <c r="P257">
        <f t="shared" si="369"/>
        <v>0</v>
      </c>
      <c r="Q257" s="65" t="str">
        <f t="shared" si="369"/>
        <v>1-p6</v>
      </c>
      <c r="R257" s="67">
        <f t="shared" si="369"/>
        <v>0.49</v>
      </c>
      <c r="S257" s="438">
        <f t="shared" si="369"/>
        <v>0</v>
      </c>
      <c r="T257" s="18">
        <f t="shared" si="369"/>
        <v>0</v>
      </c>
      <c r="U257" s="438">
        <f t="shared" si="369"/>
        <v>0</v>
      </c>
      <c r="V257" s="359" t="str">
        <f t="shared" si="369"/>
        <v>ED</v>
      </c>
      <c r="W257" s="518">
        <f t="shared" si="369"/>
        <v>1564.2589857561568</v>
      </c>
      <c r="X257" s="518">
        <f>($L$254*$R$257*X258)+($L$254*X259)</f>
        <v>1424.5930048850714</v>
      </c>
      <c r="Y257" s="518">
        <f>($L$255*$R$257*Y258)+($L$255*Y259)</f>
        <v>1703.9249666272419</v>
      </c>
      <c r="Z257">
        <f t="shared" si="369"/>
        <v>0</v>
      </c>
      <c r="AA257">
        <f t="shared" si="298"/>
        <v>0</v>
      </c>
      <c r="AD257">
        <f t="shared" ref="AD257:AZ257" si="370">AD75</f>
        <v>0</v>
      </c>
      <c r="AE257">
        <f t="shared" si="370"/>
        <v>0</v>
      </c>
      <c r="AF257">
        <f t="shared" si="370"/>
        <v>0</v>
      </c>
      <c r="AG257" s="11">
        <f t="shared" si="370"/>
        <v>0</v>
      </c>
      <c r="AH257">
        <f t="shared" si="370"/>
        <v>0</v>
      </c>
      <c r="AI257">
        <f t="shared" si="370"/>
        <v>0</v>
      </c>
      <c r="AJ257">
        <f t="shared" si="370"/>
        <v>0</v>
      </c>
      <c r="AK257" s="11">
        <f t="shared" si="370"/>
        <v>0</v>
      </c>
      <c r="AL257">
        <f t="shared" si="370"/>
        <v>0</v>
      </c>
      <c r="AM257">
        <f t="shared" si="370"/>
        <v>0</v>
      </c>
      <c r="AN257" s="59" t="str">
        <f t="shared" si="370"/>
        <v>p2</v>
      </c>
      <c r="AO257" s="60">
        <f t="shared" si="370"/>
        <v>0.38</v>
      </c>
      <c r="AP257">
        <f t="shared" si="370"/>
        <v>0</v>
      </c>
      <c r="AQ257" s="11">
        <f t="shared" si="370"/>
        <v>0</v>
      </c>
      <c r="AR257" s="13">
        <f t="shared" si="370"/>
        <v>0</v>
      </c>
      <c r="AS257">
        <f t="shared" si="370"/>
        <v>0</v>
      </c>
      <c r="AT257" s="65" t="str">
        <f t="shared" si="370"/>
        <v>1-p6</v>
      </c>
      <c r="AU257" s="67">
        <f t="shared" si="370"/>
        <v>0.49</v>
      </c>
      <c r="AV257" s="500">
        <f t="shared" si="370"/>
        <v>0</v>
      </c>
      <c r="AW257" s="18">
        <f t="shared" si="370"/>
        <v>0</v>
      </c>
      <c r="AX257" s="500">
        <f t="shared" si="370"/>
        <v>0</v>
      </c>
      <c r="AY257" s="359" t="str">
        <f t="shared" si="370"/>
        <v>ED</v>
      </c>
      <c r="AZ257" s="518">
        <f t="shared" si="370"/>
        <v>613.67496954396802</v>
      </c>
      <c r="BA257" s="518">
        <f>($AO$254*$AU$257*BA258)+($AO$254*BA259)</f>
        <v>581.91025115144487</v>
      </c>
      <c r="BB257" s="518">
        <f>($AO$255*$AU$257*BB258)+($AO$255*BB259)</f>
        <v>696.01030039682587</v>
      </c>
      <c r="BC257">
        <f t="shared" ref="BC257" si="371">BC75</f>
        <v>0</v>
      </c>
      <c r="BD257">
        <f t="shared" si="301"/>
        <v>0</v>
      </c>
    </row>
    <row r="258" spans="1:56" x14ac:dyDescent="0.3">
      <c r="A258">
        <f t="shared" ref="A258:Z258" si="372">A76</f>
        <v>0</v>
      </c>
      <c r="B258">
        <f t="shared" si="372"/>
        <v>0</v>
      </c>
      <c r="C258">
        <f t="shared" si="372"/>
        <v>0</v>
      </c>
      <c r="D258" s="11">
        <f t="shared" si="372"/>
        <v>0</v>
      </c>
      <c r="E258">
        <f t="shared" si="372"/>
        <v>0</v>
      </c>
      <c r="F258">
        <f t="shared" si="372"/>
        <v>0</v>
      </c>
      <c r="G258">
        <f t="shared" si="372"/>
        <v>0</v>
      </c>
      <c r="H258" s="11">
        <f t="shared" si="372"/>
        <v>0</v>
      </c>
      <c r="I258">
        <f t="shared" si="372"/>
        <v>0</v>
      </c>
      <c r="J258">
        <f t="shared" si="372"/>
        <v>0</v>
      </c>
      <c r="K258" s="11">
        <f t="shared" si="372"/>
        <v>0</v>
      </c>
      <c r="L258">
        <f t="shared" si="372"/>
        <v>0</v>
      </c>
      <c r="N258" s="11"/>
      <c r="O258" s="13"/>
      <c r="Q258" s="514" t="str">
        <f t="shared" si="372"/>
        <v>MA attended for RSV due to Vaccine Failure &amp;</v>
      </c>
      <c r="R258" s="71">
        <f t="shared" si="372"/>
        <v>4470.5818310614904</v>
      </c>
      <c r="S258">
        <f t="shared" si="372"/>
        <v>0</v>
      </c>
      <c r="T258" s="11">
        <f t="shared" si="372"/>
        <v>0</v>
      </c>
      <c r="U258" s="13">
        <f t="shared" si="372"/>
        <v>0</v>
      </c>
      <c r="V258" s="2" t="str">
        <f t="shared" si="372"/>
        <v>p4b</v>
      </c>
      <c r="W258" s="61">
        <f>$W$76</f>
        <v>0.55998491824682028</v>
      </c>
      <c r="X258" s="61">
        <f t="shared" ref="X258:Y258" si="373">$W$76</f>
        <v>0.55998491824682028</v>
      </c>
      <c r="Y258" s="61">
        <f t="shared" si="373"/>
        <v>0.55998491824682028</v>
      </c>
      <c r="Z258">
        <f t="shared" si="372"/>
        <v>0</v>
      </c>
      <c r="AA258">
        <f t="shared" si="298"/>
        <v>0</v>
      </c>
      <c r="AD258">
        <f t="shared" ref="AD258:AO258" si="374">AD76</f>
        <v>0</v>
      </c>
      <c r="AE258">
        <f t="shared" si="374"/>
        <v>0</v>
      </c>
      <c r="AF258">
        <f t="shared" si="374"/>
        <v>0</v>
      </c>
      <c r="AG258" s="11">
        <f t="shared" si="374"/>
        <v>0</v>
      </c>
      <c r="AH258">
        <f t="shared" si="374"/>
        <v>0</v>
      </c>
      <c r="AI258">
        <f t="shared" si="374"/>
        <v>0</v>
      </c>
      <c r="AJ258">
        <f t="shared" si="374"/>
        <v>0</v>
      </c>
      <c r="AK258" s="11">
        <f t="shared" si="374"/>
        <v>0</v>
      </c>
      <c r="AL258">
        <f t="shared" si="374"/>
        <v>0</v>
      </c>
      <c r="AM258">
        <f t="shared" si="374"/>
        <v>0</v>
      </c>
      <c r="AN258" s="11">
        <f t="shared" si="374"/>
        <v>0</v>
      </c>
      <c r="AO258">
        <f t="shared" si="374"/>
        <v>0</v>
      </c>
      <c r="AQ258" s="11"/>
      <c r="AR258" s="13"/>
      <c r="AT258" s="514" t="str">
        <f t="shared" ref="AT258:AY258" si="375">AT76</f>
        <v>MA attended for RSV due to Vaccine Failure &amp;</v>
      </c>
      <c r="AU258" s="71" t="e">
        <f t="shared" si="375"/>
        <v>#REF!</v>
      </c>
      <c r="AV258">
        <f t="shared" si="375"/>
        <v>0</v>
      </c>
      <c r="AW258" s="11">
        <f t="shared" si="375"/>
        <v>0</v>
      </c>
      <c r="AX258" s="13">
        <f t="shared" si="375"/>
        <v>0</v>
      </c>
      <c r="AY258" s="2" t="str">
        <f t="shared" si="375"/>
        <v>p4b</v>
      </c>
      <c r="AZ258" s="61">
        <f>AZ76</f>
        <v>0.30439064631456758</v>
      </c>
      <c r="BA258" s="61">
        <f>AZ258</f>
        <v>0.30439064631456758</v>
      </c>
      <c r="BB258" s="61">
        <f>BA258</f>
        <v>0.30439064631456758</v>
      </c>
      <c r="BC258">
        <f t="shared" ref="BC258" si="376">BC76</f>
        <v>0</v>
      </c>
      <c r="BD258">
        <f t="shared" si="301"/>
        <v>0</v>
      </c>
    </row>
    <row r="259" spans="1:56" x14ac:dyDescent="0.3">
      <c r="A259">
        <f t="shared" ref="A259:Z259" si="377">A77</f>
        <v>0</v>
      </c>
      <c r="B259">
        <f t="shared" si="377"/>
        <v>0</v>
      </c>
      <c r="C259">
        <f t="shared" si="377"/>
        <v>0</v>
      </c>
      <c r="D259" s="11">
        <f t="shared" si="377"/>
        <v>0</v>
      </c>
      <c r="E259">
        <f t="shared" si="377"/>
        <v>0</v>
      </c>
      <c r="F259">
        <f t="shared" si="377"/>
        <v>0</v>
      </c>
      <c r="G259">
        <f t="shared" si="377"/>
        <v>0</v>
      </c>
      <c r="H259" s="11">
        <f t="shared" si="377"/>
        <v>0</v>
      </c>
      <c r="I259">
        <f t="shared" si="377"/>
        <v>0</v>
      </c>
      <c r="J259">
        <f t="shared" si="377"/>
        <v>0</v>
      </c>
      <c r="K259" s="11">
        <f t="shared" si="377"/>
        <v>0</v>
      </c>
      <c r="L259">
        <f t="shared" si="377"/>
        <v>0</v>
      </c>
      <c r="M259">
        <f t="shared" si="377"/>
        <v>0</v>
      </c>
      <c r="N259" s="11">
        <f t="shared" si="377"/>
        <v>0</v>
      </c>
      <c r="O259" s="13"/>
      <c r="Q259" s="2" t="str">
        <f t="shared" si="377"/>
        <v>post-immun. protection period</v>
      </c>
      <c r="R259" s="13">
        <f t="shared" si="377"/>
        <v>0</v>
      </c>
      <c r="S259">
        <f t="shared" si="377"/>
        <v>0</v>
      </c>
      <c r="T259" s="11">
        <f t="shared" si="377"/>
        <v>0</v>
      </c>
      <c r="U259" s="13">
        <f t="shared" si="377"/>
        <v>0</v>
      </c>
      <c r="V259" s="2">
        <f t="shared" si="377"/>
        <v>0</v>
      </c>
      <c r="W259" s="61">
        <f>$W$77</f>
        <v>0.10579471295971989</v>
      </c>
      <c r="X259" s="61">
        <f t="shared" ref="X259:Y259" si="378">$W$77</f>
        <v>0.10579471295971989</v>
      </c>
      <c r="Y259" s="61">
        <f t="shared" si="378"/>
        <v>0.10579471295971989</v>
      </c>
      <c r="Z259">
        <f t="shared" si="377"/>
        <v>0</v>
      </c>
      <c r="AA259">
        <f t="shared" si="298"/>
        <v>0</v>
      </c>
      <c r="AD259">
        <f t="shared" ref="AD259:AQ259" si="379">AD77</f>
        <v>0</v>
      </c>
      <c r="AE259">
        <f t="shared" si="379"/>
        <v>0</v>
      </c>
      <c r="AF259">
        <f t="shared" si="379"/>
        <v>0</v>
      </c>
      <c r="AG259" s="11">
        <f t="shared" si="379"/>
        <v>0</v>
      </c>
      <c r="AH259">
        <f t="shared" si="379"/>
        <v>0</v>
      </c>
      <c r="AI259">
        <f t="shared" si="379"/>
        <v>0</v>
      </c>
      <c r="AJ259">
        <f t="shared" si="379"/>
        <v>0</v>
      </c>
      <c r="AK259" s="11">
        <f t="shared" si="379"/>
        <v>0</v>
      </c>
      <c r="AL259">
        <f t="shared" si="379"/>
        <v>0</v>
      </c>
      <c r="AM259">
        <f t="shared" si="379"/>
        <v>0</v>
      </c>
      <c r="AN259" s="11">
        <f t="shared" si="379"/>
        <v>0</v>
      </c>
      <c r="AO259">
        <f t="shared" si="379"/>
        <v>0</v>
      </c>
      <c r="AP259">
        <f t="shared" si="379"/>
        <v>0</v>
      </c>
      <c r="AQ259" s="11">
        <f t="shared" si="379"/>
        <v>0</v>
      </c>
      <c r="AR259" s="13"/>
      <c r="AT259" s="2" t="str">
        <f t="shared" ref="AT259:AY259" si="380">AT77</f>
        <v>post-immun. protection period</v>
      </c>
      <c r="AU259" s="13">
        <f t="shared" si="380"/>
        <v>0</v>
      </c>
      <c r="AV259">
        <f t="shared" si="380"/>
        <v>0</v>
      </c>
      <c r="AW259" s="11">
        <f t="shared" si="380"/>
        <v>0</v>
      </c>
      <c r="AX259" s="13">
        <f t="shared" si="380"/>
        <v>0</v>
      </c>
      <c r="AY259" s="2">
        <f t="shared" si="380"/>
        <v>0</v>
      </c>
      <c r="AZ259" s="61">
        <f>AZ77</f>
        <v>6.1454995444528478E-3</v>
      </c>
      <c r="BA259" s="61">
        <f>AZ259</f>
        <v>6.1454995444528478E-3</v>
      </c>
      <c r="BB259" s="61">
        <f>AZ259</f>
        <v>6.1454995444528478E-3</v>
      </c>
      <c r="BC259">
        <f t="shared" ref="BC259" si="381">BC77</f>
        <v>0</v>
      </c>
      <c r="BD259">
        <f t="shared" si="301"/>
        <v>0</v>
      </c>
    </row>
    <row r="260" spans="1:56" x14ac:dyDescent="0.3">
      <c r="A260">
        <f t="shared" ref="A260:Z260" si="382">A78</f>
        <v>0</v>
      </c>
      <c r="B260">
        <f t="shared" si="382"/>
        <v>0</v>
      </c>
      <c r="C260">
        <f t="shared" si="382"/>
        <v>0</v>
      </c>
      <c r="D260" s="11">
        <f t="shared" si="382"/>
        <v>0</v>
      </c>
      <c r="E260">
        <f t="shared" si="382"/>
        <v>0</v>
      </c>
      <c r="F260">
        <f t="shared" si="382"/>
        <v>0</v>
      </c>
      <c r="G260">
        <f t="shared" si="382"/>
        <v>0</v>
      </c>
      <c r="H260" s="11">
        <f t="shared" si="382"/>
        <v>0</v>
      </c>
      <c r="I260">
        <f t="shared" si="382"/>
        <v>0</v>
      </c>
      <c r="J260">
        <f t="shared" si="382"/>
        <v>0</v>
      </c>
      <c r="K260" s="11">
        <f t="shared" si="382"/>
        <v>0</v>
      </c>
      <c r="L260">
        <f t="shared" si="382"/>
        <v>0</v>
      </c>
      <c r="M260">
        <f t="shared" si="382"/>
        <v>0</v>
      </c>
      <c r="N260" s="11">
        <f t="shared" si="382"/>
        <v>0</v>
      </c>
      <c r="O260">
        <f t="shared" si="382"/>
        <v>0</v>
      </c>
      <c r="P260">
        <f t="shared" si="382"/>
        <v>0</v>
      </c>
      <c r="Q260">
        <f t="shared" si="382"/>
        <v>0</v>
      </c>
      <c r="R260">
        <f t="shared" si="382"/>
        <v>0</v>
      </c>
      <c r="S260">
        <f t="shared" si="382"/>
        <v>0</v>
      </c>
      <c r="T260" s="18">
        <f t="shared" si="382"/>
        <v>0</v>
      </c>
      <c r="U260" s="233"/>
      <c r="V260" s="359" t="str">
        <f t="shared" si="382"/>
        <v>Hospitalized</v>
      </c>
      <c r="W260" s="519">
        <f t="shared" si="382"/>
        <v>380.58551892485076</v>
      </c>
      <c r="X260" s="518">
        <f>($L$254*$R$257*X261)+($L$254*X262)</f>
        <v>346.60466902084625</v>
      </c>
      <c r="Y260" s="518">
        <f>($L$255*$R$257*Y261)+($L$255*Y262)</f>
        <v>414.56636882885516</v>
      </c>
      <c r="Z260">
        <f t="shared" si="382"/>
        <v>0</v>
      </c>
      <c r="AA260">
        <f t="shared" si="298"/>
        <v>0</v>
      </c>
      <c r="AD260">
        <f t="shared" ref="AD260:AW260" si="383">AD78</f>
        <v>0</v>
      </c>
      <c r="AE260">
        <f t="shared" si="383"/>
        <v>0</v>
      </c>
      <c r="AF260">
        <f t="shared" si="383"/>
        <v>0</v>
      </c>
      <c r="AG260" s="11">
        <f t="shared" si="383"/>
        <v>0</v>
      </c>
      <c r="AH260">
        <f t="shared" si="383"/>
        <v>0</v>
      </c>
      <c r="AI260">
        <f t="shared" si="383"/>
        <v>0</v>
      </c>
      <c r="AJ260">
        <f t="shared" si="383"/>
        <v>0</v>
      </c>
      <c r="AK260" s="11">
        <f t="shared" si="383"/>
        <v>0</v>
      </c>
      <c r="AL260">
        <f t="shared" si="383"/>
        <v>0</v>
      </c>
      <c r="AM260">
        <f t="shared" si="383"/>
        <v>0</v>
      </c>
      <c r="AN260" s="11">
        <f t="shared" si="383"/>
        <v>0</v>
      </c>
      <c r="AO260">
        <f t="shared" si="383"/>
        <v>0</v>
      </c>
      <c r="AP260">
        <f t="shared" si="383"/>
        <v>0</v>
      </c>
      <c r="AQ260" s="11">
        <f t="shared" si="383"/>
        <v>0</v>
      </c>
      <c r="AR260">
        <f t="shared" si="383"/>
        <v>0</v>
      </c>
      <c r="AS260">
        <f t="shared" si="383"/>
        <v>0</v>
      </c>
      <c r="AT260">
        <f t="shared" si="383"/>
        <v>0</v>
      </c>
      <c r="AU260">
        <f t="shared" si="383"/>
        <v>0</v>
      </c>
      <c r="AV260">
        <f t="shared" si="383"/>
        <v>0</v>
      </c>
      <c r="AW260" s="18">
        <f t="shared" si="383"/>
        <v>0</v>
      </c>
      <c r="AX260" s="233"/>
      <c r="AY260" s="359" t="str">
        <f t="shared" ref="AY260:AZ260" si="384">AY78</f>
        <v>Hospitalized</v>
      </c>
      <c r="AZ260" s="519">
        <f t="shared" si="384"/>
        <v>84.641768352892228</v>
      </c>
      <c r="BA260" s="518">
        <f>($AO$254*$AU$257*BA261)+($AO$254*BA262)</f>
        <v>80.090486045193956</v>
      </c>
      <c r="BB260" s="518">
        <f>($AO$255*$AU$257*BB261)+($AO$255*BB262)</f>
        <v>95.794502916800582</v>
      </c>
      <c r="BC260">
        <f t="shared" ref="BC260" si="385">BC78</f>
        <v>0</v>
      </c>
      <c r="BD260">
        <f t="shared" si="301"/>
        <v>0</v>
      </c>
    </row>
    <row r="261" spans="1:56" x14ac:dyDescent="0.3">
      <c r="A261">
        <f t="shared" ref="A261:Z261" si="386">A79</f>
        <v>0</v>
      </c>
      <c r="B261">
        <f t="shared" si="386"/>
        <v>0</v>
      </c>
      <c r="C261">
        <f t="shared" si="386"/>
        <v>0</v>
      </c>
      <c r="D261" s="11">
        <f t="shared" si="386"/>
        <v>0</v>
      </c>
      <c r="E261">
        <f t="shared" si="386"/>
        <v>0</v>
      </c>
      <c r="F261">
        <f t="shared" si="386"/>
        <v>0</v>
      </c>
      <c r="G261">
        <f t="shared" si="386"/>
        <v>0</v>
      </c>
      <c r="H261" s="11">
        <f t="shared" si="386"/>
        <v>0</v>
      </c>
      <c r="I261">
        <f t="shared" si="386"/>
        <v>0</v>
      </c>
      <c r="J261">
        <f t="shared" si="386"/>
        <v>0</v>
      </c>
      <c r="K261" s="11">
        <f t="shared" si="386"/>
        <v>0</v>
      </c>
      <c r="L261">
        <f t="shared" si="386"/>
        <v>0</v>
      </c>
      <c r="M261">
        <f t="shared" si="386"/>
        <v>0</v>
      </c>
      <c r="N261" s="18">
        <f t="shared" si="386"/>
        <v>0</v>
      </c>
      <c r="O261" s="438">
        <f t="shared" si="386"/>
        <v>0</v>
      </c>
      <c r="P261" s="438">
        <f t="shared" si="386"/>
        <v>0</v>
      </c>
      <c r="Q261">
        <f t="shared" si="386"/>
        <v>0</v>
      </c>
      <c r="R261">
        <f t="shared" si="386"/>
        <v>0</v>
      </c>
      <c r="S261">
        <f t="shared" si="386"/>
        <v>0</v>
      </c>
      <c r="T261">
        <f t="shared" si="386"/>
        <v>0</v>
      </c>
      <c r="U261">
        <f t="shared" si="386"/>
        <v>0</v>
      </c>
      <c r="V261" s="2" t="str">
        <f t="shared" si="386"/>
        <v>p4c</v>
      </c>
      <c r="W261" s="61">
        <f>$W$79</f>
        <v>0.16641351979207206</v>
      </c>
      <c r="X261" s="61">
        <f t="shared" ref="X261:Y261" si="387">$W$79</f>
        <v>0.16641351979207206</v>
      </c>
      <c r="Y261" s="61">
        <f t="shared" si="387"/>
        <v>0.16641351979207206</v>
      </c>
      <c r="Z261">
        <f t="shared" si="386"/>
        <v>0</v>
      </c>
      <c r="AA261">
        <f t="shared" si="298"/>
        <v>0</v>
      </c>
      <c r="AD261">
        <f t="shared" ref="AD261:AY261" si="388">AD79</f>
        <v>0</v>
      </c>
      <c r="AE261">
        <f t="shared" si="388"/>
        <v>0</v>
      </c>
      <c r="AF261">
        <f t="shared" si="388"/>
        <v>0</v>
      </c>
      <c r="AG261" s="11">
        <f t="shared" si="388"/>
        <v>0</v>
      </c>
      <c r="AH261">
        <f t="shared" si="388"/>
        <v>0</v>
      </c>
      <c r="AI261">
        <f t="shared" si="388"/>
        <v>0</v>
      </c>
      <c r="AJ261">
        <f t="shared" si="388"/>
        <v>0</v>
      </c>
      <c r="AK261" s="11">
        <f t="shared" si="388"/>
        <v>0</v>
      </c>
      <c r="AL261">
        <f t="shared" si="388"/>
        <v>0</v>
      </c>
      <c r="AM261">
        <f t="shared" si="388"/>
        <v>0</v>
      </c>
      <c r="AN261" s="11">
        <f t="shared" si="388"/>
        <v>0</v>
      </c>
      <c r="AO261">
        <f t="shared" si="388"/>
        <v>0</v>
      </c>
      <c r="AP261">
        <f t="shared" si="388"/>
        <v>0</v>
      </c>
      <c r="AQ261" s="18">
        <f t="shared" si="388"/>
        <v>0</v>
      </c>
      <c r="AR261" s="500">
        <f t="shared" si="388"/>
        <v>0</v>
      </c>
      <c r="AS261" s="500">
        <f t="shared" si="388"/>
        <v>0</v>
      </c>
      <c r="AT261">
        <f t="shared" si="388"/>
        <v>0</v>
      </c>
      <c r="AU261">
        <f t="shared" si="388"/>
        <v>0</v>
      </c>
      <c r="AV261">
        <f t="shared" si="388"/>
        <v>0</v>
      </c>
      <c r="AW261">
        <f t="shared" si="388"/>
        <v>0</v>
      </c>
      <c r="AX261">
        <f t="shared" si="388"/>
        <v>0</v>
      </c>
      <c r="AY261" s="2" t="str">
        <f t="shared" si="388"/>
        <v>p4c</v>
      </c>
      <c r="AZ261" s="61">
        <f>AZ79</f>
        <v>4.1983401397796216E-2</v>
      </c>
      <c r="BA261" s="61">
        <f>AZ261</f>
        <v>4.1983401397796216E-2</v>
      </c>
      <c r="BB261" s="61">
        <f>BA261</f>
        <v>4.1983401397796216E-2</v>
      </c>
      <c r="BC261">
        <f t="shared" ref="BC261" si="389">BC79</f>
        <v>0</v>
      </c>
      <c r="BD261">
        <f t="shared" si="301"/>
        <v>0</v>
      </c>
    </row>
    <row r="262" spans="1:56" x14ac:dyDescent="0.3">
      <c r="A262">
        <f t="shared" ref="A262:Z262" si="390">A80</f>
        <v>0</v>
      </c>
      <c r="B262">
        <f t="shared" si="390"/>
        <v>0</v>
      </c>
      <c r="C262">
        <f t="shared" si="390"/>
        <v>0</v>
      </c>
      <c r="D262" s="11">
        <f t="shared" si="390"/>
        <v>0</v>
      </c>
      <c r="E262">
        <f t="shared" si="390"/>
        <v>0</v>
      </c>
      <c r="F262">
        <f t="shared" si="390"/>
        <v>0</v>
      </c>
      <c r="G262">
        <f t="shared" si="390"/>
        <v>0</v>
      </c>
      <c r="H262" s="59" t="str">
        <f t="shared" si="390"/>
        <v>p1</v>
      </c>
      <c r="I262" s="281">
        <f t="shared" si="390"/>
        <v>9.7999999999999997E-3</v>
      </c>
      <c r="J262" s="51">
        <f t="shared" si="390"/>
        <v>0</v>
      </c>
      <c r="K262" s="11">
        <f t="shared" si="390"/>
        <v>0</v>
      </c>
      <c r="L262">
        <f t="shared" si="390"/>
        <v>0</v>
      </c>
      <c r="N262" s="2" t="str">
        <f t="shared" si="390"/>
        <v>Not MA for RSV</v>
      </c>
      <c r="O262" s="63" t="str">
        <f t="shared" si="390"/>
        <v>unknown</v>
      </c>
      <c r="P262" s="13">
        <f t="shared" si="390"/>
        <v>0</v>
      </c>
      <c r="Q262">
        <f t="shared" si="390"/>
        <v>0</v>
      </c>
      <c r="R262">
        <f t="shared" si="390"/>
        <v>0</v>
      </c>
      <c r="S262">
        <f t="shared" si="390"/>
        <v>0</v>
      </c>
      <c r="T262">
        <f t="shared" si="390"/>
        <v>0</v>
      </c>
      <c r="U262">
        <f t="shared" si="390"/>
        <v>0</v>
      </c>
      <c r="V262">
        <f t="shared" si="390"/>
        <v>0</v>
      </c>
      <c r="W262" s="61">
        <f>$W$80</f>
        <v>1.095726879289363E-2</v>
      </c>
      <c r="X262" s="61">
        <f t="shared" ref="X262:Y262" si="391">$W$80</f>
        <v>1.095726879289363E-2</v>
      </c>
      <c r="Y262" s="61">
        <f t="shared" si="391"/>
        <v>1.095726879289363E-2</v>
      </c>
      <c r="Z262">
        <f t="shared" si="390"/>
        <v>0</v>
      </c>
      <c r="AA262">
        <f t="shared" si="298"/>
        <v>0</v>
      </c>
      <c r="AD262">
        <f t="shared" ref="AD262:AO262" si="392">AD80</f>
        <v>0</v>
      </c>
      <c r="AE262">
        <f t="shared" si="392"/>
        <v>0</v>
      </c>
      <c r="AF262">
        <f t="shared" si="392"/>
        <v>0</v>
      </c>
      <c r="AG262" s="11">
        <f t="shared" si="392"/>
        <v>0</v>
      </c>
      <c r="AH262">
        <f t="shared" si="392"/>
        <v>0</v>
      </c>
      <c r="AI262">
        <f t="shared" si="392"/>
        <v>0</v>
      </c>
      <c r="AJ262">
        <f t="shared" si="392"/>
        <v>0</v>
      </c>
      <c r="AK262" s="59" t="str">
        <f t="shared" si="392"/>
        <v>p1</v>
      </c>
      <c r="AL262" s="281">
        <f>I262</f>
        <v>9.7999999999999997E-3</v>
      </c>
      <c r="AM262" s="51">
        <f t="shared" si="392"/>
        <v>0</v>
      </c>
      <c r="AN262" s="11">
        <f t="shared" si="392"/>
        <v>0</v>
      </c>
      <c r="AO262">
        <f t="shared" si="392"/>
        <v>0</v>
      </c>
      <c r="AQ262" s="2" t="str">
        <f t="shared" ref="AQ262:AY262" si="393">AQ80</f>
        <v>Not MA for RSV</v>
      </c>
      <c r="AR262" s="63" t="str">
        <f t="shared" si="393"/>
        <v>unknown</v>
      </c>
      <c r="AS262" s="13">
        <f t="shared" si="393"/>
        <v>0</v>
      </c>
      <c r="AT262">
        <f t="shared" si="393"/>
        <v>0</v>
      </c>
      <c r="AU262">
        <f t="shared" si="393"/>
        <v>0</v>
      </c>
      <c r="AV262">
        <f t="shared" si="393"/>
        <v>0</v>
      </c>
      <c r="AW262">
        <f t="shared" si="393"/>
        <v>0</v>
      </c>
      <c r="AX262">
        <f t="shared" si="393"/>
        <v>0</v>
      </c>
      <c r="AY262">
        <f t="shared" si="393"/>
        <v>0</v>
      </c>
      <c r="AZ262" s="61">
        <f>AZ80</f>
        <v>8.0222919714660352E-4</v>
      </c>
      <c r="BA262" s="61">
        <f>AZ262</f>
        <v>8.0222919714660352E-4</v>
      </c>
      <c r="BB262" s="61">
        <f>AZ262</f>
        <v>8.0222919714660352E-4</v>
      </c>
      <c r="BC262">
        <f t="shared" ref="BC262" si="394">BC80</f>
        <v>0</v>
      </c>
      <c r="BD262">
        <f t="shared" si="301"/>
        <v>0</v>
      </c>
    </row>
    <row r="263" spans="1:56" x14ac:dyDescent="0.3">
      <c r="A263">
        <f t="shared" ref="A263:Z263" si="395">A81</f>
        <v>0</v>
      </c>
      <c r="B263">
        <f t="shared" si="395"/>
        <v>0</v>
      </c>
      <c r="C263">
        <f t="shared" si="395"/>
        <v>0</v>
      </c>
      <c r="D263" s="11">
        <f t="shared" si="395"/>
        <v>0</v>
      </c>
      <c r="H263" s="15" t="str">
        <f t="shared" si="395"/>
        <v>WiS high-risk births obtaining Mat Cand.</v>
      </c>
      <c r="I263" s="28">
        <f t="shared" si="395"/>
        <v>10827.481</v>
      </c>
      <c r="J263">
        <f t="shared" si="395"/>
        <v>0</v>
      </c>
      <c r="K263" s="11">
        <f t="shared" si="395"/>
        <v>0</v>
      </c>
      <c r="L263">
        <f t="shared" si="395"/>
        <v>0</v>
      </c>
      <c r="M263">
        <f t="shared" si="395"/>
        <v>0</v>
      </c>
      <c r="N263">
        <f t="shared" si="395"/>
        <v>0</v>
      </c>
      <c r="O263">
        <f t="shared" si="395"/>
        <v>0</v>
      </c>
      <c r="P263">
        <f t="shared" si="395"/>
        <v>0</v>
      </c>
      <c r="Q263">
        <f t="shared" si="395"/>
        <v>0</v>
      </c>
      <c r="R263">
        <f t="shared" si="395"/>
        <v>0</v>
      </c>
      <c r="S263">
        <f t="shared" si="395"/>
        <v>0</v>
      </c>
      <c r="T263">
        <f t="shared" si="395"/>
        <v>0</v>
      </c>
      <c r="U263">
        <f t="shared" si="395"/>
        <v>0</v>
      </c>
      <c r="V263">
        <f t="shared" si="395"/>
        <v>0</v>
      </c>
      <c r="W263">
        <f t="shared" si="395"/>
        <v>0</v>
      </c>
      <c r="X263">
        <f t="shared" si="395"/>
        <v>0</v>
      </c>
      <c r="Y263">
        <f t="shared" si="395"/>
        <v>0</v>
      </c>
      <c r="Z263">
        <f t="shared" si="395"/>
        <v>0</v>
      </c>
      <c r="AA263">
        <f t="shared" si="298"/>
        <v>0</v>
      </c>
      <c r="AD263">
        <f t="shared" ref="AD263:AG263" si="396">AD81</f>
        <v>0</v>
      </c>
      <c r="AE263">
        <f t="shared" si="396"/>
        <v>0</v>
      </c>
      <c r="AF263">
        <f t="shared" si="396"/>
        <v>0</v>
      </c>
      <c r="AG263" s="11">
        <f t="shared" si="396"/>
        <v>0</v>
      </c>
      <c r="AK263" s="15" t="str">
        <f t="shared" ref="AK263:BC263" si="397">AK81</f>
        <v>OoS high-risk births obtaining Mat Cand.</v>
      </c>
      <c r="AL263" s="28">
        <f t="shared" si="397"/>
        <v>10827.481</v>
      </c>
      <c r="AM263">
        <f t="shared" si="397"/>
        <v>0</v>
      </c>
      <c r="AN263" s="11">
        <f t="shared" si="397"/>
        <v>0</v>
      </c>
      <c r="AO263">
        <f t="shared" si="397"/>
        <v>0</v>
      </c>
      <c r="AP263">
        <f t="shared" si="397"/>
        <v>0</v>
      </c>
      <c r="AQ263">
        <f t="shared" si="397"/>
        <v>0</v>
      </c>
      <c r="AR263">
        <f t="shared" si="397"/>
        <v>0</v>
      </c>
      <c r="AS263">
        <f t="shared" si="397"/>
        <v>0</v>
      </c>
      <c r="AT263">
        <f t="shared" si="397"/>
        <v>0</v>
      </c>
      <c r="AU263">
        <f t="shared" si="397"/>
        <v>0</v>
      </c>
      <c r="AV263">
        <f t="shared" si="397"/>
        <v>0</v>
      </c>
      <c r="AW263">
        <f t="shared" si="397"/>
        <v>0</v>
      </c>
      <c r="AX263">
        <f t="shared" si="397"/>
        <v>0</v>
      </c>
      <c r="AY263">
        <f t="shared" si="397"/>
        <v>0</v>
      </c>
      <c r="AZ263">
        <f t="shared" si="397"/>
        <v>0</v>
      </c>
      <c r="BA263">
        <f t="shared" si="397"/>
        <v>0</v>
      </c>
      <c r="BB263">
        <f t="shared" si="397"/>
        <v>0</v>
      </c>
      <c r="BC263">
        <f t="shared" si="397"/>
        <v>0</v>
      </c>
      <c r="BD263">
        <f t="shared" si="301"/>
        <v>0</v>
      </c>
    </row>
    <row r="264" spans="1:56" x14ac:dyDescent="0.3">
      <c r="A264">
        <f t="shared" ref="A264:Z264" si="398">A82</f>
        <v>0</v>
      </c>
      <c r="B264">
        <f t="shared" si="398"/>
        <v>0</v>
      </c>
      <c r="C264">
        <f t="shared" si="398"/>
        <v>0</v>
      </c>
      <c r="D264" s="11">
        <f t="shared" si="398"/>
        <v>0</v>
      </c>
      <c r="E264">
        <f t="shared" si="398"/>
        <v>0</v>
      </c>
      <c r="F264">
        <f t="shared" si="398"/>
        <v>0</v>
      </c>
      <c r="H264" s="2" t="s">
        <v>263</v>
      </c>
      <c r="I264" s="8">
        <f>(F235/12*'Input 4_RSV Season'!$AG$27)*$I$262</f>
        <v>9860.7416250000006</v>
      </c>
      <c r="J264">
        <f t="shared" si="398"/>
        <v>0</v>
      </c>
      <c r="K264" s="11">
        <f t="shared" si="398"/>
        <v>0</v>
      </c>
      <c r="L264">
        <f t="shared" si="398"/>
        <v>0</v>
      </c>
      <c r="M264">
        <f t="shared" si="398"/>
        <v>0</v>
      </c>
      <c r="N264">
        <f t="shared" si="398"/>
        <v>0</v>
      </c>
      <c r="O264">
        <f t="shared" si="398"/>
        <v>0</v>
      </c>
      <c r="P264">
        <f t="shared" si="398"/>
        <v>0</v>
      </c>
      <c r="Q264">
        <f t="shared" si="398"/>
        <v>0</v>
      </c>
      <c r="R264">
        <f t="shared" si="398"/>
        <v>0</v>
      </c>
      <c r="S264">
        <f t="shared" si="398"/>
        <v>0</v>
      </c>
      <c r="T264">
        <f t="shared" si="398"/>
        <v>0</v>
      </c>
      <c r="U264">
        <f t="shared" si="398"/>
        <v>0</v>
      </c>
      <c r="V264">
        <f t="shared" si="398"/>
        <v>0</v>
      </c>
      <c r="W264">
        <f t="shared" si="398"/>
        <v>0</v>
      </c>
      <c r="X264">
        <f t="shared" si="398"/>
        <v>0</v>
      </c>
      <c r="Y264">
        <f t="shared" si="398"/>
        <v>0</v>
      </c>
      <c r="Z264">
        <f t="shared" si="398"/>
        <v>0</v>
      </c>
      <c r="AA264">
        <f t="shared" si="298"/>
        <v>0</v>
      </c>
      <c r="AD264">
        <f t="shared" ref="AD264:AI264" si="399">AD82</f>
        <v>0</v>
      </c>
      <c r="AE264">
        <f t="shared" si="399"/>
        <v>0</v>
      </c>
      <c r="AF264">
        <f t="shared" si="399"/>
        <v>0</v>
      </c>
      <c r="AG264" s="11">
        <f t="shared" si="399"/>
        <v>0</v>
      </c>
      <c r="AH264">
        <f t="shared" si="399"/>
        <v>0</v>
      </c>
      <c r="AI264">
        <f t="shared" si="399"/>
        <v>0</v>
      </c>
      <c r="AJ264" s="2" t="s">
        <v>315</v>
      </c>
      <c r="AK264" s="2" t="s">
        <v>263</v>
      </c>
      <c r="AL264" s="8">
        <f>(AI235/12*(12-'Input 4_RSV Season'!$AG$27))*$AL$262</f>
        <v>9860.7416250000006</v>
      </c>
      <c r="AM264">
        <f t="shared" ref="AM264:BC264" si="400">AM82</f>
        <v>0</v>
      </c>
      <c r="AN264" s="11">
        <f t="shared" si="400"/>
        <v>0</v>
      </c>
      <c r="AO264">
        <f t="shared" si="400"/>
        <v>0</v>
      </c>
      <c r="AP264">
        <f t="shared" si="400"/>
        <v>0</v>
      </c>
      <c r="AQ264">
        <f t="shared" si="400"/>
        <v>0</v>
      </c>
      <c r="AR264">
        <f t="shared" si="400"/>
        <v>0</v>
      </c>
      <c r="AS264">
        <f t="shared" si="400"/>
        <v>0</v>
      </c>
      <c r="AT264">
        <f t="shared" si="400"/>
        <v>0</v>
      </c>
      <c r="AU264">
        <f t="shared" si="400"/>
        <v>0</v>
      </c>
      <c r="AV264">
        <f t="shared" si="400"/>
        <v>0</v>
      </c>
      <c r="AW264">
        <f t="shared" si="400"/>
        <v>0</v>
      </c>
      <c r="AX264">
        <f t="shared" si="400"/>
        <v>0</v>
      </c>
      <c r="AY264">
        <f t="shared" si="400"/>
        <v>0</v>
      </c>
      <c r="AZ264">
        <f t="shared" si="400"/>
        <v>0</v>
      </c>
      <c r="BA264">
        <f t="shared" si="400"/>
        <v>0</v>
      </c>
      <c r="BB264">
        <f t="shared" si="400"/>
        <v>0</v>
      </c>
      <c r="BC264">
        <f t="shared" si="400"/>
        <v>0</v>
      </c>
      <c r="BD264">
        <f t="shared" si="301"/>
        <v>0</v>
      </c>
    </row>
    <row r="265" spans="1:56" x14ac:dyDescent="0.3">
      <c r="A265">
        <f t="shared" ref="A265:Z265" si="401">A83</f>
        <v>0</v>
      </c>
      <c r="B265">
        <f t="shared" si="401"/>
        <v>0</v>
      </c>
      <c r="C265">
        <f t="shared" si="401"/>
        <v>0</v>
      </c>
      <c r="D265" s="11">
        <f t="shared" si="401"/>
        <v>0</v>
      </c>
      <c r="E265">
        <f t="shared" si="401"/>
        <v>0</v>
      </c>
      <c r="F265">
        <f t="shared" si="401"/>
        <v>0</v>
      </c>
      <c r="H265" s="2" t="s">
        <v>264</v>
      </c>
      <c r="I265" s="8">
        <f>(F236/12*'Input 4_RSV Season'!$AG$27)*$I$262</f>
        <v>11794.220374999999</v>
      </c>
      <c r="J265">
        <f t="shared" si="401"/>
        <v>0</v>
      </c>
      <c r="K265" s="11">
        <f t="shared" si="401"/>
        <v>0</v>
      </c>
      <c r="L265">
        <f t="shared" si="401"/>
        <v>0</v>
      </c>
      <c r="N265" s="2" t="str">
        <f t="shared" si="401"/>
        <v>Not MA for RSV</v>
      </c>
      <c r="O265" s="62" t="str">
        <f t="shared" si="401"/>
        <v>unknown</v>
      </c>
      <c r="P265">
        <f t="shared" si="401"/>
        <v>0</v>
      </c>
      <c r="Q265">
        <f t="shared" si="401"/>
        <v>0</v>
      </c>
      <c r="R265">
        <f t="shared" si="401"/>
        <v>0</v>
      </c>
      <c r="S265">
        <f t="shared" si="401"/>
        <v>0</v>
      </c>
      <c r="T265">
        <f t="shared" si="401"/>
        <v>0</v>
      </c>
      <c r="U265">
        <f t="shared" si="401"/>
        <v>0</v>
      </c>
      <c r="V265">
        <f t="shared" si="401"/>
        <v>0</v>
      </c>
      <c r="W265">
        <f t="shared" si="401"/>
        <v>0</v>
      </c>
      <c r="X265">
        <f t="shared" si="401"/>
        <v>0</v>
      </c>
      <c r="Y265">
        <f t="shared" si="401"/>
        <v>0</v>
      </c>
      <c r="Z265">
        <f t="shared" si="401"/>
        <v>0</v>
      </c>
      <c r="AA265">
        <f t="shared" si="298"/>
        <v>0</v>
      </c>
      <c r="AD265">
        <f t="shared" ref="AD265:AI265" si="402">AD83</f>
        <v>0</v>
      </c>
      <c r="AE265">
        <f t="shared" si="402"/>
        <v>0</v>
      </c>
      <c r="AF265">
        <f t="shared" si="402"/>
        <v>0</v>
      </c>
      <c r="AG265" s="11">
        <f t="shared" si="402"/>
        <v>0</v>
      </c>
      <c r="AH265">
        <f t="shared" si="402"/>
        <v>0</v>
      </c>
      <c r="AI265">
        <f t="shared" si="402"/>
        <v>0</v>
      </c>
      <c r="AJ265" s="2" t="s">
        <v>315</v>
      </c>
      <c r="AK265" s="2" t="s">
        <v>264</v>
      </c>
      <c r="AL265" s="8">
        <f>(AI236/12*(12-'Input 4_RSV Season'!$AG$27))*$AL$262</f>
        <v>11794.220374999999</v>
      </c>
      <c r="AM265">
        <f t="shared" ref="AM265:AO265" si="403">AM83</f>
        <v>0</v>
      </c>
      <c r="AN265" s="11">
        <f t="shared" si="403"/>
        <v>0</v>
      </c>
      <c r="AO265">
        <f t="shared" si="403"/>
        <v>0</v>
      </c>
      <c r="AQ265" s="2" t="str">
        <f t="shared" ref="AQ265:BC265" si="404">AQ83</f>
        <v>Not MA for RSV</v>
      </c>
      <c r="AR265" s="62" t="str">
        <f t="shared" si="404"/>
        <v>unknown</v>
      </c>
      <c r="AS265">
        <f t="shared" si="404"/>
        <v>0</v>
      </c>
      <c r="AT265">
        <f t="shared" si="404"/>
        <v>0</v>
      </c>
      <c r="AU265">
        <f t="shared" si="404"/>
        <v>0</v>
      </c>
      <c r="AV265">
        <f t="shared" si="404"/>
        <v>0</v>
      </c>
      <c r="AW265">
        <f t="shared" si="404"/>
        <v>0</v>
      </c>
      <c r="AX265">
        <f t="shared" si="404"/>
        <v>0</v>
      </c>
      <c r="AY265">
        <f t="shared" si="404"/>
        <v>0</v>
      </c>
      <c r="AZ265">
        <f t="shared" si="404"/>
        <v>0</v>
      </c>
      <c r="BA265">
        <f t="shared" si="404"/>
        <v>0</v>
      </c>
      <c r="BB265">
        <f t="shared" si="404"/>
        <v>0</v>
      </c>
      <c r="BC265">
        <f t="shared" si="404"/>
        <v>0</v>
      </c>
      <c r="BD265">
        <f t="shared" si="301"/>
        <v>0</v>
      </c>
    </row>
    <row r="266" spans="1:56" x14ac:dyDescent="0.3">
      <c r="A266">
        <f t="shared" ref="A266:Z266" si="405">A84</f>
        <v>0</v>
      </c>
      <c r="B266">
        <f t="shared" si="405"/>
        <v>0</v>
      </c>
      <c r="C266">
        <f t="shared" si="405"/>
        <v>0</v>
      </c>
      <c r="D266" s="11">
        <f t="shared" si="405"/>
        <v>0</v>
      </c>
      <c r="E266">
        <f t="shared" si="405"/>
        <v>0</v>
      </c>
      <c r="F266">
        <f t="shared" si="405"/>
        <v>0</v>
      </c>
      <c r="G266">
        <f t="shared" si="405"/>
        <v>0</v>
      </c>
      <c r="H266">
        <f t="shared" si="405"/>
        <v>0</v>
      </c>
      <c r="I266">
        <f t="shared" si="405"/>
        <v>0</v>
      </c>
      <c r="J266">
        <f t="shared" si="405"/>
        <v>0</v>
      </c>
      <c r="K266" s="11">
        <f t="shared" si="405"/>
        <v>0</v>
      </c>
      <c r="L266">
        <f t="shared" si="405"/>
        <v>0</v>
      </c>
      <c r="M266">
        <f t="shared" si="405"/>
        <v>0</v>
      </c>
      <c r="N266" s="16">
        <f t="shared" si="405"/>
        <v>0</v>
      </c>
      <c r="O266">
        <f t="shared" si="405"/>
        <v>0</v>
      </c>
      <c r="P266" s="17">
        <f t="shared" si="405"/>
        <v>0</v>
      </c>
      <c r="Q266">
        <f t="shared" si="405"/>
        <v>0</v>
      </c>
      <c r="R266">
        <f t="shared" si="405"/>
        <v>0</v>
      </c>
      <c r="S266">
        <f t="shared" si="405"/>
        <v>0</v>
      </c>
      <c r="T266" s="1117" t="s">
        <v>181</v>
      </c>
      <c r="U266" s="1117"/>
      <c r="V266">
        <f t="shared" si="405"/>
        <v>0</v>
      </c>
      <c r="W266">
        <f t="shared" si="405"/>
        <v>0</v>
      </c>
      <c r="X266" s="29">
        <f t="shared" si="405"/>
        <v>0</v>
      </c>
      <c r="Y266">
        <f t="shared" si="405"/>
        <v>0</v>
      </c>
      <c r="Z266">
        <f t="shared" si="405"/>
        <v>0</v>
      </c>
      <c r="AA266">
        <f t="shared" si="298"/>
        <v>0</v>
      </c>
      <c r="AD266">
        <f t="shared" ref="AD266:AV266" si="406">AD84</f>
        <v>0</v>
      </c>
      <c r="AE266">
        <f t="shared" si="406"/>
        <v>0</v>
      </c>
      <c r="AF266">
        <f t="shared" si="406"/>
        <v>0</v>
      </c>
      <c r="AG266" s="11">
        <f t="shared" si="406"/>
        <v>0</v>
      </c>
      <c r="AH266">
        <f t="shared" si="406"/>
        <v>0</v>
      </c>
      <c r="AI266">
        <f t="shared" si="406"/>
        <v>0</v>
      </c>
      <c r="AJ266">
        <f t="shared" si="406"/>
        <v>0</v>
      </c>
      <c r="AK266">
        <f t="shared" si="406"/>
        <v>0</v>
      </c>
      <c r="AL266">
        <f t="shared" si="406"/>
        <v>0</v>
      </c>
      <c r="AM266">
        <f t="shared" si="406"/>
        <v>0</v>
      </c>
      <c r="AN266" s="11">
        <f t="shared" si="406"/>
        <v>0</v>
      </c>
      <c r="AO266">
        <f t="shared" si="406"/>
        <v>0</v>
      </c>
      <c r="AP266">
        <f t="shared" si="406"/>
        <v>0</v>
      </c>
      <c r="AQ266" s="16">
        <f t="shared" si="406"/>
        <v>0</v>
      </c>
      <c r="AR266">
        <f t="shared" si="406"/>
        <v>0</v>
      </c>
      <c r="AS266" s="17">
        <f t="shared" si="406"/>
        <v>0</v>
      </c>
      <c r="AT266">
        <f t="shared" si="406"/>
        <v>0</v>
      </c>
      <c r="AU266">
        <f t="shared" si="406"/>
        <v>0</v>
      </c>
      <c r="AV266">
        <f t="shared" si="406"/>
        <v>0</v>
      </c>
      <c r="AW266" s="1117" t="s">
        <v>181</v>
      </c>
      <c r="AX266" s="1117"/>
      <c r="AY266">
        <f t="shared" ref="AY266:BC266" si="407">AY84</f>
        <v>0</v>
      </c>
      <c r="AZ266">
        <f t="shared" si="407"/>
        <v>0</v>
      </c>
      <c r="BA266" s="29">
        <f t="shared" si="407"/>
        <v>0</v>
      </c>
      <c r="BB266">
        <f t="shared" si="407"/>
        <v>0</v>
      </c>
      <c r="BC266">
        <f t="shared" si="407"/>
        <v>0</v>
      </c>
      <c r="BD266">
        <f t="shared" si="301"/>
        <v>0</v>
      </c>
    </row>
    <row r="267" spans="1:56" x14ac:dyDescent="0.3">
      <c r="A267">
        <f t="shared" ref="A267:Z267" si="408">A85</f>
        <v>0</v>
      </c>
      <c r="B267">
        <f t="shared" si="408"/>
        <v>0</v>
      </c>
      <c r="C267">
        <f t="shared" si="408"/>
        <v>0</v>
      </c>
      <c r="D267" s="11">
        <f t="shared" si="408"/>
        <v>0</v>
      </c>
      <c r="E267">
        <f t="shared" si="408"/>
        <v>0</v>
      </c>
      <c r="F267">
        <f t="shared" si="408"/>
        <v>0</v>
      </c>
      <c r="G267">
        <f t="shared" si="408"/>
        <v>0</v>
      </c>
      <c r="H267">
        <f t="shared" si="408"/>
        <v>0</v>
      </c>
      <c r="I267">
        <f t="shared" si="408"/>
        <v>0</v>
      </c>
      <c r="J267">
        <f t="shared" si="408"/>
        <v>0</v>
      </c>
      <c r="K267" s="11">
        <f t="shared" si="408"/>
        <v>0</v>
      </c>
      <c r="L267">
        <f t="shared" si="408"/>
        <v>0</v>
      </c>
      <c r="M267">
        <f t="shared" si="408"/>
        <v>0</v>
      </c>
      <c r="N267" s="11">
        <f t="shared" si="408"/>
        <v>0</v>
      </c>
      <c r="O267" s="13">
        <f t="shared" si="408"/>
        <v>0</v>
      </c>
      <c r="P267" s="13">
        <f t="shared" si="408"/>
        <v>0</v>
      </c>
      <c r="Q267">
        <f t="shared" si="408"/>
        <v>0</v>
      </c>
      <c r="R267">
        <f t="shared" si="408"/>
        <v>0</v>
      </c>
      <c r="S267" s="437" t="str">
        <f t="shared" si="408"/>
        <v>base</v>
      </c>
      <c r="T267" s="437" t="str">
        <f t="shared" si="408"/>
        <v>low</v>
      </c>
      <c r="U267" s="437" t="str">
        <f t="shared" si="408"/>
        <v>high</v>
      </c>
      <c r="V267">
        <f t="shared" si="408"/>
        <v>0</v>
      </c>
      <c r="W267" s="37">
        <f t="shared" si="408"/>
        <v>0</v>
      </c>
      <c r="X267" s="20">
        <f t="shared" si="408"/>
        <v>0</v>
      </c>
      <c r="Y267">
        <f t="shared" si="408"/>
        <v>0</v>
      </c>
      <c r="Z267">
        <f t="shared" si="408"/>
        <v>0</v>
      </c>
      <c r="AA267">
        <f t="shared" si="298"/>
        <v>0</v>
      </c>
      <c r="AD267">
        <f t="shared" ref="AD267:BC267" si="409">AD85</f>
        <v>0</v>
      </c>
      <c r="AE267">
        <f t="shared" si="409"/>
        <v>0</v>
      </c>
      <c r="AF267">
        <f t="shared" si="409"/>
        <v>0</v>
      </c>
      <c r="AG267" s="11">
        <f t="shared" si="409"/>
        <v>0</v>
      </c>
      <c r="AH267">
        <f t="shared" si="409"/>
        <v>0</v>
      </c>
      <c r="AI267">
        <f t="shared" si="409"/>
        <v>0</v>
      </c>
      <c r="AJ267">
        <f t="shared" si="409"/>
        <v>0</v>
      </c>
      <c r="AK267">
        <f t="shared" si="409"/>
        <v>0</v>
      </c>
      <c r="AL267">
        <f t="shared" si="409"/>
        <v>0</v>
      </c>
      <c r="AM267">
        <f t="shared" si="409"/>
        <v>0</v>
      </c>
      <c r="AN267" s="11">
        <f t="shared" si="409"/>
        <v>0</v>
      </c>
      <c r="AO267">
        <f t="shared" si="409"/>
        <v>0</v>
      </c>
      <c r="AP267">
        <f t="shared" si="409"/>
        <v>0</v>
      </c>
      <c r="AQ267" s="11">
        <f t="shared" si="409"/>
        <v>0</v>
      </c>
      <c r="AR267" s="13">
        <f t="shared" si="409"/>
        <v>0</v>
      </c>
      <c r="AS267" s="13">
        <f t="shared" si="409"/>
        <v>0</v>
      </c>
      <c r="AT267">
        <f t="shared" si="409"/>
        <v>0</v>
      </c>
      <c r="AU267">
        <f t="shared" si="409"/>
        <v>0</v>
      </c>
      <c r="AV267" s="684" t="str">
        <f t="shared" si="409"/>
        <v>base</v>
      </c>
      <c r="AW267" s="684" t="str">
        <f t="shared" si="409"/>
        <v>low</v>
      </c>
      <c r="AX267" s="684" t="str">
        <f t="shared" si="409"/>
        <v>high</v>
      </c>
      <c r="AY267">
        <f t="shared" si="409"/>
        <v>0</v>
      </c>
      <c r="AZ267" s="37">
        <f t="shared" si="409"/>
        <v>0</v>
      </c>
      <c r="BA267" s="20">
        <f t="shared" si="409"/>
        <v>0</v>
      </c>
      <c r="BB267">
        <f t="shared" si="409"/>
        <v>0</v>
      </c>
      <c r="BC267">
        <f t="shared" si="409"/>
        <v>0</v>
      </c>
      <c r="BD267">
        <f t="shared" si="301"/>
        <v>0</v>
      </c>
    </row>
    <row r="268" spans="1:56" x14ac:dyDescent="0.3">
      <c r="A268">
        <f t="shared" ref="A268:Z268" si="410">A86</f>
        <v>0</v>
      </c>
      <c r="B268">
        <f t="shared" si="410"/>
        <v>0</v>
      </c>
      <c r="C268">
        <f t="shared" si="410"/>
        <v>0</v>
      </c>
      <c r="D268" s="11">
        <f t="shared" si="410"/>
        <v>0</v>
      </c>
      <c r="E268">
        <f t="shared" si="410"/>
        <v>0</v>
      </c>
      <c r="F268">
        <f t="shared" si="410"/>
        <v>0</v>
      </c>
      <c r="G268">
        <f t="shared" si="410"/>
        <v>0</v>
      </c>
      <c r="H268">
        <f t="shared" si="410"/>
        <v>0</v>
      </c>
      <c r="I268">
        <f t="shared" si="410"/>
        <v>0</v>
      </c>
      <c r="J268">
        <f t="shared" si="410"/>
        <v>0</v>
      </c>
      <c r="K268" s="59" t="str">
        <f t="shared" si="410"/>
        <v>1-p2</v>
      </c>
      <c r="L268" s="67">
        <f t="shared" si="410"/>
        <v>0.62</v>
      </c>
      <c r="M268" s="438">
        <f t="shared" si="410"/>
        <v>0</v>
      </c>
      <c r="N268" s="59">
        <f t="shared" si="410"/>
        <v>0</v>
      </c>
      <c r="O268">
        <f t="shared" si="410"/>
        <v>0</v>
      </c>
      <c r="P268">
        <f t="shared" si="410"/>
        <v>0</v>
      </c>
      <c r="Q268">
        <f t="shared" si="410"/>
        <v>0</v>
      </c>
      <c r="R268" s="12" t="str">
        <f t="shared" si="410"/>
        <v>Outpatient</v>
      </c>
      <c r="S268" s="30">
        <f t="shared" si="410"/>
        <v>12890.25152496507</v>
      </c>
      <c r="T268" s="448">
        <f>L270*T269</f>
        <v>11739.336210236048</v>
      </c>
      <c r="U268" s="448">
        <f>L271*U269</f>
        <v>14041.166839694095</v>
      </c>
      <c r="V268">
        <f t="shared" si="410"/>
        <v>0</v>
      </c>
      <c r="W268" s="69">
        <f t="shared" si="410"/>
        <v>0</v>
      </c>
      <c r="X268">
        <f t="shared" si="410"/>
        <v>0</v>
      </c>
      <c r="Y268">
        <f t="shared" si="410"/>
        <v>0</v>
      </c>
      <c r="Z268">
        <f t="shared" si="410"/>
        <v>0</v>
      </c>
      <c r="AA268">
        <f t="shared" si="298"/>
        <v>0</v>
      </c>
      <c r="AD268">
        <f t="shared" ref="AD268:AV268" si="411">AD86</f>
        <v>0</v>
      </c>
      <c r="AE268">
        <f t="shared" si="411"/>
        <v>0</v>
      </c>
      <c r="AF268">
        <f t="shared" si="411"/>
        <v>0</v>
      </c>
      <c r="AG268" s="11">
        <f t="shared" si="411"/>
        <v>0</v>
      </c>
      <c r="AH268">
        <f t="shared" si="411"/>
        <v>0</v>
      </c>
      <c r="AI268">
        <f t="shared" si="411"/>
        <v>0</v>
      </c>
      <c r="AJ268">
        <f t="shared" si="411"/>
        <v>0</v>
      </c>
      <c r="AK268">
        <f t="shared" si="411"/>
        <v>0</v>
      </c>
      <c r="AL268">
        <f t="shared" si="411"/>
        <v>0</v>
      </c>
      <c r="AM268">
        <f t="shared" si="411"/>
        <v>0</v>
      </c>
      <c r="AN268" s="59" t="str">
        <f t="shared" si="411"/>
        <v>1-p2</v>
      </c>
      <c r="AO268" s="67">
        <f t="shared" si="411"/>
        <v>0.62</v>
      </c>
      <c r="AP268" s="500">
        <f t="shared" si="411"/>
        <v>0</v>
      </c>
      <c r="AQ268" s="59">
        <f t="shared" si="411"/>
        <v>0</v>
      </c>
      <c r="AR268">
        <f t="shared" si="411"/>
        <v>0</v>
      </c>
      <c r="AS268">
        <f t="shared" si="411"/>
        <v>0</v>
      </c>
      <c r="AT268">
        <f t="shared" si="411"/>
        <v>0</v>
      </c>
      <c r="AU268" s="12" t="str">
        <f t="shared" si="411"/>
        <v>Outpatient</v>
      </c>
      <c r="AV268" s="30">
        <f t="shared" si="411"/>
        <v>5242.0021860030274</v>
      </c>
      <c r="AW268" s="448">
        <f>AO270*AW269</f>
        <v>4773.9662765384719</v>
      </c>
      <c r="AX268" s="448">
        <f>AO271*AX269</f>
        <v>5710.0380954675838</v>
      </c>
      <c r="AY268">
        <f t="shared" ref="AY268:BC268" si="412">AY86</f>
        <v>0</v>
      </c>
      <c r="AZ268" s="69">
        <f t="shared" si="412"/>
        <v>0</v>
      </c>
      <c r="BA268">
        <f t="shared" si="412"/>
        <v>0</v>
      </c>
      <c r="BB268">
        <f t="shared" si="412"/>
        <v>0</v>
      </c>
      <c r="BC268">
        <f t="shared" si="412"/>
        <v>0</v>
      </c>
      <c r="BD268">
        <f t="shared" si="301"/>
        <v>0</v>
      </c>
    </row>
    <row r="269" spans="1:56" x14ac:dyDescent="0.3">
      <c r="A269">
        <f t="shared" ref="A269:Z269" si="413">A87</f>
        <v>0</v>
      </c>
      <c r="B269">
        <f t="shared" si="413"/>
        <v>0</v>
      </c>
      <c r="C269">
        <f t="shared" si="413"/>
        <v>0</v>
      </c>
      <c r="D269" s="11">
        <f t="shared" si="413"/>
        <v>0</v>
      </c>
      <c r="E269">
        <f t="shared" si="413"/>
        <v>0</v>
      </c>
      <c r="F269">
        <f t="shared" si="413"/>
        <v>0</v>
      </c>
      <c r="G269">
        <f t="shared" si="413"/>
        <v>0</v>
      </c>
      <c r="H269">
        <f t="shared" si="413"/>
        <v>0</v>
      </c>
      <c r="K269" s="15" t="str">
        <f t="shared" si="413"/>
        <v>do not obtain palivizumab product</v>
      </c>
      <c r="L269" s="28">
        <f t="shared" si="413"/>
        <v>6713.0382199999995</v>
      </c>
      <c r="M269">
        <f t="shared" si="413"/>
        <v>0</v>
      </c>
      <c r="N269" s="59" t="str">
        <f t="shared" si="413"/>
        <v>low:</v>
      </c>
      <c r="O269" s="50">
        <f t="shared" ref="O269:O270" si="414">$O$89</f>
        <v>2.7633318789944998</v>
      </c>
      <c r="P269">
        <f t="shared" si="413"/>
        <v>0</v>
      </c>
      <c r="Q269" s="16">
        <f t="shared" si="413"/>
        <v>0</v>
      </c>
      <c r="R269" s="2" t="str">
        <f t="shared" si="413"/>
        <v>p4c</v>
      </c>
      <c r="S269" s="61">
        <f>$S$87</f>
        <v>1.9201814592029942</v>
      </c>
      <c r="T269" s="61">
        <f t="shared" ref="T269:U269" si="415">$S$87</f>
        <v>1.9201814592029942</v>
      </c>
      <c r="U269" s="61">
        <f t="shared" si="415"/>
        <v>1.9201814592029942</v>
      </c>
      <c r="V269">
        <f t="shared" si="413"/>
        <v>0</v>
      </c>
      <c r="W269">
        <f t="shared" si="413"/>
        <v>0</v>
      </c>
      <c r="X269">
        <f t="shared" si="413"/>
        <v>0</v>
      </c>
      <c r="Y269">
        <f t="shared" si="413"/>
        <v>0</v>
      </c>
      <c r="Z269">
        <f t="shared" si="413"/>
        <v>0</v>
      </c>
      <c r="AA269">
        <f t="shared" si="298"/>
        <v>0</v>
      </c>
      <c r="AD269">
        <f t="shared" ref="AD269:AK269" si="416">AD87</f>
        <v>0</v>
      </c>
      <c r="AE269">
        <f t="shared" si="416"/>
        <v>0</v>
      </c>
      <c r="AF269">
        <f t="shared" si="416"/>
        <v>0</v>
      </c>
      <c r="AG269" s="11">
        <f t="shared" si="416"/>
        <v>0</v>
      </c>
      <c r="AH269">
        <f t="shared" si="416"/>
        <v>0</v>
      </c>
      <c r="AI269">
        <f t="shared" si="416"/>
        <v>0</v>
      </c>
      <c r="AJ269">
        <f t="shared" si="416"/>
        <v>0</v>
      </c>
      <c r="AK269">
        <f t="shared" si="416"/>
        <v>0</v>
      </c>
      <c r="AN269" s="15" t="str">
        <f t="shared" ref="AN269:AQ269" si="417">AN87</f>
        <v>do not obtain palivizumab product</v>
      </c>
      <c r="AO269" s="28">
        <f t="shared" si="417"/>
        <v>6713.0382199999995</v>
      </c>
      <c r="AP269">
        <f t="shared" si="417"/>
        <v>0</v>
      </c>
      <c r="AQ269" s="59" t="str">
        <f t="shared" si="417"/>
        <v>low:</v>
      </c>
      <c r="AR269" s="50">
        <f t="shared" ref="AR269:AR270" si="418">$O$89</f>
        <v>2.7633318789944998</v>
      </c>
      <c r="AS269">
        <f t="shared" ref="AS269:AU269" si="419">AS87</f>
        <v>0</v>
      </c>
      <c r="AT269" s="16">
        <f t="shared" si="419"/>
        <v>0</v>
      </c>
      <c r="AU269" s="2" t="str">
        <f t="shared" si="419"/>
        <v>p4c</v>
      </c>
      <c r="AV269" s="61">
        <f>AV87</f>
        <v>0.78086881292968835</v>
      </c>
      <c r="AW269" s="61">
        <f>AV269</f>
        <v>0.78086881292968835</v>
      </c>
      <c r="AX269" s="61">
        <f>AV269</f>
        <v>0.78086881292968835</v>
      </c>
      <c r="AY269">
        <f t="shared" ref="AY269:BC269" si="420">AY87</f>
        <v>0</v>
      </c>
      <c r="AZ269">
        <f t="shared" si="420"/>
        <v>0</v>
      </c>
      <c r="BA269">
        <f t="shared" si="420"/>
        <v>0</v>
      </c>
      <c r="BB269">
        <f t="shared" si="420"/>
        <v>0</v>
      </c>
      <c r="BC269">
        <f t="shared" si="420"/>
        <v>0</v>
      </c>
      <c r="BD269">
        <f t="shared" si="301"/>
        <v>0</v>
      </c>
    </row>
    <row r="270" spans="1:56" x14ac:dyDescent="0.3">
      <c r="A270">
        <f t="shared" ref="A270:Z270" si="421">A88</f>
        <v>0</v>
      </c>
      <c r="B270">
        <f t="shared" si="421"/>
        <v>0</v>
      </c>
      <c r="C270">
        <f t="shared" si="421"/>
        <v>0</v>
      </c>
      <c r="D270" s="11">
        <f t="shared" si="421"/>
        <v>0</v>
      </c>
      <c r="E270">
        <f t="shared" si="421"/>
        <v>0</v>
      </c>
      <c r="F270">
        <f t="shared" si="421"/>
        <v>0</v>
      </c>
      <c r="G270">
        <f t="shared" si="421"/>
        <v>0</v>
      </c>
      <c r="H270">
        <f t="shared" si="421"/>
        <v>0</v>
      </c>
      <c r="I270">
        <f t="shared" si="421"/>
        <v>0</v>
      </c>
      <c r="J270">
        <f t="shared" si="421"/>
        <v>0</v>
      </c>
      <c r="K270" s="2" t="s">
        <v>263</v>
      </c>
      <c r="L270" s="8">
        <f>I264*$L$268</f>
        <v>6113.6598075000002</v>
      </c>
      <c r="M270">
        <f t="shared" si="421"/>
        <v>0</v>
      </c>
      <c r="N270" s="59" t="str">
        <f t="shared" si="421"/>
        <v>high:</v>
      </c>
      <c r="O270" s="50">
        <f t="shared" si="414"/>
        <v>2.7633318789944998</v>
      </c>
      <c r="P270">
        <f t="shared" si="421"/>
        <v>0</v>
      </c>
      <c r="Q270" s="11">
        <f t="shared" si="421"/>
        <v>0</v>
      </c>
      <c r="R270" s="2">
        <f t="shared" si="421"/>
        <v>0</v>
      </c>
      <c r="S270">
        <f t="shared" si="421"/>
        <v>0</v>
      </c>
      <c r="T270" s="452">
        <f t="shared" si="421"/>
        <v>0</v>
      </c>
      <c r="U270" s="452">
        <f t="shared" si="421"/>
        <v>0</v>
      </c>
      <c r="V270">
        <f t="shared" si="421"/>
        <v>0</v>
      </c>
      <c r="W270">
        <f t="shared" si="421"/>
        <v>0</v>
      </c>
      <c r="X270">
        <f t="shared" si="421"/>
        <v>0</v>
      </c>
      <c r="Y270">
        <f t="shared" si="421"/>
        <v>0</v>
      </c>
      <c r="Z270">
        <f t="shared" si="421"/>
        <v>0</v>
      </c>
      <c r="AA270">
        <f t="shared" si="298"/>
        <v>0</v>
      </c>
      <c r="AD270">
        <f t="shared" ref="AD270:AM270" si="422">AD88</f>
        <v>0</v>
      </c>
      <c r="AE270">
        <f t="shared" si="422"/>
        <v>0</v>
      </c>
      <c r="AF270">
        <f t="shared" si="422"/>
        <v>0</v>
      </c>
      <c r="AG270" s="11">
        <f t="shared" si="422"/>
        <v>0</v>
      </c>
      <c r="AH270">
        <f t="shared" si="422"/>
        <v>0</v>
      </c>
      <c r="AI270">
        <f t="shared" si="422"/>
        <v>0</v>
      </c>
      <c r="AJ270">
        <f t="shared" si="422"/>
        <v>0</v>
      </c>
      <c r="AK270">
        <f t="shared" si="422"/>
        <v>0</v>
      </c>
      <c r="AL270">
        <f t="shared" si="422"/>
        <v>0</v>
      </c>
      <c r="AM270">
        <f t="shared" si="422"/>
        <v>0</v>
      </c>
      <c r="AN270" s="2" t="s">
        <v>263</v>
      </c>
      <c r="AO270" s="8">
        <f>AL264*$L$268</f>
        <v>6113.6598075000002</v>
      </c>
      <c r="AP270">
        <f t="shared" ref="AP270:AQ270" si="423">AP88</f>
        <v>0</v>
      </c>
      <c r="AQ270" s="59" t="str">
        <f t="shared" si="423"/>
        <v>high:</v>
      </c>
      <c r="AR270" s="50">
        <f t="shared" si="418"/>
        <v>2.7633318789944998</v>
      </c>
      <c r="AS270">
        <f t="shared" ref="AS270:BC270" si="424">AS88</f>
        <v>0</v>
      </c>
      <c r="AT270" s="11">
        <f t="shared" si="424"/>
        <v>0</v>
      </c>
      <c r="AU270" s="2">
        <f t="shared" si="424"/>
        <v>0</v>
      </c>
      <c r="AV270">
        <f t="shared" si="424"/>
        <v>0</v>
      </c>
      <c r="AW270" s="452">
        <f t="shared" si="424"/>
        <v>0</v>
      </c>
      <c r="AX270" s="452">
        <f t="shared" si="424"/>
        <v>0</v>
      </c>
      <c r="AY270">
        <f t="shared" si="424"/>
        <v>0</v>
      </c>
      <c r="AZ270">
        <f t="shared" si="424"/>
        <v>0</v>
      </c>
      <c r="BA270">
        <f t="shared" si="424"/>
        <v>0</v>
      </c>
      <c r="BB270">
        <f t="shared" si="424"/>
        <v>0</v>
      </c>
      <c r="BC270">
        <f t="shared" si="424"/>
        <v>0</v>
      </c>
      <c r="BD270">
        <f t="shared" si="301"/>
        <v>0</v>
      </c>
    </row>
    <row r="271" spans="1:56" x14ac:dyDescent="0.3">
      <c r="A271">
        <f t="shared" ref="A271:Z271" si="425">A89</f>
        <v>0</v>
      </c>
      <c r="B271">
        <f t="shared" si="425"/>
        <v>0</v>
      </c>
      <c r="C271">
        <f t="shared" si="425"/>
        <v>0</v>
      </c>
      <c r="D271" s="11">
        <f t="shared" si="425"/>
        <v>0</v>
      </c>
      <c r="E271">
        <f t="shared" si="425"/>
        <v>0</v>
      </c>
      <c r="F271">
        <f t="shared" si="425"/>
        <v>0</v>
      </c>
      <c r="G271">
        <f t="shared" si="425"/>
        <v>0</v>
      </c>
      <c r="H271">
        <f t="shared" si="425"/>
        <v>0</v>
      </c>
      <c r="I271">
        <f t="shared" si="425"/>
        <v>0</v>
      </c>
      <c r="J271">
        <f t="shared" si="425"/>
        <v>0</v>
      </c>
      <c r="K271" s="2" t="s">
        <v>264</v>
      </c>
      <c r="L271" s="8">
        <f>I265*$L$268</f>
        <v>7312.4166324999997</v>
      </c>
      <c r="M271">
        <f t="shared" si="425"/>
        <v>0</v>
      </c>
      <c r="N271" s="18" t="str">
        <f t="shared" si="425"/>
        <v>sum p4a-c</v>
      </c>
      <c r="O271" s="50">
        <f>$O$89</f>
        <v>2.7633318789944998</v>
      </c>
      <c r="P271" s="438">
        <f t="shared" si="425"/>
        <v>0</v>
      </c>
      <c r="Q271" s="18">
        <f t="shared" si="425"/>
        <v>0</v>
      </c>
      <c r="R271" s="12" t="str">
        <f t="shared" si="425"/>
        <v>ED</v>
      </c>
      <c r="S271" s="30">
        <f t="shared" si="425"/>
        <v>4469.4041103870086</v>
      </c>
      <c r="T271" s="448">
        <f>L270*T272</f>
        <v>4070.3501719595974</v>
      </c>
      <c r="U271" s="448">
        <f>L271*U272</f>
        <v>4868.4580488144202</v>
      </c>
      <c r="V271">
        <f t="shared" si="425"/>
        <v>0</v>
      </c>
      <c r="W271">
        <f t="shared" si="425"/>
        <v>0</v>
      </c>
      <c r="X271">
        <f t="shared" si="425"/>
        <v>0</v>
      </c>
      <c r="Y271">
        <f t="shared" si="425"/>
        <v>0</v>
      </c>
      <c r="Z271">
        <f t="shared" si="425"/>
        <v>0</v>
      </c>
      <c r="AA271">
        <f t="shared" si="298"/>
        <v>0</v>
      </c>
      <c r="AD271">
        <f t="shared" ref="AD271:AM271" si="426">AD89</f>
        <v>0</v>
      </c>
      <c r="AE271">
        <f t="shared" si="426"/>
        <v>0</v>
      </c>
      <c r="AF271">
        <f t="shared" si="426"/>
        <v>0</v>
      </c>
      <c r="AG271" s="11">
        <f t="shared" si="426"/>
        <v>0</v>
      </c>
      <c r="AH271">
        <f t="shared" si="426"/>
        <v>0</v>
      </c>
      <c r="AI271">
        <f t="shared" si="426"/>
        <v>0</v>
      </c>
      <c r="AJ271">
        <f t="shared" si="426"/>
        <v>0</v>
      </c>
      <c r="AK271">
        <f t="shared" si="426"/>
        <v>0</v>
      </c>
      <c r="AL271">
        <f t="shared" si="426"/>
        <v>0</v>
      </c>
      <c r="AM271">
        <f t="shared" si="426"/>
        <v>0</v>
      </c>
      <c r="AN271" s="2" t="s">
        <v>264</v>
      </c>
      <c r="AO271" s="8">
        <f>AL265*$L$268</f>
        <v>7312.4166324999997</v>
      </c>
      <c r="AP271">
        <f t="shared" ref="AP271:AQ271" si="427">AP89</f>
        <v>0</v>
      </c>
      <c r="AQ271" s="18" t="str">
        <f t="shared" si="427"/>
        <v>sum p4a-c</v>
      </c>
      <c r="AR271" s="50">
        <f>$O$89</f>
        <v>2.7633318789944998</v>
      </c>
      <c r="AS271" s="500">
        <f t="shared" ref="AS271:AV271" si="428">AS89</f>
        <v>0</v>
      </c>
      <c r="AT271" s="18">
        <f t="shared" si="428"/>
        <v>0</v>
      </c>
      <c r="AU271" s="12" t="str">
        <f t="shared" si="428"/>
        <v>ED</v>
      </c>
      <c r="AV271" s="30">
        <f t="shared" si="428"/>
        <v>2084.641015843099</v>
      </c>
      <c r="AW271" s="448">
        <f>AO270*AW272</f>
        <v>1898.512353714251</v>
      </c>
      <c r="AX271" s="448">
        <f>AO271*AX272</f>
        <v>2270.7696779719472</v>
      </c>
      <c r="AY271">
        <f t="shared" ref="AY271:BC271" si="429">AY89</f>
        <v>0</v>
      </c>
      <c r="AZ271">
        <f t="shared" si="429"/>
        <v>0</v>
      </c>
      <c r="BA271">
        <f t="shared" si="429"/>
        <v>0</v>
      </c>
      <c r="BB271">
        <f t="shared" si="429"/>
        <v>0</v>
      </c>
      <c r="BC271">
        <f t="shared" si="429"/>
        <v>0</v>
      </c>
      <c r="BD271">
        <f t="shared" si="301"/>
        <v>0</v>
      </c>
    </row>
    <row r="272" spans="1:56" x14ac:dyDescent="0.3">
      <c r="A272">
        <f t="shared" ref="A272:Z272" si="430">A90</f>
        <v>0</v>
      </c>
      <c r="B272">
        <f t="shared" si="430"/>
        <v>0</v>
      </c>
      <c r="C272">
        <f t="shared" si="430"/>
        <v>0</v>
      </c>
      <c r="D272" s="11">
        <f t="shared" si="430"/>
        <v>0</v>
      </c>
      <c r="E272">
        <f t="shared" si="430"/>
        <v>0</v>
      </c>
      <c r="F272">
        <f t="shared" si="430"/>
        <v>0</v>
      </c>
      <c r="G272">
        <f t="shared" si="430"/>
        <v>0</v>
      </c>
      <c r="H272">
        <f t="shared" si="430"/>
        <v>0</v>
      </c>
      <c r="I272">
        <f t="shared" si="430"/>
        <v>0</v>
      </c>
      <c r="J272">
        <f t="shared" si="430"/>
        <v>0</v>
      </c>
      <c r="K272">
        <f t="shared" si="430"/>
        <v>0</v>
      </c>
      <c r="N272" s="2" t="str">
        <f t="shared" si="430"/>
        <v>Medically Attended for RSV</v>
      </c>
      <c r="O272" s="54">
        <f t="shared" si="430"/>
        <v>18550.352518234489</v>
      </c>
      <c r="P272">
        <f t="shared" si="430"/>
        <v>0</v>
      </c>
      <c r="Q272" s="11">
        <f t="shared" si="430"/>
        <v>0</v>
      </c>
      <c r="R272" s="2" t="str">
        <f t="shared" si="430"/>
        <v>p4b</v>
      </c>
      <c r="S272" s="61">
        <f>$S$90</f>
        <v>0.66577963120654016</v>
      </c>
      <c r="T272" s="61">
        <f t="shared" ref="T272:U272" si="431">$S$90</f>
        <v>0.66577963120654016</v>
      </c>
      <c r="U272" s="61">
        <f t="shared" si="431"/>
        <v>0.66577963120654016</v>
      </c>
      <c r="V272">
        <f t="shared" si="430"/>
        <v>0</v>
      </c>
      <c r="W272">
        <f t="shared" si="430"/>
        <v>0</v>
      </c>
      <c r="X272">
        <f t="shared" si="430"/>
        <v>0</v>
      </c>
      <c r="Y272">
        <f t="shared" si="430"/>
        <v>0</v>
      </c>
      <c r="Z272">
        <f t="shared" si="430"/>
        <v>0</v>
      </c>
      <c r="AA272">
        <f t="shared" si="298"/>
        <v>0</v>
      </c>
      <c r="AD272">
        <f t="shared" ref="AD272:AN272" si="432">AD90</f>
        <v>0</v>
      </c>
      <c r="AE272">
        <f t="shared" si="432"/>
        <v>0</v>
      </c>
      <c r="AF272">
        <f t="shared" si="432"/>
        <v>0</v>
      </c>
      <c r="AG272" s="11">
        <f t="shared" si="432"/>
        <v>0</v>
      </c>
      <c r="AH272">
        <f t="shared" si="432"/>
        <v>0</v>
      </c>
      <c r="AI272">
        <f t="shared" si="432"/>
        <v>0</v>
      </c>
      <c r="AJ272">
        <f t="shared" si="432"/>
        <v>0</v>
      </c>
      <c r="AK272">
        <f t="shared" si="432"/>
        <v>0</v>
      </c>
      <c r="AL272">
        <f t="shared" si="432"/>
        <v>0</v>
      </c>
      <c r="AM272">
        <f t="shared" si="432"/>
        <v>0</v>
      </c>
      <c r="AN272">
        <f t="shared" si="432"/>
        <v>0</v>
      </c>
      <c r="AQ272" s="2" t="str">
        <f t="shared" ref="AQ272:AU272" si="433">AQ90</f>
        <v>Medically Attended for RSV</v>
      </c>
      <c r="AR272" s="54" t="e">
        <f t="shared" si="433"/>
        <v>#REF!</v>
      </c>
      <c r="AS272">
        <f t="shared" si="433"/>
        <v>0</v>
      </c>
      <c r="AT272" s="11">
        <f t="shared" si="433"/>
        <v>0</v>
      </c>
      <c r="AU272" s="2" t="str">
        <f t="shared" si="433"/>
        <v>p4b</v>
      </c>
      <c r="AV272" s="61">
        <f>AV90</f>
        <v>0.31053614585902045</v>
      </c>
      <c r="AW272" s="61">
        <f>AV272</f>
        <v>0.31053614585902045</v>
      </c>
      <c r="AX272" s="61">
        <f>AV272</f>
        <v>0.31053614585902045</v>
      </c>
      <c r="AY272">
        <f t="shared" ref="AY272:BC272" si="434">AY90</f>
        <v>0</v>
      </c>
      <c r="AZ272">
        <f t="shared" si="434"/>
        <v>0</v>
      </c>
      <c r="BA272">
        <f t="shared" si="434"/>
        <v>0</v>
      </c>
      <c r="BB272">
        <f t="shared" si="434"/>
        <v>0</v>
      </c>
      <c r="BC272">
        <f t="shared" si="434"/>
        <v>0</v>
      </c>
      <c r="BD272">
        <f t="shared" si="301"/>
        <v>0</v>
      </c>
    </row>
    <row r="273" spans="1:56" x14ac:dyDescent="0.3">
      <c r="A273">
        <f t="shared" ref="A273:Z273" si="435">A91</f>
        <v>0</v>
      </c>
      <c r="B273">
        <f t="shared" si="435"/>
        <v>0</v>
      </c>
      <c r="C273">
        <f t="shared" si="435"/>
        <v>0</v>
      </c>
      <c r="D273" s="11">
        <f t="shared" si="435"/>
        <v>0</v>
      </c>
      <c r="E273">
        <f t="shared" si="435"/>
        <v>0</v>
      </c>
      <c r="F273">
        <f t="shared" si="435"/>
        <v>0</v>
      </c>
      <c r="G273">
        <f t="shared" si="435"/>
        <v>0</v>
      </c>
      <c r="H273">
        <f t="shared" si="435"/>
        <v>0</v>
      </c>
      <c r="I273">
        <f t="shared" si="435"/>
        <v>0</v>
      </c>
      <c r="J273">
        <f t="shared" si="435"/>
        <v>0</v>
      </c>
      <c r="K273">
        <f t="shared" si="435"/>
        <v>0</v>
      </c>
      <c r="L273">
        <f t="shared" si="435"/>
        <v>0</v>
      </c>
      <c r="M273">
        <f t="shared" si="435"/>
        <v>0</v>
      </c>
      <c r="N273" s="2" t="s">
        <v>263</v>
      </c>
      <c r="O273" s="8">
        <f>L270*$O$269</f>
        <v>16894.071043392127</v>
      </c>
      <c r="P273">
        <f t="shared" si="435"/>
        <v>0</v>
      </c>
      <c r="Q273" s="11">
        <f t="shared" si="435"/>
        <v>0</v>
      </c>
      <c r="R273" s="2">
        <f t="shared" si="435"/>
        <v>0</v>
      </c>
      <c r="S273">
        <f t="shared" si="435"/>
        <v>0</v>
      </c>
      <c r="T273" s="452">
        <f t="shared" si="435"/>
        <v>0</v>
      </c>
      <c r="U273" s="452">
        <f t="shared" si="435"/>
        <v>0</v>
      </c>
      <c r="V273">
        <f t="shared" si="435"/>
        <v>0</v>
      </c>
      <c r="W273">
        <f t="shared" si="435"/>
        <v>0</v>
      </c>
      <c r="X273">
        <f t="shared" si="435"/>
        <v>0</v>
      </c>
      <c r="Y273">
        <f t="shared" si="435"/>
        <v>0</v>
      </c>
      <c r="Z273">
        <f t="shared" si="435"/>
        <v>0</v>
      </c>
      <c r="AA273">
        <f t="shared" si="298"/>
        <v>0</v>
      </c>
      <c r="AD273">
        <f t="shared" ref="AD273:AP273" si="436">AD91</f>
        <v>0</v>
      </c>
      <c r="AE273">
        <f t="shared" si="436"/>
        <v>0</v>
      </c>
      <c r="AF273">
        <f t="shared" si="436"/>
        <v>0</v>
      </c>
      <c r="AG273" s="11">
        <f t="shared" si="436"/>
        <v>0</v>
      </c>
      <c r="AH273">
        <f t="shared" si="436"/>
        <v>0</v>
      </c>
      <c r="AI273">
        <f t="shared" si="436"/>
        <v>0</v>
      </c>
      <c r="AJ273">
        <f t="shared" si="436"/>
        <v>0</v>
      </c>
      <c r="AK273">
        <f t="shared" si="436"/>
        <v>0</v>
      </c>
      <c r="AL273">
        <f t="shared" si="436"/>
        <v>0</v>
      </c>
      <c r="AM273">
        <f t="shared" si="436"/>
        <v>0</v>
      </c>
      <c r="AN273">
        <f t="shared" si="436"/>
        <v>0</v>
      </c>
      <c r="AO273">
        <f t="shared" si="436"/>
        <v>0</v>
      </c>
      <c r="AP273">
        <f t="shared" si="436"/>
        <v>0</v>
      </c>
      <c r="AQ273" s="2" t="s">
        <v>263</v>
      </c>
      <c r="AR273" s="8">
        <f>AO270*$O$269</f>
        <v>16894.071043392127</v>
      </c>
      <c r="AS273">
        <f t="shared" ref="AS273:BC273" si="437">AS91</f>
        <v>0</v>
      </c>
      <c r="AT273" s="11">
        <f t="shared" si="437"/>
        <v>0</v>
      </c>
      <c r="AU273" s="2">
        <f t="shared" si="437"/>
        <v>0</v>
      </c>
      <c r="AV273">
        <f t="shared" si="437"/>
        <v>0</v>
      </c>
      <c r="AW273" s="452">
        <f t="shared" si="437"/>
        <v>0</v>
      </c>
      <c r="AX273" s="452">
        <f t="shared" si="437"/>
        <v>0</v>
      </c>
      <c r="AY273">
        <f t="shared" si="437"/>
        <v>0</v>
      </c>
      <c r="AZ273">
        <f t="shared" si="437"/>
        <v>0</v>
      </c>
      <c r="BA273">
        <f t="shared" si="437"/>
        <v>0</v>
      </c>
      <c r="BB273">
        <f t="shared" si="437"/>
        <v>0</v>
      </c>
      <c r="BC273">
        <f t="shared" si="437"/>
        <v>0</v>
      </c>
      <c r="BD273">
        <f t="shared" si="301"/>
        <v>0</v>
      </c>
    </row>
    <row r="274" spans="1:56" x14ac:dyDescent="0.3">
      <c r="A274">
        <f t="shared" ref="A274:Z274" si="438">A92</f>
        <v>0</v>
      </c>
      <c r="B274">
        <f t="shared" si="438"/>
        <v>0</v>
      </c>
      <c r="C274">
        <f t="shared" si="438"/>
        <v>0</v>
      </c>
      <c r="D274" s="11">
        <f t="shared" si="438"/>
        <v>0</v>
      </c>
      <c r="E274">
        <f t="shared" si="438"/>
        <v>0</v>
      </c>
      <c r="F274">
        <f t="shared" si="438"/>
        <v>0</v>
      </c>
      <c r="G274">
        <f t="shared" si="438"/>
        <v>0</v>
      </c>
      <c r="H274">
        <f t="shared" si="438"/>
        <v>0</v>
      </c>
      <c r="I274">
        <f t="shared" si="438"/>
        <v>0</v>
      </c>
      <c r="J274">
        <f t="shared" si="438"/>
        <v>0</v>
      </c>
      <c r="K274">
        <f t="shared" si="438"/>
        <v>0</v>
      </c>
      <c r="L274">
        <f t="shared" si="438"/>
        <v>0</v>
      </c>
      <c r="M274">
        <f t="shared" si="438"/>
        <v>0</v>
      </c>
      <c r="N274" s="2" t="s">
        <v>264</v>
      </c>
      <c r="O274" s="8">
        <f>L271*$O$270</f>
        <v>20206.633993076855</v>
      </c>
      <c r="P274">
        <f t="shared" si="438"/>
        <v>0</v>
      </c>
      <c r="Q274" s="18">
        <f t="shared" si="438"/>
        <v>0</v>
      </c>
      <c r="R274" s="12" t="str">
        <f t="shared" si="438"/>
        <v>Hospitalized</v>
      </c>
      <c r="S274" s="30">
        <f t="shared" si="438"/>
        <v>1190.6968828824142</v>
      </c>
      <c r="T274" s="448">
        <f>L270*T275</f>
        <v>1084.3846611964846</v>
      </c>
      <c r="U274" s="448">
        <f>L271*U275</f>
        <v>1297.0091045683441</v>
      </c>
      <c r="V274">
        <f t="shared" si="438"/>
        <v>0</v>
      </c>
      <c r="W274">
        <f t="shared" si="438"/>
        <v>0</v>
      </c>
      <c r="X274">
        <f t="shared" si="438"/>
        <v>0</v>
      </c>
      <c r="Y274">
        <f t="shared" si="438"/>
        <v>0</v>
      </c>
      <c r="Z274">
        <f t="shared" si="438"/>
        <v>0</v>
      </c>
      <c r="AA274">
        <f t="shared" si="298"/>
        <v>0</v>
      </c>
      <c r="AD274">
        <f t="shared" ref="AD274:AP274" si="439">AD92</f>
        <v>0</v>
      </c>
      <c r="AE274">
        <f t="shared" si="439"/>
        <v>0</v>
      </c>
      <c r="AF274">
        <f t="shared" si="439"/>
        <v>0</v>
      </c>
      <c r="AG274" s="11">
        <f t="shared" si="439"/>
        <v>0</v>
      </c>
      <c r="AH274">
        <f t="shared" si="439"/>
        <v>0</v>
      </c>
      <c r="AI274">
        <f t="shared" si="439"/>
        <v>0</v>
      </c>
      <c r="AJ274">
        <f t="shared" si="439"/>
        <v>0</v>
      </c>
      <c r="AK274">
        <f t="shared" si="439"/>
        <v>0</v>
      </c>
      <c r="AL274">
        <f t="shared" si="439"/>
        <v>0</v>
      </c>
      <c r="AM274">
        <f t="shared" si="439"/>
        <v>0</v>
      </c>
      <c r="AN274">
        <f t="shared" si="439"/>
        <v>0</v>
      </c>
      <c r="AO274">
        <f t="shared" si="439"/>
        <v>0</v>
      </c>
      <c r="AP274">
        <f t="shared" si="439"/>
        <v>0</v>
      </c>
      <c r="AQ274" s="2" t="s">
        <v>264</v>
      </c>
      <c r="AR274" s="8">
        <f>AO271*$O$270</f>
        <v>20206.633993076855</v>
      </c>
      <c r="AS274">
        <f t="shared" ref="AS274:AV274" si="440">AS92</f>
        <v>0</v>
      </c>
      <c r="AT274" s="18">
        <f t="shared" si="440"/>
        <v>0</v>
      </c>
      <c r="AU274" s="12" t="str">
        <f t="shared" si="440"/>
        <v>Hospitalized</v>
      </c>
      <c r="AV274" s="30">
        <f t="shared" si="440"/>
        <v>287.2215734506525</v>
      </c>
      <c r="AW274" s="448">
        <f>AO270*AW275</f>
        <v>261.57679010684427</v>
      </c>
      <c r="AX274" s="448">
        <f>AO271*AX275</f>
        <v>312.86635679446073</v>
      </c>
      <c r="AY274">
        <f t="shared" ref="AY274:BC274" si="441">AY92</f>
        <v>0</v>
      </c>
      <c r="AZ274">
        <f t="shared" si="441"/>
        <v>0</v>
      </c>
      <c r="BA274">
        <f t="shared" si="441"/>
        <v>0</v>
      </c>
      <c r="BB274">
        <f t="shared" si="441"/>
        <v>0</v>
      </c>
      <c r="BC274">
        <f t="shared" si="441"/>
        <v>0</v>
      </c>
      <c r="BD274">
        <f t="shared" si="301"/>
        <v>0</v>
      </c>
    </row>
    <row r="275" spans="1:56" x14ac:dyDescent="0.3">
      <c r="A275">
        <f t="shared" ref="A275:Z275" si="442">A93</f>
        <v>0</v>
      </c>
      <c r="B275">
        <f t="shared" si="442"/>
        <v>0</v>
      </c>
      <c r="C275">
        <f t="shared" si="442"/>
        <v>0</v>
      </c>
      <c r="D275" s="11">
        <f t="shared" si="442"/>
        <v>0</v>
      </c>
      <c r="E275">
        <f t="shared" si="442"/>
        <v>0</v>
      </c>
      <c r="F275">
        <f t="shared" si="442"/>
        <v>0</v>
      </c>
      <c r="G275">
        <f t="shared" si="442"/>
        <v>0</v>
      </c>
      <c r="H275">
        <f t="shared" si="442"/>
        <v>0</v>
      </c>
      <c r="I275">
        <f t="shared" si="442"/>
        <v>0</v>
      </c>
      <c r="J275">
        <f t="shared" si="442"/>
        <v>0</v>
      </c>
      <c r="K275">
        <f t="shared" si="442"/>
        <v>0</v>
      </c>
      <c r="L275" s="22">
        <f t="shared" si="442"/>
        <v>0</v>
      </c>
      <c r="M275">
        <f t="shared" si="442"/>
        <v>0</v>
      </c>
      <c r="N275">
        <f t="shared" si="442"/>
        <v>0</v>
      </c>
      <c r="O275">
        <f t="shared" si="442"/>
        <v>0</v>
      </c>
      <c r="P275">
        <f t="shared" si="442"/>
        <v>0</v>
      </c>
      <c r="Q275">
        <f t="shared" si="442"/>
        <v>0</v>
      </c>
      <c r="R275" s="2" t="str">
        <f t="shared" si="442"/>
        <v>p4c</v>
      </c>
      <c r="S275" s="61">
        <f>$S$93</f>
        <v>0.17737078858496569</v>
      </c>
      <c r="T275" s="61">
        <f t="shared" ref="T275:U275" si="443">$S$93</f>
        <v>0.17737078858496569</v>
      </c>
      <c r="U275" s="61">
        <f t="shared" si="443"/>
        <v>0.17737078858496569</v>
      </c>
      <c r="V275">
        <f t="shared" si="442"/>
        <v>0</v>
      </c>
      <c r="W275">
        <f t="shared" si="442"/>
        <v>0</v>
      </c>
      <c r="X275">
        <f t="shared" si="442"/>
        <v>0</v>
      </c>
      <c r="Y275">
        <f t="shared" si="442"/>
        <v>0</v>
      </c>
      <c r="Z275">
        <f t="shared" si="442"/>
        <v>0</v>
      </c>
      <c r="AA275">
        <f t="shared" si="298"/>
        <v>0</v>
      </c>
      <c r="AD275">
        <f t="shared" ref="AD275:AU275" si="444">AD93</f>
        <v>0</v>
      </c>
      <c r="AE275">
        <f t="shared" si="444"/>
        <v>0</v>
      </c>
      <c r="AF275">
        <f t="shared" si="444"/>
        <v>0</v>
      </c>
      <c r="AG275" s="11">
        <f t="shared" si="444"/>
        <v>0</v>
      </c>
      <c r="AH275">
        <f t="shared" si="444"/>
        <v>0</v>
      </c>
      <c r="AI275">
        <f t="shared" si="444"/>
        <v>0</v>
      </c>
      <c r="AJ275">
        <f t="shared" si="444"/>
        <v>0</v>
      </c>
      <c r="AK275">
        <f t="shared" si="444"/>
        <v>0</v>
      </c>
      <c r="AL275">
        <f t="shared" si="444"/>
        <v>0</v>
      </c>
      <c r="AM275">
        <f t="shared" si="444"/>
        <v>0</v>
      </c>
      <c r="AN275">
        <f t="shared" si="444"/>
        <v>0</v>
      </c>
      <c r="AO275" s="22">
        <f t="shared" si="444"/>
        <v>0</v>
      </c>
      <c r="AP275">
        <f t="shared" si="444"/>
        <v>0</v>
      </c>
      <c r="AQ275">
        <f t="shared" si="444"/>
        <v>0</v>
      </c>
      <c r="AR275">
        <f t="shared" si="444"/>
        <v>0</v>
      </c>
      <c r="AS275">
        <f t="shared" si="444"/>
        <v>0</v>
      </c>
      <c r="AT275">
        <f t="shared" si="444"/>
        <v>0</v>
      </c>
      <c r="AU275" s="2" t="str">
        <f t="shared" si="444"/>
        <v>p4c</v>
      </c>
      <c r="AV275" s="61">
        <f>AV93</f>
        <v>4.2785630594942822E-2</v>
      </c>
      <c r="AW275" s="61">
        <f>AV275</f>
        <v>4.2785630594942822E-2</v>
      </c>
      <c r="AX275" s="61">
        <f>AV275</f>
        <v>4.2785630594942822E-2</v>
      </c>
      <c r="AY275">
        <f t="shared" ref="AY275:BC275" si="445">AY93</f>
        <v>0</v>
      </c>
      <c r="AZ275">
        <f t="shared" si="445"/>
        <v>0</v>
      </c>
      <c r="BA275">
        <f t="shared" si="445"/>
        <v>0</v>
      </c>
      <c r="BB275">
        <f t="shared" si="445"/>
        <v>0</v>
      </c>
      <c r="BC275">
        <f t="shared" si="445"/>
        <v>0</v>
      </c>
      <c r="BD275">
        <f t="shared" si="301"/>
        <v>0</v>
      </c>
    </row>
    <row r="276" spans="1:56" x14ac:dyDescent="0.3">
      <c r="A276">
        <f t="shared" ref="A276:Z276" si="446">A94</f>
        <v>0</v>
      </c>
      <c r="B276">
        <f t="shared" si="446"/>
        <v>0</v>
      </c>
      <c r="C276">
        <f t="shared" si="446"/>
        <v>0</v>
      </c>
      <c r="D276" s="11">
        <f t="shared" si="446"/>
        <v>0</v>
      </c>
      <c r="E276">
        <f t="shared" si="446"/>
        <v>0</v>
      </c>
      <c r="F276">
        <f t="shared" si="446"/>
        <v>0</v>
      </c>
      <c r="G276">
        <f t="shared" si="446"/>
        <v>0</v>
      </c>
      <c r="H276">
        <f t="shared" si="446"/>
        <v>0</v>
      </c>
      <c r="I276">
        <f t="shared" si="446"/>
        <v>0</v>
      </c>
      <c r="J276">
        <f t="shared" si="446"/>
        <v>0</v>
      </c>
      <c r="K276">
        <f t="shared" si="446"/>
        <v>0</v>
      </c>
      <c r="L276">
        <f t="shared" si="446"/>
        <v>0</v>
      </c>
      <c r="M276">
        <f t="shared" si="446"/>
        <v>0</v>
      </c>
      <c r="N276">
        <f t="shared" si="446"/>
        <v>0</v>
      </c>
      <c r="O276">
        <f t="shared" si="446"/>
        <v>0</v>
      </c>
      <c r="P276">
        <f t="shared" si="446"/>
        <v>0</v>
      </c>
      <c r="Q276">
        <f t="shared" si="446"/>
        <v>0</v>
      </c>
      <c r="R276">
        <f t="shared" si="446"/>
        <v>0</v>
      </c>
      <c r="S276">
        <f t="shared" si="446"/>
        <v>0</v>
      </c>
      <c r="T276">
        <f t="shared" si="446"/>
        <v>0</v>
      </c>
      <c r="U276">
        <f t="shared" si="446"/>
        <v>0</v>
      </c>
      <c r="V276">
        <f t="shared" si="446"/>
        <v>0</v>
      </c>
      <c r="W276">
        <f t="shared" si="446"/>
        <v>0</v>
      </c>
      <c r="X276">
        <f t="shared" si="446"/>
        <v>0</v>
      </c>
      <c r="Y276">
        <f t="shared" si="446"/>
        <v>0</v>
      </c>
      <c r="Z276">
        <f t="shared" si="446"/>
        <v>0</v>
      </c>
      <c r="AA276">
        <f t="shared" si="298"/>
        <v>0</v>
      </c>
      <c r="AD276">
        <f t="shared" ref="AD276:BC276" si="447">AD94</f>
        <v>0</v>
      </c>
      <c r="AE276">
        <f t="shared" si="447"/>
        <v>0</v>
      </c>
      <c r="AF276">
        <f t="shared" si="447"/>
        <v>0</v>
      </c>
      <c r="AG276" s="11">
        <f t="shared" si="447"/>
        <v>0</v>
      </c>
      <c r="AH276">
        <f t="shared" si="447"/>
        <v>0</v>
      </c>
      <c r="AI276">
        <f t="shared" si="447"/>
        <v>0</v>
      </c>
      <c r="AJ276">
        <f t="shared" si="447"/>
        <v>0</v>
      </c>
      <c r="AK276">
        <f t="shared" si="447"/>
        <v>0</v>
      </c>
      <c r="AL276">
        <f t="shared" si="447"/>
        <v>0</v>
      </c>
      <c r="AM276">
        <f t="shared" si="447"/>
        <v>0</v>
      </c>
      <c r="AN276">
        <f t="shared" si="447"/>
        <v>0</v>
      </c>
      <c r="AO276">
        <f t="shared" si="447"/>
        <v>0</v>
      </c>
      <c r="AP276">
        <f t="shared" si="447"/>
        <v>0</v>
      </c>
      <c r="AQ276">
        <f t="shared" si="447"/>
        <v>0</v>
      </c>
      <c r="AR276">
        <f t="shared" si="447"/>
        <v>0</v>
      </c>
      <c r="AS276">
        <f t="shared" si="447"/>
        <v>0</v>
      </c>
      <c r="AT276">
        <f t="shared" si="447"/>
        <v>0</v>
      </c>
      <c r="AU276">
        <f t="shared" si="447"/>
        <v>0</v>
      </c>
      <c r="AV276">
        <f t="shared" si="447"/>
        <v>0</v>
      </c>
      <c r="AW276">
        <f t="shared" si="447"/>
        <v>0</v>
      </c>
      <c r="AX276">
        <f t="shared" si="447"/>
        <v>0</v>
      </c>
      <c r="AY276">
        <f t="shared" si="447"/>
        <v>0</v>
      </c>
      <c r="AZ276">
        <f t="shared" si="447"/>
        <v>0</v>
      </c>
      <c r="BA276">
        <f t="shared" si="447"/>
        <v>0</v>
      </c>
      <c r="BB276">
        <f t="shared" si="447"/>
        <v>0</v>
      </c>
      <c r="BC276">
        <f t="shared" si="447"/>
        <v>0</v>
      </c>
      <c r="BD276">
        <f t="shared" si="301"/>
        <v>0</v>
      </c>
    </row>
    <row r="277" spans="1:56" x14ac:dyDescent="0.3">
      <c r="A277" t="str">
        <f t="shared" ref="A277:Z277" si="448">A95</f>
        <v>sum check row</v>
      </c>
      <c r="B277" s="435">
        <f t="shared" si="448"/>
        <v>0</v>
      </c>
      <c r="C277">
        <f t="shared" si="448"/>
        <v>0</v>
      </c>
      <c r="D277" s="11">
        <f t="shared" si="448"/>
        <v>0</v>
      </c>
      <c r="E277">
        <f t="shared" si="448"/>
        <v>0</v>
      </c>
      <c r="F277">
        <f t="shared" si="448"/>
        <v>0</v>
      </c>
      <c r="G277" s="2" t="str">
        <f t="shared" si="448"/>
        <v>Bottom Branch:</v>
      </c>
      <c r="H277" s="2" t="str">
        <f t="shared" si="448"/>
        <v>sum check</v>
      </c>
      <c r="I277" s="21">
        <f t="shared" si="448"/>
        <v>1104844.9999999998</v>
      </c>
      <c r="J277">
        <f t="shared" si="448"/>
        <v>0</v>
      </c>
      <c r="K277" s="55" t="str">
        <f t="shared" si="448"/>
        <v>sum check</v>
      </c>
      <c r="L277" s="56">
        <f t="shared" si="448"/>
        <v>10827.481</v>
      </c>
      <c r="M277">
        <f t="shared" si="448"/>
        <v>0</v>
      </c>
      <c r="N277">
        <f t="shared" si="448"/>
        <v>0</v>
      </c>
      <c r="O277">
        <f t="shared" si="448"/>
        <v>0</v>
      </c>
      <c r="P277">
        <f t="shared" si="448"/>
        <v>0</v>
      </c>
      <c r="Q277">
        <f t="shared" si="448"/>
        <v>0</v>
      </c>
      <c r="R277" s="55" t="str">
        <f t="shared" si="448"/>
        <v>sum check</v>
      </c>
      <c r="S277" s="56">
        <f t="shared" si="448"/>
        <v>18550.352518234493</v>
      </c>
      <c r="T277">
        <f t="shared" si="448"/>
        <v>0</v>
      </c>
      <c r="U277">
        <f t="shared" si="448"/>
        <v>0</v>
      </c>
      <c r="V277">
        <f t="shared" si="448"/>
        <v>0</v>
      </c>
      <c r="W277">
        <f t="shared" si="448"/>
        <v>0</v>
      </c>
      <c r="X277">
        <f t="shared" si="448"/>
        <v>0</v>
      </c>
      <c r="Y277">
        <f t="shared" si="448"/>
        <v>0</v>
      </c>
      <c r="Z277">
        <f t="shared" si="448"/>
        <v>0</v>
      </c>
      <c r="AA277">
        <f t="shared" si="298"/>
        <v>0</v>
      </c>
      <c r="AD277" t="str">
        <f t="shared" ref="AD277:BC277" si="449">AD95</f>
        <v>sum check row</v>
      </c>
      <c r="AE277" s="679">
        <f t="shared" si="449"/>
        <v>0</v>
      </c>
      <c r="AF277">
        <f t="shared" si="449"/>
        <v>0</v>
      </c>
      <c r="AG277" s="11">
        <f t="shared" si="449"/>
        <v>0</v>
      </c>
      <c r="AH277">
        <f t="shared" si="449"/>
        <v>0</v>
      </c>
      <c r="AI277">
        <f t="shared" si="449"/>
        <v>0</v>
      </c>
      <c r="AJ277" s="2" t="str">
        <f t="shared" si="449"/>
        <v>Bottom Branch:</v>
      </c>
      <c r="AK277" s="2" t="str">
        <f t="shared" si="449"/>
        <v>sum check</v>
      </c>
      <c r="AL277" s="21">
        <f t="shared" si="449"/>
        <v>1104844.9999999998</v>
      </c>
      <c r="AM277">
        <f t="shared" si="449"/>
        <v>0</v>
      </c>
      <c r="AN277" s="55" t="str">
        <f t="shared" si="449"/>
        <v>sum check</v>
      </c>
      <c r="AO277" s="56">
        <f t="shared" si="449"/>
        <v>10827.481</v>
      </c>
      <c r="AP277">
        <f t="shared" si="449"/>
        <v>0</v>
      </c>
      <c r="AQ277">
        <f t="shared" si="449"/>
        <v>0</v>
      </c>
      <c r="AR277">
        <f t="shared" si="449"/>
        <v>0</v>
      </c>
      <c r="AS277">
        <f t="shared" si="449"/>
        <v>0</v>
      </c>
      <c r="AT277">
        <f t="shared" si="449"/>
        <v>0</v>
      </c>
      <c r="AU277" s="55" t="str">
        <f t="shared" si="449"/>
        <v>sum check</v>
      </c>
      <c r="AV277" s="56">
        <f t="shared" si="449"/>
        <v>7613.864775296779</v>
      </c>
      <c r="AW277">
        <f t="shared" si="449"/>
        <v>0</v>
      </c>
      <c r="AX277">
        <f t="shared" si="449"/>
        <v>0</v>
      </c>
      <c r="AY277">
        <f t="shared" si="449"/>
        <v>0</v>
      </c>
      <c r="AZ277">
        <f t="shared" si="449"/>
        <v>0</v>
      </c>
      <c r="BA277">
        <f t="shared" si="449"/>
        <v>0</v>
      </c>
      <c r="BB277">
        <f t="shared" si="449"/>
        <v>0</v>
      </c>
      <c r="BC277">
        <f t="shared" si="449"/>
        <v>0</v>
      </c>
      <c r="BD277">
        <f t="shared" si="301"/>
        <v>0</v>
      </c>
    </row>
    <row r="278" spans="1:56" x14ac:dyDescent="0.3">
      <c r="A278" s="435">
        <f t="shared" ref="A278:AA278" si="450">A96</f>
        <v>0</v>
      </c>
      <c r="B278" s="435">
        <f t="shared" si="450"/>
        <v>0</v>
      </c>
      <c r="C278">
        <f t="shared" si="450"/>
        <v>0</v>
      </c>
      <c r="D278" s="11">
        <f t="shared" si="450"/>
        <v>0</v>
      </c>
      <c r="E278">
        <f t="shared" si="450"/>
        <v>0</v>
      </c>
      <c r="F278">
        <f t="shared" si="450"/>
        <v>0</v>
      </c>
      <c r="G278">
        <f t="shared" si="450"/>
        <v>0</v>
      </c>
      <c r="H278">
        <f t="shared" si="450"/>
        <v>0</v>
      </c>
      <c r="I278">
        <f t="shared" si="450"/>
        <v>0</v>
      </c>
      <c r="J278">
        <f t="shared" si="450"/>
        <v>0</v>
      </c>
      <c r="K278">
        <f t="shared" si="450"/>
        <v>0</v>
      </c>
      <c r="L278">
        <f t="shared" si="450"/>
        <v>0</v>
      </c>
      <c r="M278">
        <f t="shared" si="450"/>
        <v>0</v>
      </c>
      <c r="N278">
        <f t="shared" si="450"/>
        <v>0</v>
      </c>
      <c r="O278">
        <f t="shared" si="450"/>
        <v>0</v>
      </c>
      <c r="P278">
        <f t="shared" si="450"/>
        <v>0</v>
      </c>
      <c r="Q278">
        <f t="shared" si="450"/>
        <v>0</v>
      </c>
      <c r="R278">
        <f t="shared" si="450"/>
        <v>0</v>
      </c>
      <c r="S278">
        <f t="shared" si="450"/>
        <v>0</v>
      </c>
      <c r="T278">
        <f t="shared" si="450"/>
        <v>0</v>
      </c>
      <c r="U278">
        <f t="shared" si="450"/>
        <v>0</v>
      </c>
      <c r="V278">
        <f t="shared" si="450"/>
        <v>0</v>
      </c>
      <c r="W278">
        <f t="shared" si="450"/>
        <v>0</v>
      </c>
      <c r="X278">
        <f t="shared" si="450"/>
        <v>0</v>
      </c>
      <c r="Y278">
        <f t="shared" si="450"/>
        <v>0</v>
      </c>
      <c r="Z278">
        <f t="shared" si="450"/>
        <v>0</v>
      </c>
      <c r="AA278">
        <f t="shared" si="450"/>
        <v>0</v>
      </c>
      <c r="AD278" s="679">
        <f t="shared" ref="AD278:BD278" si="451">AD96</f>
        <v>0</v>
      </c>
      <c r="AE278" s="679">
        <f t="shared" si="451"/>
        <v>0</v>
      </c>
      <c r="AF278">
        <f t="shared" si="451"/>
        <v>0</v>
      </c>
      <c r="AG278" s="11">
        <f t="shared" si="451"/>
        <v>0</v>
      </c>
      <c r="AH278">
        <f t="shared" si="451"/>
        <v>0</v>
      </c>
      <c r="AI278">
        <f t="shared" si="451"/>
        <v>0</v>
      </c>
      <c r="AJ278">
        <f t="shared" si="451"/>
        <v>0</v>
      </c>
      <c r="AK278">
        <f t="shared" si="451"/>
        <v>0</v>
      </c>
      <c r="AL278">
        <f t="shared" si="451"/>
        <v>0</v>
      </c>
      <c r="AM278">
        <f t="shared" si="451"/>
        <v>0</v>
      </c>
      <c r="AN278">
        <f t="shared" si="451"/>
        <v>0</v>
      </c>
      <c r="AO278">
        <f t="shared" si="451"/>
        <v>0</v>
      </c>
      <c r="AP278">
        <f t="shared" si="451"/>
        <v>0</v>
      </c>
      <c r="AQ278">
        <f t="shared" si="451"/>
        <v>0</v>
      </c>
      <c r="AR278">
        <f t="shared" si="451"/>
        <v>0</v>
      </c>
      <c r="AS278">
        <f t="shared" si="451"/>
        <v>0</v>
      </c>
      <c r="AT278">
        <f t="shared" si="451"/>
        <v>0</v>
      </c>
      <c r="AU278">
        <f t="shared" si="451"/>
        <v>0</v>
      </c>
      <c r="AV278">
        <f t="shared" si="451"/>
        <v>0</v>
      </c>
      <c r="AW278">
        <f t="shared" si="451"/>
        <v>0</v>
      </c>
      <c r="AX278">
        <f t="shared" si="451"/>
        <v>0</v>
      </c>
      <c r="AY278">
        <f t="shared" si="451"/>
        <v>0</v>
      </c>
      <c r="AZ278">
        <f t="shared" si="451"/>
        <v>0</v>
      </c>
      <c r="BA278">
        <f t="shared" si="451"/>
        <v>0</v>
      </c>
      <c r="BB278">
        <f t="shared" si="451"/>
        <v>0</v>
      </c>
      <c r="BC278">
        <f t="shared" si="451"/>
        <v>0</v>
      </c>
      <c r="BD278">
        <f t="shared" si="451"/>
        <v>0</v>
      </c>
    </row>
    <row r="279" spans="1:56" x14ac:dyDescent="0.3">
      <c r="A279" s="1115" t="str">
        <f t="shared" ref="A279:AA279" si="452">A97</f>
        <v>Pregnancies reaching 3rd trimester that result in a live birth</v>
      </c>
      <c r="B279" s="1115">
        <f t="shared" si="452"/>
        <v>0</v>
      </c>
      <c r="C279" s="90">
        <f t="shared" si="452"/>
        <v>3945875</v>
      </c>
      <c r="D279" s="11">
        <f t="shared" si="452"/>
        <v>0</v>
      </c>
      <c r="E279">
        <f t="shared" si="452"/>
        <v>0</v>
      </c>
      <c r="F279">
        <f t="shared" si="452"/>
        <v>0</v>
      </c>
      <c r="G279">
        <f t="shared" si="452"/>
        <v>0</v>
      </c>
      <c r="H279">
        <f t="shared" si="452"/>
        <v>0</v>
      </c>
      <c r="I279">
        <f t="shared" si="452"/>
        <v>0</v>
      </c>
      <c r="J279">
        <f t="shared" si="452"/>
        <v>0</v>
      </c>
      <c r="K279">
        <f t="shared" si="452"/>
        <v>0</v>
      </c>
      <c r="L279">
        <f t="shared" si="452"/>
        <v>0</v>
      </c>
      <c r="M279">
        <f t="shared" si="452"/>
        <v>0</v>
      </c>
      <c r="N279">
        <f t="shared" si="452"/>
        <v>0</v>
      </c>
      <c r="O279">
        <f t="shared" si="452"/>
        <v>0</v>
      </c>
      <c r="P279">
        <f t="shared" si="452"/>
        <v>0</v>
      </c>
      <c r="Q279">
        <f t="shared" si="452"/>
        <v>0</v>
      </c>
      <c r="R279">
        <f t="shared" si="452"/>
        <v>0</v>
      </c>
      <c r="S279">
        <f t="shared" si="452"/>
        <v>0</v>
      </c>
      <c r="T279">
        <f t="shared" si="452"/>
        <v>0</v>
      </c>
      <c r="U279">
        <f t="shared" si="452"/>
        <v>0</v>
      </c>
      <c r="V279">
        <f t="shared" si="452"/>
        <v>0</v>
      </c>
      <c r="W279">
        <f t="shared" si="452"/>
        <v>0</v>
      </c>
      <c r="X279">
        <f t="shared" si="452"/>
        <v>0</v>
      </c>
      <c r="Y279">
        <f t="shared" si="452"/>
        <v>0</v>
      </c>
      <c r="Z279">
        <f t="shared" si="452"/>
        <v>0</v>
      </c>
      <c r="AA279">
        <f t="shared" si="452"/>
        <v>0</v>
      </c>
      <c r="AD279" s="1115" t="str">
        <f t="shared" ref="AD279:BD279" si="453">AD97</f>
        <v>Pregnancies reaching 3rd trimester that result in a live birth</v>
      </c>
      <c r="AE279" s="1115">
        <f t="shared" si="453"/>
        <v>0</v>
      </c>
      <c r="AF279" s="90">
        <f t="shared" si="453"/>
        <v>0</v>
      </c>
      <c r="AG279" s="11">
        <f t="shared" si="453"/>
        <v>0</v>
      </c>
      <c r="AH279">
        <f t="shared" si="453"/>
        <v>0</v>
      </c>
      <c r="AI279">
        <f t="shared" si="453"/>
        <v>0</v>
      </c>
      <c r="AJ279">
        <f t="shared" si="453"/>
        <v>0</v>
      </c>
      <c r="AK279">
        <f t="shared" si="453"/>
        <v>0</v>
      </c>
      <c r="AL279">
        <f t="shared" si="453"/>
        <v>0</v>
      </c>
      <c r="AM279">
        <f t="shared" si="453"/>
        <v>0</v>
      </c>
      <c r="AN279">
        <f t="shared" si="453"/>
        <v>0</v>
      </c>
      <c r="AO279">
        <f t="shared" si="453"/>
        <v>0</v>
      </c>
      <c r="AP279">
        <f t="shared" si="453"/>
        <v>0</v>
      </c>
      <c r="AQ279">
        <f t="shared" si="453"/>
        <v>0</v>
      </c>
      <c r="AR279">
        <f t="shared" si="453"/>
        <v>0</v>
      </c>
      <c r="AS279">
        <f t="shared" si="453"/>
        <v>0</v>
      </c>
      <c r="AT279">
        <f t="shared" si="453"/>
        <v>0</v>
      </c>
      <c r="AU279">
        <f t="shared" si="453"/>
        <v>0</v>
      </c>
      <c r="AV279">
        <f t="shared" si="453"/>
        <v>0</v>
      </c>
      <c r="AW279">
        <f t="shared" si="453"/>
        <v>0</v>
      </c>
      <c r="AX279">
        <f t="shared" si="453"/>
        <v>0</v>
      </c>
      <c r="AY279">
        <f t="shared" si="453"/>
        <v>0</v>
      </c>
      <c r="AZ279">
        <f t="shared" si="453"/>
        <v>0</v>
      </c>
      <c r="BA279">
        <f t="shared" si="453"/>
        <v>0</v>
      </c>
      <c r="BB279">
        <f t="shared" si="453"/>
        <v>0</v>
      </c>
      <c r="BC279">
        <f t="shared" si="453"/>
        <v>0</v>
      </c>
      <c r="BD279">
        <f t="shared" si="453"/>
        <v>0</v>
      </c>
    </row>
    <row r="280" spans="1:56" x14ac:dyDescent="0.3">
      <c r="A280" s="1115">
        <f t="shared" ref="A280:AA280" si="454">A98</f>
        <v>0</v>
      </c>
      <c r="B280" s="1115">
        <f t="shared" si="454"/>
        <v>0</v>
      </c>
      <c r="C280">
        <f t="shared" si="454"/>
        <v>0</v>
      </c>
      <c r="D280" s="11">
        <f t="shared" si="454"/>
        <v>0</v>
      </c>
      <c r="E280">
        <f t="shared" si="454"/>
        <v>0</v>
      </c>
      <c r="F280">
        <f t="shared" si="454"/>
        <v>0</v>
      </c>
      <c r="G280">
        <f t="shared" si="454"/>
        <v>0</v>
      </c>
      <c r="H280">
        <f t="shared" si="454"/>
        <v>0</v>
      </c>
      <c r="I280">
        <f t="shared" si="454"/>
        <v>0</v>
      </c>
      <c r="J280">
        <f t="shared" si="454"/>
        <v>0</v>
      </c>
      <c r="K280">
        <f t="shared" si="454"/>
        <v>0</v>
      </c>
      <c r="L280">
        <f t="shared" si="454"/>
        <v>0</v>
      </c>
      <c r="M280">
        <f t="shared" si="454"/>
        <v>0</v>
      </c>
      <c r="N280">
        <f t="shared" si="454"/>
        <v>0</v>
      </c>
      <c r="O280">
        <f t="shared" si="454"/>
        <v>0</v>
      </c>
      <c r="P280">
        <f t="shared" si="454"/>
        <v>0</v>
      </c>
      <c r="Q280">
        <f t="shared" si="454"/>
        <v>0</v>
      </c>
      <c r="R280">
        <f t="shared" si="454"/>
        <v>0</v>
      </c>
      <c r="S280">
        <f t="shared" si="454"/>
        <v>0</v>
      </c>
      <c r="T280">
        <f t="shared" si="454"/>
        <v>0</v>
      </c>
      <c r="U280">
        <f t="shared" si="454"/>
        <v>0</v>
      </c>
      <c r="V280">
        <f t="shared" si="454"/>
        <v>0</v>
      </c>
      <c r="W280">
        <f t="shared" si="454"/>
        <v>0</v>
      </c>
      <c r="X280">
        <f t="shared" si="454"/>
        <v>0</v>
      </c>
      <c r="Y280">
        <f t="shared" si="454"/>
        <v>0</v>
      </c>
      <c r="Z280">
        <f t="shared" si="454"/>
        <v>0</v>
      </c>
      <c r="AA280">
        <f t="shared" si="454"/>
        <v>0</v>
      </c>
      <c r="AD280" s="1115">
        <f t="shared" ref="AD280:BD280" si="455">AD98</f>
        <v>0</v>
      </c>
      <c r="AE280" s="1115">
        <f t="shared" si="455"/>
        <v>0</v>
      </c>
      <c r="AF280">
        <f t="shared" si="455"/>
        <v>0</v>
      </c>
      <c r="AG280" s="11">
        <f t="shared" si="455"/>
        <v>0</v>
      </c>
      <c r="AH280">
        <f t="shared" si="455"/>
        <v>0</v>
      </c>
      <c r="AI280">
        <f t="shared" si="455"/>
        <v>0</v>
      </c>
      <c r="AJ280">
        <f t="shared" si="455"/>
        <v>0</v>
      </c>
      <c r="AK280">
        <f t="shared" si="455"/>
        <v>0</v>
      </c>
      <c r="AL280">
        <f t="shared" si="455"/>
        <v>0</v>
      </c>
      <c r="AM280">
        <f t="shared" si="455"/>
        <v>0</v>
      </c>
      <c r="AN280">
        <f t="shared" si="455"/>
        <v>0</v>
      </c>
      <c r="AO280">
        <f t="shared" si="455"/>
        <v>0</v>
      </c>
      <c r="AP280">
        <f t="shared" si="455"/>
        <v>0</v>
      </c>
      <c r="AQ280">
        <f t="shared" si="455"/>
        <v>0</v>
      </c>
      <c r="AR280">
        <f t="shared" si="455"/>
        <v>0</v>
      </c>
      <c r="AS280">
        <f t="shared" si="455"/>
        <v>0</v>
      </c>
      <c r="AT280">
        <f t="shared" si="455"/>
        <v>0</v>
      </c>
      <c r="AU280">
        <f t="shared" si="455"/>
        <v>0</v>
      </c>
      <c r="AV280">
        <f t="shared" si="455"/>
        <v>0</v>
      </c>
      <c r="AW280">
        <f t="shared" si="455"/>
        <v>0</v>
      </c>
      <c r="AX280">
        <f t="shared" si="455"/>
        <v>0</v>
      </c>
      <c r="AY280">
        <f t="shared" si="455"/>
        <v>0</v>
      </c>
      <c r="AZ280">
        <f t="shared" si="455"/>
        <v>0</v>
      </c>
      <c r="BA280">
        <f t="shared" si="455"/>
        <v>0</v>
      </c>
      <c r="BB280">
        <f t="shared" si="455"/>
        <v>0</v>
      </c>
      <c r="BC280">
        <f t="shared" si="455"/>
        <v>0</v>
      </c>
      <c r="BD280">
        <f t="shared" si="455"/>
        <v>0</v>
      </c>
    </row>
    <row r="281" spans="1:56" x14ac:dyDescent="0.3">
      <c r="A281" s="1115">
        <f t="shared" ref="A281:AA281" si="456">A99</f>
        <v>0</v>
      </c>
      <c r="B281" s="1115">
        <f t="shared" si="456"/>
        <v>0</v>
      </c>
      <c r="C281">
        <f t="shared" si="456"/>
        <v>0</v>
      </c>
      <c r="D281" s="11">
        <f t="shared" si="456"/>
        <v>0</v>
      </c>
      <c r="E281">
        <f t="shared" si="456"/>
        <v>0</v>
      </c>
      <c r="F281">
        <f t="shared" si="456"/>
        <v>0</v>
      </c>
      <c r="G281">
        <f t="shared" si="456"/>
        <v>0</v>
      </c>
      <c r="H281">
        <f t="shared" si="456"/>
        <v>0</v>
      </c>
      <c r="I281">
        <f t="shared" si="456"/>
        <v>0</v>
      </c>
      <c r="J281">
        <f t="shared" si="456"/>
        <v>0</v>
      </c>
      <c r="K281">
        <f t="shared" si="456"/>
        <v>0</v>
      </c>
      <c r="L281">
        <f t="shared" si="456"/>
        <v>0</v>
      </c>
      <c r="M281">
        <f t="shared" si="456"/>
        <v>0</v>
      </c>
      <c r="N281">
        <f t="shared" si="456"/>
        <v>0</v>
      </c>
      <c r="O281">
        <f t="shared" si="456"/>
        <v>0</v>
      </c>
      <c r="P281">
        <f t="shared" si="456"/>
        <v>0</v>
      </c>
      <c r="Q281">
        <f t="shared" si="456"/>
        <v>0</v>
      </c>
      <c r="R281">
        <f t="shared" si="456"/>
        <v>0</v>
      </c>
      <c r="S281">
        <f t="shared" si="456"/>
        <v>0</v>
      </c>
      <c r="T281">
        <f t="shared" si="456"/>
        <v>0</v>
      </c>
      <c r="U281">
        <f t="shared" si="456"/>
        <v>0</v>
      </c>
      <c r="V281">
        <f t="shared" si="456"/>
        <v>0</v>
      </c>
      <c r="W281">
        <f t="shared" si="456"/>
        <v>0</v>
      </c>
      <c r="X281">
        <f t="shared" si="456"/>
        <v>0</v>
      </c>
      <c r="Y281">
        <f t="shared" si="456"/>
        <v>0</v>
      </c>
      <c r="Z281">
        <f t="shared" si="456"/>
        <v>0</v>
      </c>
      <c r="AA281">
        <f t="shared" si="456"/>
        <v>0</v>
      </c>
      <c r="AD281" s="1115">
        <f t="shared" ref="AD281:BD281" si="457">AD99</f>
        <v>0</v>
      </c>
      <c r="AE281" s="1115">
        <f t="shared" si="457"/>
        <v>0</v>
      </c>
      <c r="AF281">
        <f t="shared" si="457"/>
        <v>0</v>
      </c>
      <c r="AG281" s="11">
        <f t="shared" si="457"/>
        <v>0</v>
      </c>
      <c r="AH281">
        <f t="shared" si="457"/>
        <v>0</v>
      </c>
      <c r="AI281">
        <f t="shared" si="457"/>
        <v>0</v>
      </c>
      <c r="AJ281">
        <f t="shared" si="457"/>
        <v>0</v>
      </c>
      <c r="AK281">
        <f t="shared" si="457"/>
        <v>0</v>
      </c>
      <c r="AL281">
        <f t="shared" si="457"/>
        <v>0</v>
      </c>
      <c r="AM281">
        <f t="shared" si="457"/>
        <v>0</v>
      </c>
      <c r="AN281">
        <f t="shared" si="457"/>
        <v>0</v>
      </c>
      <c r="AO281">
        <f t="shared" si="457"/>
        <v>0</v>
      </c>
      <c r="AP281">
        <f t="shared" si="457"/>
        <v>0</v>
      </c>
      <c r="AQ281">
        <f t="shared" si="457"/>
        <v>0</v>
      </c>
      <c r="AR281">
        <f t="shared" si="457"/>
        <v>0</v>
      </c>
      <c r="AS281">
        <f t="shared" si="457"/>
        <v>0</v>
      </c>
      <c r="AT281">
        <f t="shared" si="457"/>
        <v>0</v>
      </c>
      <c r="AU281">
        <f t="shared" si="457"/>
        <v>0</v>
      </c>
      <c r="AV281">
        <f t="shared" si="457"/>
        <v>0</v>
      </c>
      <c r="AW281">
        <f t="shared" si="457"/>
        <v>0</v>
      </c>
      <c r="AX281">
        <f t="shared" si="457"/>
        <v>0</v>
      </c>
      <c r="AY281">
        <f t="shared" si="457"/>
        <v>0</v>
      </c>
      <c r="AZ281">
        <f t="shared" si="457"/>
        <v>0</v>
      </c>
      <c r="BA281">
        <f t="shared" si="457"/>
        <v>0</v>
      </c>
      <c r="BB281">
        <f t="shared" si="457"/>
        <v>0</v>
      </c>
      <c r="BC281">
        <f t="shared" si="457"/>
        <v>0</v>
      </c>
      <c r="BD281">
        <f t="shared" si="457"/>
        <v>0</v>
      </c>
    </row>
    <row r="282" spans="1:56" x14ac:dyDescent="0.3">
      <c r="A282" t="str">
        <f t="shared" ref="A282:AA282" si="458">A100</f>
        <v>sum check row</v>
      </c>
      <c r="B282">
        <f t="shared" si="458"/>
        <v>0</v>
      </c>
      <c r="C282">
        <f t="shared" si="458"/>
        <v>0</v>
      </c>
      <c r="D282" s="11">
        <f t="shared" si="458"/>
        <v>0</v>
      </c>
      <c r="E282">
        <f t="shared" si="458"/>
        <v>0</v>
      </c>
      <c r="F282">
        <f t="shared" si="458"/>
        <v>0</v>
      </c>
      <c r="G282" t="str">
        <f t="shared" si="458"/>
        <v>Top Branch:</v>
      </c>
      <c r="H282" t="str">
        <f t="shared" si="458"/>
        <v>sum check</v>
      </c>
      <c r="I282" s="8">
        <f t="shared" si="458"/>
        <v>8507.3064999999988</v>
      </c>
      <c r="J282">
        <f t="shared" si="458"/>
        <v>0</v>
      </c>
      <c r="K282">
        <f t="shared" si="458"/>
        <v>0</v>
      </c>
      <c r="L282">
        <f t="shared" si="458"/>
        <v>0</v>
      </c>
      <c r="M282">
        <f t="shared" si="458"/>
        <v>0</v>
      </c>
      <c r="N282">
        <f t="shared" si="458"/>
        <v>0</v>
      </c>
      <c r="O282">
        <f t="shared" si="458"/>
        <v>0</v>
      </c>
      <c r="P282">
        <f t="shared" si="458"/>
        <v>0</v>
      </c>
      <c r="Q282" s="2" t="str">
        <f t="shared" si="458"/>
        <v>sum check</v>
      </c>
      <c r="R282" s="28">
        <f t="shared" si="458"/>
        <v>0</v>
      </c>
      <c r="S282" s="19">
        <f t="shared" si="458"/>
        <v>0</v>
      </c>
      <c r="T282">
        <f t="shared" si="458"/>
        <v>0</v>
      </c>
      <c r="U282">
        <f t="shared" si="458"/>
        <v>0</v>
      </c>
      <c r="V282" s="2" t="str">
        <f t="shared" si="458"/>
        <v>sum check</v>
      </c>
      <c r="W282" s="21">
        <f t="shared" si="458"/>
        <v>0</v>
      </c>
      <c r="X282">
        <f t="shared" si="458"/>
        <v>0</v>
      </c>
      <c r="Y282">
        <f t="shared" si="458"/>
        <v>0</v>
      </c>
      <c r="Z282">
        <f t="shared" si="458"/>
        <v>0</v>
      </c>
      <c r="AA282">
        <f t="shared" si="458"/>
        <v>0</v>
      </c>
      <c r="AD282" t="str">
        <f t="shared" ref="AD282:BD282" si="459">AD100</f>
        <v>sum check row</v>
      </c>
      <c r="AE282">
        <f t="shared" si="459"/>
        <v>0</v>
      </c>
      <c r="AF282">
        <f t="shared" si="459"/>
        <v>0</v>
      </c>
      <c r="AG282" s="11">
        <f t="shared" si="459"/>
        <v>0</v>
      </c>
      <c r="AH282">
        <f t="shared" si="459"/>
        <v>0</v>
      </c>
      <c r="AI282">
        <f t="shared" si="459"/>
        <v>0</v>
      </c>
      <c r="AJ282" t="str">
        <f t="shared" si="459"/>
        <v>Top Branch:</v>
      </c>
      <c r="AK282" t="str">
        <f t="shared" si="459"/>
        <v>sum check</v>
      </c>
      <c r="AL282" s="8">
        <f t="shared" si="459"/>
        <v>8507.3064999999988</v>
      </c>
      <c r="AM282">
        <f t="shared" si="459"/>
        <v>0</v>
      </c>
      <c r="AN282">
        <f t="shared" si="459"/>
        <v>0</v>
      </c>
      <c r="AO282">
        <f t="shared" si="459"/>
        <v>0</v>
      </c>
      <c r="AP282">
        <f t="shared" si="459"/>
        <v>0</v>
      </c>
      <c r="AQ282">
        <f t="shared" si="459"/>
        <v>0</v>
      </c>
      <c r="AR282">
        <f t="shared" si="459"/>
        <v>0</v>
      </c>
      <c r="AS282">
        <f t="shared" si="459"/>
        <v>0</v>
      </c>
      <c r="AT282" s="2" t="str">
        <f t="shared" si="459"/>
        <v>sum check</v>
      </c>
      <c r="AU282" s="28">
        <f t="shared" si="459"/>
        <v>0</v>
      </c>
      <c r="AV282" s="19">
        <f t="shared" si="459"/>
        <v>0</v>
      </c>
      <c r="AW282">
        <f t="shared" si="459"/>
        <v>0</v>
      </c>
      <c r="AX282">
        <f t="shared" si="459"/>
        <v>0</v>
      </c>
      <c r="AY282" s="2" t="str">
        <f t="shared" si="459"/>
        <v>sum check</v>
      </c>
      <c r="AZ282" s="21">
        <f t="shared" si="459"/>
        <v>0</v>
      </c>
      <c r="BA282">
        <f t="shared" si="459"/>
        <v>0</v>
      </c>
      <c r="BB282">
        <f t="shared" si="459"/>
        <v>0</v>
      </c>
      <c r="BC282">
        <f t="shared" si="459"/>
        <v>0</v>
      </c>
      <c r="BD282">
        <f t="shared" si="459"/>
        <v>0</v>
      </c>
    </row>
    <row r="283" spans="1:56" x14ac:dyDescent="0.3">
      <c r="A283" t="str">
        <f t="shared" ref="A283:AA283" si="460">A101</f>
        <v>sum check row</v>
      </c>
      <c r="B283">
        <f t="shared" si="460"/>
        <v>0</v>
      </c>
      <c r="C283">
        <f t="shared" si="460"/>
        <v>0</v>
      </c>
      <c r="D283" s="11">
        <f t="shared" si="460"/>
        <v>0</v>
      </c>
      <c r="E283">
        <f t="shared" si="460"/>
        <v>0</v>
      </c>
      <c r="F283">
        <f t="shared" si="460"/>
        <v>0</v>
      </c>
      <c r="G283">
        <f t="shared" si="460"/>
        <v>0</v>
      </c>
      <c r="H283">
        <f t="shared" si="460"/>
        <v>0</v>
      </c>
      <c r="I283" s="8">
        <f t="shared" si="460"/>
        <v>0</v>
      </c>
      <c r="J283">
        <f t="shared" si="460"/>
        <v>0</v>
      </c>
      <c r="K283">
        <f t="shared" si="460"/>
        <v>0</v>
      </c>
      <c r="L283">
        <f t="shared" si="460"/>
        <v>0</v>
      </c>
      <c r="M283">
        <f t="shared" si="460"/>
        <v>0</v>
      </c>
      <c r="N283">
        <f t="shared" si="460"/>
        <v>0</v>
      </c>
      <c r="O283">
        <f t="shared" si="460"/>
        <v>0</v>
      </c>
      <c r="P283">
        <f t="shared" si="460"/>
        <v>0</v>
      </c>
      <c r="Q283" s="2">
        <f t="shared" si="460"/>
        <v>0</v>
      </c>
      <c r="R283" s="28">
        <f t="shared" si="460"/>
        <v>0</v>
      </c>
      <c r="S283" s="19">
        <f t="shared" si="460"/>
        <v>0</v>
      </c>
      <c r="T283">
        <f t="shared" si="460"/>
        <v>0</v>
      </c>
      <c r="U283">
        <f t="shared" si="460"/>
        <v>0</v>
      </c>
      <c r="V283" s="2" t="str">
        <f t="shared" si="460"/>
        <v>sum check</v>
      </c>
      <c r="W283" s="21">
        <f t="shared" si="460"/>
        <v>0</v>
      </c>
      <c r="X283">
        <f t="shared" si="460"/>
        <v>0</v>
      </c>
      <c r="Y283">
        <f t="shared" si="460"/>
        <v>0</v>
      </c>
      <c r="Z283">
        <f t="shared" si="460"/>
        <v>0</v>
      </c>
      <c r="AA283">
        <f t="shared" si="460"/>
        <v>0</v>
      </c>
      <c r="AD283" t="str">
        <f t="shared" ref="AD283:BD283" si="461">AD101</f>
        <v>sum check row</v>
      </c>
      <c r="AE283">
        <f t="shared" si="461"/>
        <v>0</v>
      </c>
      <c r="AF283">
        <f t="shared" si="461"/>
        <v>0</v>
      </c>
      <c r="AG283" s="11">
        <f t="shared" si="461"/>
        <v>0</v>
      </c>
      <c r="AH283">
        <f t="shared" si="461"/>
        <v>0</v>
      </c>
      <c r="AI283">
        <f t="shared" si="461"/>
        <v>0</v>
      </c>
      <c r="AJ283">
        <f t="shared" si="461"/>
        <v>0</v>
      </c>
      <c r="AK283">
        <f t="shared" si="461"/>
        <v>0</v>
      </c>
      <c r="AL283" s="8">
        <f t="shared" si="461"/>
        <v>0</v>
      </c>
      <c r="AM283">
        <f t="shared" si="461"/>
        <v>0</v>
      </c>
      <c r="AN283">
        <f t="shared" si="461"/>
        <v>0</v>
      </c>
      <c r="AO283">
        <f t="shared" si="461"/>
        <v>0</v>
      </c>
      <c r="AP283">
        <f t="shared" si="461"/>
        <v>0</v>
      </c>
      <c r="AQ283">
        <f t="shared" si="461"/>
        <v>0</v>
      </c>
      <c r="AR283">
        <f t="shared" si="461"/>
        <v>0</v>
      </c>
      <c r="AS283">
        <f t="shared" si="461"/>
        <v>0</v>
      </c>
      <c r="AT283" s="2">
        <f t="shared" si="461"/>
        <v>0</v>
      </c>
      <c r="AU283" s="28">
        <f t="shared" si="461"/>
        <v>0</v>
      </c>
      <c r="AV283" s="19">
        <f t="shared" si="461"/>
        <v>0</v>
      </c>
      <c r="AW283">
        <f t="shared" si="461"/>
        <v>0</v>
      </c>
      <c r="AX283">
        <f t="shared" si="461"/>
        <v>0</v>
      </c>
      <c r="AY283" s="2" t="str">
        <f t="shared" si="461"/>
        <v>sum check</v>
      </c>
      <c r="AZ283" s="21">
        <f t="shared" si="461"/>
        <v>0</v>
      </c>
      <c r="BA283">
        <f t="shared" si="461"/>
        <v>0</v>
      </c>
      <c r="BB283">
        <f t="shared" si="461"/>
        <v>0</v>
      </c>
      <c r="BC283">
        <f t="shared" si="461"/>
        <v>0</v>
      </c>
      <c r="BD283">
        <f t="shared" si="461"/>
        <v>0</v>
      </c>
    </row>
    <row r="284" spans="1:56" x14ac:dyDescent="0.3">
      <c r="A284">
        <f t="shared" ref="A284:AA284" si="462">A102</f>
        <v>0</v>
      </c>
      <c r="B284">
        <f t="shared" si="462"/>
        <v>0</v>
      </c>
      <c r="C284">
        <f t="shared" si="462"/>
        <v>0</v>
      </c>
      <c r="D284" s="11">
        <f t="shared" si="462"/>
        <v>0</v>
      </c>
      <c r="E284">
        <f t="shared" si="462"/>
        <v>0</v>
      </c>
      <c r="F284">
        <f t="shared" si="462"/>
        <v>0</v>
      </c>
      <c r="G284">
        <f t="shared" si="462"/>
        <v>0</v>
      </c>
      <c r="H284">
        <f t="shared" si="462"/>
        <v>0</v>
      </c>
      <c r="I284">
        <f t="shared" si="462"/>
        <v>0</v>
      </c>
      <c r="J284">
        <f t="shared" si="462"/>
        <v>0</v>
      </c>
      <c r="K284">
        <f t="shared" si="462"/>
        <v>0</v>
      </c>
      <c r="L284">
        <f t="shared" si="462"/>
        <v>0</v>
      </c>
      <c r="M284">
        <f t="shared" si="462"/>
        <v>0</v>
      </c>
      <c r="N284">
        <f t="shared" si="462"/>
        <v>0</v>
      </c>
      <c r="O284">
        <f t="shared" si="462"/>
        <v>0</v>
      </c>
      <c r="P284">
        <f t="shared" si="462"/>
        <v>0</v>
      </c>
      <c r="Q284">
        <f t="shared" si="462"/>
        <v>0</v>
      </c>
      <c r="R284">
        <f t="shared" si="462"/>
        <v>0</v>
      </c>
      <c r="S284">
        <f t="shared" si="462"/>
        <v>0</v>
      </c>
      <c r="T284">
        <f t="shared" si="462"/>
        <v>0</v>
      </c>
      <c r="U284">
        <f t="shared" si="462"/>
        <v>0</v>
      </c>
      <c r="V284">
        <f t="shared" si="462"/>
        <v>0</v>
      </c>
      <c r="W284">
        <f t="shared" si="462"/>
        <v>0</v>
      </c>
      <c r="X284">
        <f t="shared" si="462"/>
        <v>0</v>
      </c>
      <c r="Y284">
        <f t="shared" si="462"/>
        <v>0</v>
      </c>
      <c r="Z284">
        <f t="shared" si="462"/>
        <v>0</v>
      </c>
      <c r="AA284">
        <f t="shared" si="462"/>
        <v>0</v>
      </c>
      <c r="AD284">
        <f t="shared" ref="AD284:BD284" si="463">AD102</f>
        <v>0</v>
      </c>
      <c r="AE284">
        <f t="shared" si="463"/>
        <v>0</v>
      </c>
      <c r="AF284">
        <f t="shared" si="463"/>
        <v>0</v>
      </c>
      <c r="AG284" s="11">
        <f t="shared" si="463"/>
        <v>0</v>
      </c>
      <c r="AH284">
        <f t="shared" si="463"/>
        <v>0</v>
      </c>
      <c r="AI284">
        <f t="shared" si="463"/>
        <v>0</v>
      </c>
      <c r="AJ284">
        <f t="shared" si="463"/>
        <v>0</v>
      </c>
      <c r="AK284">
        <f t="shared" si="463"/>
        <v>0</v>
      </c>
      <c r="AL284">
        <f t="shared" si="463"/>
        <v>0</v>
      </c>
      <c r="AM284">
        <f t="shared" si="463"/>
        <v>0</v>
      </c>
      <c r="AN284">
        <f t="shared" si="463"/>
        <v>0</v>
      </c>
      <c r="AO284">
        <f t="shared" si="463"/>
        <v>0</v>
      </c>
      <c r="AP284">
        <f t="shared" si="463"/>
        <v>0</v>
      </c>
      <c r="AQ284">
        <f t="shared" si="463"/>
        <v>0</v>
      </c>
      <c r="AR284">
        <f t="shared" si="463"/>
        <v>0</v>
      </c>
      <c r="AS284">
        <f t="shared" si="463"/>
        <v>0</v>
      </c>
      <c r="AT284">
        <f t="shared" si="463"/>
        <v>0</v>
      </c>
      <c r="AU284">
        <f t="shared" si="463"/>
        <v>0</v>
      </c>
      <c r="AV284">
        <f t="shared" si="463"/>
        <v>0</v>
      </c>
      <c r="AW284">
        <f t="shared" si="463"/>
        <v>0</v>
      </c>
      <c r="AX284">
        <f t="shared" si="463"/>
        <v>0</v>
      </c>
      <c r="AY284">
        <f t="shared" si="463"/>
        <v>0</v>
      </c>
      <c r="AZ284">
        <f t="shared" si="463"/>
        <v>0</v>
      </c>
      <c r="BA284">
        <f t="shared" si="463"/>
        <v>0</v>
      </c>
      <c r="BB284">
        <f t="shared" si="463"/>
        <v>0</v>
      </c>
      <c r="BC284">
        <f t="shared" si="463"/>
        <v>0</v>
      </c>
      <c r="BD284">
        <f t="shared" si="463"/>
        <v>0</v>
      </c>
    </row>
    <row r="285" spans="1:56" x14ac:dyDescent="0.3">
      <c r="A285">
        <f t="shared" ref="A285:AA285" si="464">A103</f>
        <v>0</v>
      </c>
      <c r="B285">
        <f t="shared" si="464"/>
        <v>0</v>
      </c>
      <c r="C285">
        <f t="shared" si="464"/>
        <v>0</v>
      </c>
      <c r="D285" s="11">
        <f t="shared" si="464"/>
        <v>0</v>
      </c>
      <c r="E285">
        <f t="shared" si="464"/>
        <v>0</v>
      </c>
      <c r="F285">
        <f t="shared" si="464"/>
        <v>0</v>
      </c>
      <c r="G285">
        <f t="shared" si="464"/>
        <v>0</v>
      </c>
      <c r="H285">
        <f t="shared" si="464"/>
        <v>0</v>
      </c>
      <c r="I285" s="8">
        <f t="shared" si="464"/>
        <v>0</v>
      </c>
      <c r="J285">
        <f t="shared" si="464"/>
        <v>0</v>
      </c>
      <c r="K285">
        <f t="shared" si="464"/>
        <v>0</v>
      </c>
      <c r="L285">
        <f t="shared" si="464"/>
        <v>0</v>
      </c>
      <c r="M285" s="452">
        <f t="shared" si="464"/>
        <v>0</v>
      </c>
      <c r="N285" s="452">
        <f t="shared" si="464"/>
        <v>0</v>
      </c>
      <c r="O285" s="452">
        <f t="shared" si="464"/>
        <v>0</v>
      </c>
      <c r="P285" s="452">
        <f t="shared" si="464"/>
        <v>0</v>
      </c>
      <c r="Q285" s="456">
        <f t="shared" si="464"/>
        <v>0</v>
      </c>
      <c r="R285" s="454">
        <f t="shared" si="464"/>
        <v>0</v>
      </c>
      <c r="S285" s="457">
        <f t="shared" si="464"/>
        <v>0</v>
      </c>
      <c r="T285" s="452">
        <f t="shared" si="464"/>
        <v>0</v>
      </c>
      <c r="U285" s="452">
        <f t="shared" si="464"/>
        <v>0</v>
      </c>
      <c r="V285" s="456">
        <f t="shared" si="464"/>
        <v>0</v>
      </c>
      <c r="W285" s="449" t="str">
        <f t="shared" si="464"/>
        <v>base</v>
      </c>
      <c r="X285" s="449" t="str">
        <f t="shared" si="464"/>
        <v>low</v>
      </c>
      <c r="Y285" s="449" t="str">
        <f t="shared" si="464"/>
        <v>high</v>
      </c>
      <c r="Z285" s="452">
        <f t="shared" si="464"/>
        <v>0</v>
      </c>
      <c r="AA285">
        <f t="shared" si="464"/>
        <v>0</v>
      </c>
      <c r="AD285">
        <f t="shared" ref="AD285:BD285" si="465">AD103</f>
        <v>0</v>
      </c>
      <c r="AE285">
        <f t="shared" si="465"/>
        <v>0</v>
      </c>
      <c r="AF285">
        <f t="shared" si="465"/>
        <v>0</v>
      </c>
      <c r="AG285" s="11">
        <f t="shared" si="465"/>
        <v>0</v>
      </c>
      <c r="AH285">
        <f t="shared" si="465"/>
        <v>0</v>
      </c>
      <c r="AI285">
        <f t="shared" si="465"/>
        <v>0</v>
      </c>
      <c r="AJ285">
        <f t="shared" si="465"/>
        <v>0</v>
      </c>
      <c r="AK285">
        <f t="shared" si="465"/>
        <v>0</v>
      </c>
      <c r="AL285" s="8">
        <f t="shared" si="465"/>
        <v>0</v>
      </c>
      <c r="AM285">
        <f t="shared" si="465"/>
        <v>0</v>
      </c>
      <c r="AN285">
        <f t="shared" si="465"/>
        <v>0</v>
      </c>
      <c r="AO285">
        <f t="shared" si="465"/>
        <v>0</v>
      </c>
      <c r="AP285" s="452">
        <f t="shared" si="465"/>
        <v>0</v>
      </c>
      <c r="AQ285" s="452">
        <f t="shared" si="465"/>
        <v>0</v>
      </c>
      <c r="AR285" s="452">
        <f t="shared" si="465"/>
        <v>0</v>
      </c>
      <c r="AS285" s="452">
        <f t="shared" si="465"/>
        <v>0</v>
      </c>
      <c r="AT285" s="456">
        <f t="shared" si="465"/>
        <v>0</v>
      </c>
      <c r="AU285" s="454">
        <f t="shared" si="465"/>
        <v>0</v>
      </c>
      <c r="AV285" s="457">
        <f t="shared" si="465"/>
        <v>0</v>
      </c>
      <c r="AW285" s="452">
        <f t="shared" si="465"/>
        <v>0</v>
      </c>
      <c r="AX285" s="452">
        <f t="shared" si="465"/>
        <v>0</v>
      </c>
      <c r="AY285" s="456">
        <f t="shared" si="465"/>
        <v>0</v>
      </c>
      <c r="AZ285" s="449" t="str">
        <f t="shared" si="465"/>
        <v>base</v>
      </c>
      <c r="BA285" s="449" t="str">
        <f t="shared" si="465"/>
        <v>low</v>
      </c>
      <c r="BB285" s="449" t="str">
        <f t="shared" si="465"/>
        <v>high</v>
      </c>
      <c r="BC285" s="452">
        <f t="shared" si="465"/>
        <v>0</v>
      </c>
      <c r="BD285">
        <f t="shared" si="465"/>
        <v>0</v>
      </c>
    </row>
    <row r="286" spans="1:56" x14ac:dyDescent="0.3">
      <c r="A286">
        <f t="shared" ref="A286:AA286" si="466">A104</f>
        <v>0</v>
      </c>
      <c r="B286">
        <f t="shared" si="466"/>
        <v>0</v>
      </c>
      <c r="C286">
        <f t="shared" si="466"/>
        <v>0</v>
      </c>
      <c r="D286" s="11">
        <f t="shared" si="466"/>
        <v>0</v>
      </c>
      <c r="E286">
        <f t="shared" si="466"/>
        <v>0</v>
      </c>
      <c r="F286">
        <f t="shared" si="466"/>
        <v>0</v>
      </c>
      <c r="G286">
        <f t="shared" si="466"/>
        <v>0</v>
      </c>
      <c r="H286">
        <f t="shared" si="466"/>
        <v>0</v>
      </c>
      <c r="I286" s="8">
        <f t="shared" si="466"/>
        <v>0</v>
      </c>
      <c r="J286">
        <f t="shared" si="466"/>
        <v>0</v>
      </c>
      <c r="K286">
        <f t="shared" si="466"/>
        <v>0</v>
      </c>
      <c r="L286">
        <f t="shared" si="466"/>
        <v>0</v>
      </c>
      <c r="M286" s="452">
        <f t="shared" si="466"/>
        <v>0</v>
      </c>
      <c r="N286" s="452">
        <f t="shared" si="466"/>
        <v>0</v>
      </c>
      <c r="O286" s="452">
        <f t="shared" si="466"/>
        <v>0</v>
      </c>
      <c r="P286" s="452">
        <f t="shared" si="466"/>
        <v>0</v>
      </c>
      <c r="Q286" s="456">
        <f t="shared" si="466"/>
        <v>0</v>
      </c>
      <c r="R286" s="454">
        <f t="shared" si="466"/>
        <v>0</v>
      </c>
      <c r="S286" s="457">
        <f t="shared" si="466"/>
        <v>0</v>
      </c>
      <c r="T286" s="452"/>
      <c r="U286" s="452"/>
      <c r="V286" s="456" t="str">
        <f t="shared" si="466"/>
        <v>Outpatient visits prevented</v>
      </c>
      <c r="W286" s="450">
        <f t="shared" si="466"/>
        <v>0</v>
      </c>
      <c r="X286" s="450">
        <f t="shared" si="466"/>
        <v>0</v>
      </c>
      <c r="Y286" s="450">
        <f t="shared" si="466"/>
        <v>0</v>
      </c>
      <c r="Z286" s="452">
        <f t="shared" si="466"/>
        <v>0</v>
      </c>
      <c r="AA286">
        <f t="shared" si="466"/>
        <v>0</v>
      </c>
      <c r="AD286">
        <f t="shared" ref="AD286:AV286" si="467">AD104</f>
        <v>0</v>
      </c>
      <c r="AE286">
        <f t="shared" si="467"/>
        <v>0</v>
      </c>
      <c r="AF286">
        <f t="shared" si="467"/>
        <v>0</v>
      </c>
      <c r="AG286" s="11">
        <f t="shared" si="467"/>
        <v>0</v>
      </c>
      <c r="AH286">
        <f t="shared" si="467"/>
        <v>0</v>
      </c>
      <c r="AI286">
        <f t="shared" si="467"/>
        <v>0</v>
      </c>
      <c r="AJ286">
        <f t="shared" si="467"/>
        <v>0</v>
      </c>
      <c r="AK286">
        <f t="shared" si="467"/>
        <v>0</v>
      </c>
      <c r="AL286" s="8">
        <f t="shared" si="467"/>
        <v>0</v>
      </c>
      <c r="AM286">
        <f t="shared" si="467"/>
        <v>0</v>
      </c>
      <c r="AN286">
        <f t="shared" si="467"/>
        <v>0</v>
      </c>
      <c r="AO286">
        <f t="shared" si="467"/>
        <v>0</v>
      </c>
      <c r="AP286" s="452">
        <f t="shared" si="467"/>
        <v>0</v>
      </c>
      <c r="AQ286" s="452">
        <f t="shared" si="467"/>
        <v>0</v>
      </c>
      <c r="AR286" s="452">
        <f t="shared" si="467"/>
        <v>0</v>
      </c>
      <c r="AS286" s="452">
        <f t="shared" si="467"/>
        <v>0</v>
      </c>
      <c r="AT286" s="456">
        <f t="shared" si="467"/>
        <v>0</v>
      </c>
      <c r="AU286" s="454">
        <f t="shared" si="467"/>
        <v>0</v>
      </c>
      <c r="AV286" s="457">
        <f t="shared" si="467"/>
        <v>0</v>
      </c>
      <c r="AW286" s="452"/>
      <c r="AX286" s="452"/>
      <c r="AY286" s="456" t="str">
        <f t="shared" ref="AY286:BD286" si="468">AY104</f>
        <v>Outpatient visits prevented</v>
      </c>
      <c r="AZ286" s="450">
        <f t="shared" si="468"/>
        <v>0</v>
      </c>
      <c r="BA286" s="450">
        <f t="shared" si="468"/>
        <v>0</v>
      </c>
      <c r="BB286" s="450">
        <f t="shared" si="468"/>
        <v>0</v>
      </c>
      <c r="BC286" s="452">
        <f t="shared" si="468"/>
        <v>0</v>
      </c>
      <c r="BD286">
        <f t="shared" si="468"/>
        <v>0</v>
      </c>
    </row>
    <row r="287" spans="1:56" x14ac:dyDescent="0.3">
      <c r="A287">
        <f t="shared" ref="A287:AA287" si="469">A105</f>
        <v>0</v>
      </c>
      <c r="B287">
        <f t="shared" si="469"/>
        <v>0</v>
      </c>
      <c r="C287">
        <f t="shared" si="469"/>
        <v>0</v>
      </c>
      <c r="D287" s="11">
        <f t="shared" si="469"/>
        <v>0</v>
      </c>
      <c r="E287">
        <f t="shared" si="469"/>
        <v>0</v>
      </c>
      <c r="F287">
        <f t="shared" si="469"/>
        <v>0</v>
      </c>
      <c r="G287">
        <f t="shared" si="469"/>
        <v>0</v>
      </c>
      <c r="H287">
        <f t="shared" si="469"/>
        <v>0</v>
      </c>
      <c r="I287" s="8">
        <f t="shared" si="469"/>
        <v>0</v>
      </c>
      <c r="J287">
        <f t="shared" si="469"/>
        <v>0</v>
      </c>
      <c r="K287">
        <f t="shared" si="469"/>
        <v>0</v>
      </c>
      <c r="L287">
        <f t="shared" si="469"/>
        <v>0</v>
      </c>
      <c r="M287" s="452">
        <f t="shared" si="469"/>
        <v>0</v>
      </c>
      <c r="N287" s="452">
        <f t="shared" si="469"/>
        <v>0</v>
      </c>
      <c r="O287" s="452">
        <f t="shared" si="469"/>
        <v>0</v>
      </c>
      <c r="P287" s="452">
        <f t="shared" si="469"/>
        <v>0</v>
      </c>
      <c r="Q287" s="456">
        <f t="shared" si="469"/>
        <v>0</v>
      </c>
      <c r="R287" s="454">
        <f t="shared" si="469"/>
        <v>0</v>
      </c>
      <c r="S287" s="457">
        <f t="shared" si="469"/>
        <v>0</v>
      </c>
      <c r="T287" s="458">
        <f t="shared" si="469"/>
        <v>0</v>
      </c>
      <c r="U287" s="459">
        <f t="shared" si="469"/>
        <v>0</v>
      </c>
      <c r="V287" s="460" t="str">
        <f t="shared" si="469"/>
        <v>p5c</v>
      </c>
      <c r="W287" s="451">
        <f t="shared" si="469"/>
        <v>0.12922984532257092</v>
      </c>
      <c r="X287" s="451">
        <f t="shared" si="469"/>
        <v>0.10773980381618248</v>
      </c>
      <c r="Y287" s="451">
        <f t="shared" si="469"/>
        <v>0.15069991467142554</v>
      </c>
      <c r="Z287" s="452">
        <f t="shared" si="469"/>
        <v>0</v>
      </c>
      <c r="AA287">
        <f t="shared" si="469"/>
        <v>0</v>
      </c>
      <c r="AD287">
        <f t="shared" ref="AD287:BD287" si="470">AD105</f>
        <v>0</v>
      </c>
      <c r="AE287">
        <f t="shared" si="470"/>
        <v>0</v>
      </c>
      <c r="AF287">
        <f t="shared" si="470"/>
        <v>0</v>
      </c>
      <c r="AG287" s="11">
        <f t="shared" si="470"/>
        <v>0</v>
      </c>
      <c r="AH287">
        <f t="shared" si="470"/>
        <v>0</v>
      </c>
      <c r="AI287">
        <f t="shared" si="470"/>
        <v>0</v>
      </c>
      <c r="AJ287">
        <f t="shared" si="470"/>
        <v>0</v>
      </c>
      <c r="AK287">
        <f t="shared" si="470"/>
        <v>0</v>
      </c>
      <c r="AL287" s="8">
        <f t="shared" si="470"/>
        <v>0</v>
      </c>
      <c r="AM287">
        <f t="shared" si="470"/>
        <v>0</v>
      </c>
      <c r="AN287">
        <f t="shared" si="470"/>
        <v>0</v>
      </c>
      <c r="AO287">
        <f t="shared" si="470"/>
        <v>0</v>
      </c>
      <c r="AP287" s="452">
        <f t="shared" si="470"/>
        <v>0</v>
      </c>
      <c r="AQ287" s="452">
        <f t="shared" si="470"/>
        <v>0</v>
      </c>
      <c r="AR287" s="452">
        <f t="shared" si="470"/>
        <v>0</v>
      </c>
      <c r="AS287" s="452">
        <f t="shared" si="470"/>
        <v>0</v>
      </c>
      <c r="AT287" s="456">
        <f t="shared" si="470"/>
        <v>0</v>
      </c>
      <c r="AU287" s="454">
        <f t="shared" si="470"/>
        <v>0</v>
      </c>
      <c r="AV287" s="457">
        <f t="shared" si="470"/>
        <v>0</v>
      </c>
      <c r="AW287" s="458">
        <f t="shared" si="470"/>
        <v>0</v>
      </c>
      <c r="AX287" s="459">
        <f t="shared" si="470"/>
        <v>0</v>
      </c>
      <c r="AY287" s="460" t="str">
        <f t="shared" si="470"/>
        <v>p5c</v>
      </c>
      <c r="AZ287" s="451">
        <f t="shared" si="470"/>
        <v>5.2553135240670609E-2</v>
      </c>
      <c r="BA287" s="451">
        <f t="shared" si="470"/>
        <v>4.3820682454258748E-2</v>
      </c>
      <c r="BB287" s="451">
        <f t="shared" si="470"/>
        <v>6.1696464963742502E-2</v>
      </c>
      <c r="BC287" s="452">
        <f t="shared" si="470"/>
        <v>0</v>
      </c>
      <c r="BD287">
        <f t="shared" si="470"/>
        <v>0</v>
      </c>
    </row>
    <row r="288" spans="1:56" x14ac:dyDescent="0.3">
      <c r="A288">
        <f t="shared" ref="A288:AA288" si="471">A106</f>
        <v>0</v>
      </c>
      <c r="B288">
        <f t="shared" si="471"/>
        <v>0</v>
      </c>
      <c r="C288">
        <f t="shared" si="471"/>
        <v>0</v>
      </c>
      <c r="D288" s="11">
        <f t="shared" si="471"/>
        <v>0</v>
      </c>
      <c r="E288">
        <f t="shared" si="471"/>
        <v>0</v>
      </c>
      <c r="F288">
        <f t="shared" si="471"/>
        <v>0</v>
      </c>
      <c r="G288">
        <f t="shared" si="471"/>
        <v>0</v>
      </c>
      <c r="H288">
        <f t="shared" si="471"/>
        <v>0</v>
      </c>
      <c r="I288" s="8">
        <f t="shared" si="471"/>
        <v>0</v>
      </c>
      <c r="J288">
        <f t="shared" si="471"/>
        <v>0</v>
      </c>
      <c r="K288">
        <f t="shared" si="471"/>
        <v>0</v>
      </c>
      <c r="L288">
        <f t="shared" si="471"/>
        <v>0</v>
      </c>
      <c r="M288" s="452">
        <f t="shared" si="471"/>
        <v>0</v>
      </c>
      <c r="N288" s="452">
        <f t="shared" si="471"/>
        <v>0</v>
      </c>
      <c r="O288" s="452">
        <f t="shared" si="471"/>
        <v>0</v>
      </c>
      <c r="P288" s="452">
        <f t="shared" si="471"/>
        <v>0</v>
      </c>
      <c r="Q288" s="456">
        <f t="shared" si="471"/>
        <v>0</v>
      </c>
      <c r="R288" s="454">
        <f t="shared" si="471"/>
        <v>0</v>
      </c>
      <c r="S288" s="457">
        <f t="shared" si="471"/>
        <v>0</v>
      </c>
      <c r="T288" s="461">
        <f t="shared" si="471"/>
        <v>0</v>
      </c>
      <c r="U288" s="455">
        <f t="shared" si="471"/>
        <v>0</v>
      </c>
      <c r="V288" s="456">
        <f t="shared" si="471"/>
        <v>0</v>
      </c>
      <c r="W288" s="452">
        <f t="shared" si="471"/>
        <v>0</v>
      </c>
      <c r="X288" s="452">
        <f t="shared" si="471"/>
        <v>0</v>
      </c>
      <c r="Y288" s="452">
        <f t="shared" si="471"/>
        <v>0</v>
      </c>
      <c r="Z288" s="452">
        <f t="shared" si="471"/>
        <v>0</v>
      </c>
      <c r="AA288">
        <f t="shared" si="471"/>
        <v>0</v>
      </c>
      <c r="AD288">
        <f t="shared" ref="AD288:BD288" si="472">AD106</f>
        <v>0</v>
      </c>
      <c r="AE288">
        <f t="shared" si="472"/>
        <v>0</v>
      </c>
      <c r="AF288">
        <f t="shared" si="472"/>
        <v>0</v>
      </c>
      <c r="AG288" s="11">
        <f t="shared" si="472"/>
        <v>0</v>
      </c>
      <c r="AH288">
        <f t="shared" si="472"/>
        <v>0</v>
      </c>
      <c r="AI288">
        <f t="shared" si="472"/>
        <v>0</v>
      </c>
      <c r="AJ288">
        <f t="shared" si="472"/>
        <v>0</v>
      </c>
      <c r="AK288">
        <f t="shared" si="472"/>
        <v>0</v>
      </c>
      <c r="AL288" s="8">
        <f t="shared" si="472"/>
        <v>0</v>
      </c>
      <c r="AM288">
        <f t="shared" si="472"/>
        <v>0</v>
      </c>
      <c r="AN288">
        <f t="shared" si="472"/>
        <v>0</v>
      </c>
      <c r="AO288">
        <f t="shared" si="472"/>
        <v>0</v>
      </c>
      <c r="AP288" s="452">
        <f t="shared" si="472"/>
        <v>0</v>
      </c>
      <c r="AQ288" s="452">
        <f t="shared" si="472"/>
        <v>0</v>
      </c>
      <c r="AR288" s="452">
        <f t="shared" si="472"/>
        <v>0</v>
      </c>
      <c r="AS288" s="452">
        <f t="shared" si="472"/>
        <v>0</v>
      </c>
      <c r="AT288" s="456">
        <f t="shared" si="472"/>
        <v>0</v>
      </c>
      <c r="AU288" s="454">
        <f t="shared" si="472"/>
        <v>0</v>
      </c>
      <c r="AV288" s="457">
        <f t="shared" si="472"/>
        <v>0</v>
      </c>
      <c r="AW288" s="461">
        <f t="shared" si="472"/>
        <v>0</v>
      </c>
      <c r="AX288" s="455">
        <f t="shared" si="472"/>
        <v>0</v>
      </c>
      <c r="AY288" s="456">
        <f t="shared" si="472"/>
        <v>0</v>
      </c>
      <c r="AZ288" s="452">
        <f t="shared" si="472"/>
        <v>0</v>
      </c>
      <c r="BA288" s="452">
        <f t="shared" si="472"/>
        <v>0</v>
      </c>
      <c r="BB288" s="452">
        <f t="shared" si="472"/>
        <v>0</v>
      </c>
      <c r="BC288" s="452">
        <f t="shared" si="472"/>
        <v>0</v>
      </c>
      <c r="BD288">
        <f t="shared" si="472"/>
        <v>0</v>
      </c>
    </row>
    <row r="289" spans="1:56" x14ac:dyDescent="0.3">
      <c r="A289">
        <f t="shared" ref="A289:AA289" si="473">A107</f>
        <v>0</v>
      </c>
      <c r="B289">
        <f t="shared" si="473"/>
        <v>0</v>
      </c>
      <c r="C289">
        <f t="shared" si="473"/>
        <v>0</v>
      </c>
      <c r="D289" s="11">
        <f t="shared" si="473"/>
        <v>0</v>
      </c>
      <c r="E289">
        <f t="shared" si="473"/>
        <v>0</v>
      </c>
      <c r="F289">
        <f t="shared" si="473"/>
        <v>0</v>
      </c>
      <c r="G289">
        <f t="shared" si="473"/>
        <v>0</v>
      </c>
      <c r="H289">
        <f t="shared" si="473"/>
        <v>0</v>
      </c>
      <c r="I289" s="8">
        <f t="shared" si="473"/>
        <v>0</v>
      </c>
      <c r="J289">
        <f t="shared" si="473"/>
        <v>0</v>
      </c>
      <c r="K289">
        <f t="shared" si="473"/>
        <v>0</v>
      </c>
      <c r="L289">
        <f t="shared" si="473"/>
        <v>0</v>
      </c>
      <c r="M289" s="452">
        <f t="shared" si="473"/>
        <v>0</v>
      </c>
      <c r="N289" s="452">
        <f t="shared" si="473"/>
        <v>0</v>
      </c>
      <c r="O289" s="452">
        <f t="shared" si="473"/>
        <v>0</v>
      </c>
      <c r="P289" s="452"/>
      <c r="Q289" s="456" t="str">
        <f t="shared" si="473"/>
        <v>Vaccine Effective</v>
      </c>
      <c r="R289" s="450">
        <f t="shared" si="473"/>
        <v>0</v>
      </c>
      <c r="S289" s="452">
        <f t="shared" si="473"/>
        <v>0</v>
      </c>
      <c r="T289" s="462">
        <f t="shared" si="473"/>
        <v>0</v>
      </c>
      <c r="U289" s="463"/>
      <c r="V289" s="464" t="str">
        <f t="shared" si="473"/>
        <v>ED visits prevented</v>
      </c>
      <c r="W289" s="450">
        <f t="shared" si="473"/>
        <v>0</v>
      </c>
      <c r="X289" s="450">
        <f t="shared" si="473"/>
        <v>0</v>
      </c>
      <c r="Y289" s="450">
        <f t="shared" si="473"/>
        <v>0</v>
      </c>
      <c r="Z289" s="452">
        <f t="shared" si="473"/>
        <v>0</v>
      </c>
      <c r="AA289">
        <f t="shared" si="473"/>
        <v>0</v>
      </c>
      <c r="AD289">
        <f t="shared" ref="AD289:AR289" si="474">AD107</f>
        <v>0</v>
      </c>
      <c r="AE289">
        <f t="shared" si="474"/>
        <v>0</v>
      </c>
      <c r="AF289">
        <f t="shared" si="474"/>
        <v>0</v>
      </c>
      <c r="AG289" s="11">
        <f t="shared" si="474"/>
        <v>0</v>
      </c>
      <c r="AH289">
        <f t="shared" si="474"/>
        <v>0</v>
      </c>
      <c r="AI289">
        <f t="shared" si="474"/>
        <v>0</v>
      </c>
      <c r="AJ289">
        <f t="shared" si="474"/>
        <v>0</v>
      </c>
      <c r="AK289">
        <f t="shared" si="474"/>
        <v>0</v>
      </c>
      <c r="AL289" s="8">
        <f t="shared" si="474"/>
        <v>0</v>
      </c>
      <c r="AM289">
        <f t="shared" si="474"/>
        <v>0</v>
      </c>
      <c r="AN289">
        <f t="shared" si="474"/>
        <v>0</v>
      </c>
      <c r="AO289">
        <f t="shared" si="474"/>
        <v>0</v>
      </c>
      <c r="AP289" s="452">
        <f t="shared" si="474"/>
        <v>0</v>
      </c>
      <c r="AQ289" s="452">
        <f t="shared" si="474"/>
        <v>0</v>
      </c>
      <c r="AR289" s="452">
        <f t="shared" si="474"/>
        <v>0</v>
      </c>
      <c r="AS289" s="452"/>
      <c r="AT289" s="456" t="str">
        <f t="shared" ref="AT289:AW289" si="475">AT107</f>
        <v>Vaccine Effective</v>
      </c>
      <c r="AU289" s="450">
        <f t="shared" si="475"/>
        <v>0</v>
      </c>
      <c r="AV289" s="452">
        <f t="shared" si="475"/>
        <v>0</v>
      </c>
      <c r="AW289" s="462">
        <f t="shared" si="475"/>
        <v>0</v>
      </c>
      <c r="AX289" s="463"/>
      <c r="AY289" s="464" t="str">
        <f t="shared" ref="AY289:BD289" si="476">AY107</f>
        <v>ED visits prevented</v>
      </c>
      <c r="AZ289" s="450">
        <f t="shared" si="476"/>
        <v>0</v>
      </c>
      <c r="BA289" s="450">
        <f t="shared" si="476"/>
        <v>0</v>
      </c>
      <c r="BB289" s="450">
        <f t="shared" si="476"/>
        <v>0</v>
      </c>
      <c r="BC289" s="452">
        <f t="shared" si="476"/>
        <v>0</v>
      </c>
      <c r="BD289">
        <f t="shared" si="476"/>
        <v>0</v>
      </c>
    </row>
    <row r="290" spans="1:56" x14ac:dyDescent="0.3">
      <c r="A290">
        <f t="shared" ref="A290:AA290" si="477">A108</f>
        <v>0</v>
      </c>
      <c r="B290">
        <f t="shared" si="477"/>
        <v>0</v>
      </c>
      <c r="C290">
        <f t="shared" si="477"/>
        <v>0</v>
      </c>
      <c r="D290" s="11">
        <f t="shared" si="477"/>
        <v>0</v>
      </c>
      <c r="E290">
        <f t="shared" si="477"/>
        <v>0</v>
      </c>
      <c r="F290">
        <f t="shared" si="477"/>
        <v>0</v>
      </c>
      <c r="G290">
        <f t="shared" si="477"/>
        <v>0</v>
      </c>
      <c r="H290">
        <f t="shared" si="477"/>
        <v>0</v>
      </c>
      <c r="I290" s="8">
        <f t="shared" si="477"/>
        <v>0</v>
      </c>
      <c r="J290">
        <f t="shared" si="477"/>
        <v>0</v>
      </c>
      <c r="K290">
        <f t="shared" si="477"/>
        <v>0</v>
      </c>
      <c r="L290">
        <f t="shared" si="477"/>
        <v>0</v>
      </c>
      <c r="M290" s="452">
        <f t="shared" si="477"/>
        <v>0</v>
      </c>
      <c r="N290" s="452">
        <f t="shared" si="477"/>
        <v>0</v>
      </c>
      <c r="O290" s="452">
        <f t="shared" si="477"/>
        <v>0</v>
      </c>
      <c r="P290" s="452">
        <f t="shared" si="477"/>
        <v>0</v>
      </c>
      <c r="Q290" s="465" t="str">
        <f t="shared" si="477"/>
        <v>1-p7</v>
      </c>
      <c r="R290" s="466">
        <f t="shared" si="477"/>
        <v>1</v>
      </c>
      <c r="S290" s="459">
        <f t="shared" si="477"/>
        <v>0</v>
      </c>
      <c r="T290" s="461">
        <f t="shared" si="477"/>
        <v>0</v>
      </c>
      <c r="U290" s="455">
        <f t="shared" si="477"/>
        <v>0</v>
      </c>
      <c r="V290" s="456" t="str">
        <f t="shared" si="477"/>
        <v>p5b</v>
      </c>
      <c r="W290" s="451">
        <f t="shared" si="477"/>
        <v>4.4807535427121237E-2</v>
      </c>
      <c r="X290" s="451">
        <f t="shared" si="477"/>
        <v>3.8366514622464848E-2</v>
      </c>
      <c r="Y290" s="451">
        <f t="shared" si="477"/>
        <v>5.1268528389311424E-2</v>
      </c>
      <c r="Z290" s="452">
        <f t="shared" si="477"/>
        <v>0</v>
      </c>
      <c r="AA290">
        <f t="shared" si="477"/>
        <v>0</v>
      </c>
      <c r="AD290">
        <f t="shared" ref="AD290:BD290" si="478">AD108</f>
        <v>0</v>
      </c>
      <c r="AE290">
        <f t="shared" si="478"/>
        <v>0</v>
      </c>
      <c r="AF290">
        <f t="shared" si="478"/>
        <v>0</v>
      </c>
      <c r="AG290" s="11">
        <f t="shared" si="478"/>
        <v>0</v>
      </c>
      <c r="AH290">
        <f t="shared" si="478"/>
        <v>0</v>
      </c>
      <c r="AI290">
        <f t="shared" si="478"/>
        <v>0</v>
      </c>
      <c r="AJ290">
        <f t="shared" si="478"/>
        <v>0</v>
      </c>
      <c r="AK290">
        <f t="shared" si="478"/>
        <v>0</v>
      </c>
      <c r="AL290" s="8">
        <f t="shared" si="478"/>
        <v>0</v>
      </c>
      <c r="AM290">
        <f t="shared" si="478"/>
        <v>0</v>
      </c>
      <c r="AN290">
        <f t="shared" si="478"/>
        <v>0</v>
      </c>
      <c r="AO290">
        <f t="shared" si="478"/>
        <v>0</v>
      </c>
      <c r="AP290" s="452">
        <f t="shared" si="478"/>
        <v>0</v>
      </c>
      <c r="AQ290" s="452">
        <f t="shared" si="478"/>
        <v>0</v>
      </c>
      <c r="AR290" s="452">
        <f t="shared" si="478"/>
        <v>0</v>
      </c>
      <c r="AS290" s="452">
        <f t="shared" si="478"/>
        <v>0</v>
      </c>
      <c r="AT290" s="465" t="str">
        <f t="shared" si="478"/>
        <v>1-p7</v>
      </c>
      <c r="AU290" s="466">
        <f t="shared" si="478"/>
        <v>1</v>
      </c>
      <c r="AV290" s="459">
        <f t="shared" si="478"/>
        <v>0</v>
      </c>
      <c r="AW290" s="461">
        <f t="shared" si="478"/>
        <v>0</v>
      </c>
      <c r="AX290" s="455">
        <f t="shared" si="478"/>
        <v>0</v>
      </c>
      <c r="AY290" s="456" t="str">
        <f t="shared" si="478"/>
        <v>p5b</v>
      </c>
      <c r="AZ290" s="451">
        <f t="shared" si="478"/>
        <v>2.0899346727931388E-2</v>
      </c>
      <c r="BA290" s="451">
        <f t="shared" si="478"/>
        <v>1.7896438711993638E-2</v>
      </c>
      <c r="BB290" s="451">
        <f t="shared" si="478"/>
        <v>2.3905393342071143E-2</v>
      </c>
      <c r="BC290" s="452">
        <f t="shared" si="478"/>
        <v>0</v>
      </c>
      <c r="BD290">
        <f t="shared" si="478"/>
        <v>0</v>
      </c>
    </row>
    <row r="291" spans="1:56" x14ac:dyDescent="0.3">
      <c r="A291">
        <f t="shared" ref="A291:AA291" si="479">A109</f>
        <v>0</v>
      </c>
      <c r="B291">
        <f t="shared" si="479"/>
        <v>0</v>
      </c>
      <c r="C291">
        <f t="shared" si="479"/>
        <v>0</v>
      </c>
      <c r="D291" s="11">
        <f t="shared" si="479"/>
        <v>0</v>
      </c>
      <c r="E291">
        <f t="shared" si="479"/>
        <v>0</v>
      </c>
      <c r="F291">
        <f t="shared" si="479"/>
        <v>0</v>
      </c>
      <c r="G291">
        <f t="shared" si="479"/>
        <v>0</v>
      </c>
      <c r="H291">
        <f t="shared" si="479"/>
        <v>0</v>
      </c>
      <c r="I291" s="8">
        <f t="shared" si="479"/>
        <v>0</v>
      </c>
      <c r="J291">
        <f t="shared" si="479"/>
        <v>0</v>
      </c>
      <c r="K291">
        <f t="shared" si="479"/>
        <v>0</v>
      </c>
      <c r="L291">
        <f t="shared" si="479"/>
        <v>0</v>
      </c>
      <c r="M291" s="452">
        <f t="shared" si="479"/>
        <v>0</v>
      </c>
      <c r="N291" s="452">
        <f t="shared" si="479"/>
        <v>0</v>
      </c>
      <c r="O291" s="452">
        <f t="shared" si="479"/>
        <v>0</v>
      </c>
      <c r="P291" s="452">
        <f t="shared" si="479"/>
        <v>0</v>
      </c>
      <c r="Q291" s="467">
        <f t="shared" si="479"/>
        <v>0</v>
      </c>
      <c r="R291" s="468">
        <f t="shared" si="479"/>
        <v>0</v>
      </c>
      <c r="S291" s="457">
        <f t="shared" si="479"/>
        <v>0</v>
      </c>
      <c r="T291" s="461">
        <f t="shared" si="479"/>
        <v>0</v>
      </c>
      <c r="U291" s="455">
        <f t="shared" si="479"/>
        <v>0</v>
      </c>
      <c r="V291" s="456">
        <f t="shared" si="479"/>
        <v>0</v>
      </c>
      <c r="W291" s="452">
        <f t="shared" si="479"/>
        <v>0</v>
      </c>
      <c r="X291" s="452">
        <f t="shared" si="479"/>
        <v>0</v>
      </c>
      <c r="Y291" s="452">
        <f t="shared" si="479"/>
        <v>0</v>
      </c>
      <c r="Z291" s="452">
        <f t="shared" si="479"/>
        <v>0</v>
      </c>
      <c r="AA291">
        <f t="shared" si="479"/>
        <v>0</v>
      </c>
      <c r="AD291">
        <f t="shared" ref="AD291:BD291" si="480">AD109</f>
        <v>0</v>
      </c>
      <c r="AE291">
        <f t="shared" si="480"/>
        <v>0</v>
      </c>
      <c r="AF291">
        <f t="shared" si="480"/>
        <v>0</v>
      </c>
      <c r="AG291" s="11">
        <f t="shared" si="480"/>
        <v>0</v>
      </c>
      <c r="AH291">
        <f t="shared" si="480"/>
        <v>0</v>
      </c>
      <c r="AI291">
        <f t="shared" si="480"/>
        <v>0</v>
      </c>
      <c r="AJ291">
        <f t="shared" si="480"/>
        <v>0</v>
      </c>
      <c r="AK291">
        <f t="shared" si="480"/>
        <v>0</v>
      </c>
      <c r="AL291" s="8">
        <f t="shared" si="480"/>
        <v>0</v>
      </c>
      <c r="AM291">
        <f t="shared" si="480"/>
        <v>0</v>
      </c>
      <c r="AN291">
        <f t="shared" si="480"/>
        <v>0</v>
      </c>
      <c r="AO291">
        <f t="shared" si="480"/>
        <v>0</v>
      </c>
      <c r="AP291" s="452">
        <f t="shared" si="480"/>
        <v>0</v>
      </c>
      <c r="AQ291" s="452">
        <f t="shared" si="480"/>
        <v>0</v>
      </c>
      <c r="AR291" s="452">
        <f t="shared" si="480"/>
        <v>0</v>
      </c>
      <c r="AS291" s="452">
        <f t="shared" si="480"/>
        <v>0</v>
      </c>
      <c r="AT291" s="467">
        <f t="shared" si="480"/>
        <v>0</v>
      </c>
      <c r="AU291" s="468">
        <f t="shared" si="480"/>
        <v>0</v>
      </c>
      <c r="AV291" s="457">
        <f t="shared" si="480"/>
        <v>0</v>
      </c>
      <c r="AW291" s="461">
        <f t="shared" si="480"/>
        <v>0</v>
      </c>
      <c r="AX291" s="455">
        <f t="shared" si="480"/>
        <v>0</v>
      </c>
      <c r="AY291" s="456">
        <f t="shared" si="480"/>
        <v>0</v>
      </c>
      <c r="AZ291" s="452">
        <f t="shared" si="480"/>
        <v>0</v>
      </c>
      <c r="BA291" s="452">
        <f t="shared" si="480"/>
        <v>0</v>
      </c>
      <c r="BB291" s="452">
        <f t="shared" si="480"/>
        <v>0</v>
      </c>
      <c r="BC291" s="452">
        <f t="shared" si="480"/>
        <v>0</v>
      </c>
      <c r="BD291">
        <f t="shared" si="480"/>
        <v>0</v>
      </c>
    </row>
    <row r="292" spans="1:56" x14ac:dyDescent="0.3">
      <c r="A292">
        <f t="shared" ref="A292:AA292" si="481">A110</f>
        <v>0</v>
      </c>
      <c r="B292">
        <f t="shared" si="481"/>
        <v>0</v>
      </c>
      <c r="C292">
        <f t="shared" si="481"/>
        <v>0</v>
      </c>
      <c r="D292" s="11">
        <f t="shared" si="481"/>
        <v>0</v>
      </c>
      <c r="E292">
        <f t="shared" si="481"/>
        <v>0</v>
      </c>
      <c r="F292">
        <f t="shared" si="481"/>
        <v>0</v>
      </c>
      <c r="G292">
        <f t="shared" si="481"/>
        <v>0</v>
      </c>
      <c r="H292">
        <f t="shared" si="481"/>
        <v>0</v>
      </c>
      <c r="I292">
        <f t="shared" si="481"/>
        <v>0</v>
      </c>
      <c r="J292">
        <f t="shared" si="481"/>
        <v>0</v>
      </c>
      <c r="K292">
        <f t="shared" si="481"/>
        <v>0</v>
      </c>
      <c r="L292">
        <f t="shared" si="481"/>
        <v>0</v>
      </c>
      <c r="M292" s="452">
        <f t="shared" si="481"/>
        <v>0</v>
      </c>
      <c r="N292" s="469" t="str">
        <f t="shared" si="481"/>
        <v>low:</v>
      </c>
      <c r="O292" s="470">
        <f t="shared" si="481"/>
        <v>0</v>
      </c>
      <c r="P292" s="452">
        <f t="shared" si="481"/>
        <v>0</v>
      </c>
      <c r="Q292" s="471">
        <f t="shared" si="481"/>
        <v>0</v>
      </c>
      <c r="R292" s="472">
        <f t="shared" si="481"/>
        <v>0</v>
      </c>
      <c r="S292" s="452">
        <f t="shared" si="481"/>
        <v>0</v>
      </c>
      <c r="T292" s="462"/>
      <c r="U292" s="463"/>
      <c r="V292" s="464" t="str">
        <f t="shared" si="481"/>
        <v>Hospitalizations prevented</v>
      </c>
      <c r="W292" s="453">
        <f t="shared" si="481"/>
        <v>0</v>
      </c>
      <c r="X292" s="453">
        <f t="shared" si="481"/>
        <v>0</v>
      </c>
      <c r="Y292" s="453">
        <f t="shared" si="481"/>
        <v>0</v>
      </c>
      <c r="Z292" s="452">
        <f t="shared" si="481"/>
        <v>0</v>
      </c>
      <c r="AA292">
        <f t="shared" si="481"/>
        <v>0</v>
      </c>
      <c r="AD292">
        <f t="shared" ref="AD292:AV292" si="482">AD110</f>
        <v>0</v>
      </c>
      <c r="AE292">
        <f t="shared" si="482"/>
        <v>0</v>
      </c>
      <c r="AF292">
        <f t="shared" si="482"/>
        <v>0</v>
      </c>
      <c r="AG292" s="11">
        <f t="shared" si="482"/>
        <v>0</v>
      </c>
      <c r="AH292">
        <f t="shared" si="482"/>
        <v>0</v>
      </c>
      <c r="AI292">
        <f t="shared" si="482"/>
        <v>0</v>
      </c>
      <c r="AJ292">
        <f t="shared" si="482"/>
        <v>0</v>
      </c>
      <c r="AK292">
        <f t="shared" si="482"/>
        <v>0</v>
      </c>
      <c r="AL292">
        <f t="shared" si="482"/>
        <v>0</v>
      </c>
      <c r="AM292">
        <f t="shared" si="482"/>
        <v>0</v>
      </c>
      <c r="AN292">
        <f t="shared" si="482"/>
        <v>0</v>
      </c>
      <c r="AO292">
        <f t="shared" si="482"/>
        <v>0</v>
      </c>
      <c r="AP292" s="452">
        <f t="shared" si="482"/>
        <v>0</v>
      </c>
      <c r="AQ292" s="469" t="str">
        <f t="shared" si="482"/>
        <v>low:</v>
      </c>
      <c r="AR292" s="470">
        <f t="shared" si="482"/>
        <v>0</v>
      </c>
      <c r="AS292" s="452">
        <f t="shared" si="482"/>
        <v>0</v>
      </c>
      <c r="AT292" s="471">
        <f t="shared" si="482"/>
        <v>0</v>
      </c>
      <c r="AU292" s="472">
        <f t="shared" si="482"/>
        <v>0</v>
      </c>
      <c r="AV292" s="452">
        <f t="shared" si="482"/>
        <v>0</v>
      </c>
      <c r="AW292" s="462"/>
      <c r="AX292" s="463"/>
      <c r="AY292" s="464" t="str">
        <f t="shared" ref="AY292:BD292" si="483">AY110</f>
        <v>Hospitalizations prevented</v>
      </c>
      <c r="AZ292" s="453">
        <f t="shared" si="483"/>
        <v>0</v>
      </c>
      <c r="BA292" s="453">
        <f t="shared" si="483"/>
        <v>0</v>
      </c>
      <c r="BB292" s="453">
        <f t="shared" si="483"/>
        <v>0</v>
      </c>
      <c r="BC292" s="452">
        <f t="shared" si="483"/>
        <v>0</v>
      </c>
      <c r="BD292">
        <f t="shared" si="483"/>
        <v>0</v>
      </c>
    </row>
    <row r="293" spans="1:56" x14ac:dyDescent="0.3">
      <c r="A293">
        <f t="shared" ref="A293:AA293" si="484">A111</f>
        <v>0</v>
      </c>
      <c r="B293">
        <f t="shared" si="484"/>
        <v>0</v>
      </c>
      <c r="C293">
        <f t="shared" si="484"/>
        <v>0</v>
      </c>
      <c r="D293" s="11">
        <f t="shared" si="484"/>
        <v>0</v>
      </c>
      <c r="E293">
        <f t="shared" si="484"/>
        <v>0</v>
      </c>
      <c r="F293">
        <f t="shared" si="484"/>
        <v>0</v>
      </c>
      <c r="G293">
        <f t="shared" si="484"/>
        <v>0</v>
      </c>
      <c r="H293">
        <f t="shared" si="484"/>
        <v>0</v>
      </c>
      <c r="I293">
        <f t="shared" si="484"/>
        <v>0</v>
      </c>
      <c r="J293">
        <f t="shared" si="484"/>
        <v>0</v>
      </c>
      <c r="K293">
        <f t="shared" si="484"/>
        <v>0</v>
      </c>
      <c r="L293">
        <f t="shared" si="484"/>
        <v>0</v>
      </c>
      <c r="M293" s="452">
        <f t="shared" si="484"/>
        <v>0</v>
      </c>
      <c r="N293" s="473" t="str">
        <f t="shared" si="484"/>
        <v>high:</v>
      </c>
      <c r="O293" s="470">
        <f t="shared" si="484"/>
        <v>0</v>
      </c>
      <c r="P293" s="452">
        <f t="shared" si="484"/>
        <v>0</v>
      </c>
      <c r="Q293" s="471">
        <f t="shared" si="484"/>
        <v>0</v>
      </c>
      <c r="R293" s="474">
        <f t="shared" si="484"/>
        <v>0</v>
      </c>
      <c r="S293" s="452">
        <f t="shared" si="484"/>
        <v>0</v>
      </c>
      <c r="T293" s="452">
        <f t="shared" si="484"/>
        <v>0</v>
      </c>
      <c r="U293" s="452">
        <f t="shared" si="484"/>
        <v>0</v>
      </c>
      <c r="V293" s="456" t="str">
        <f t="shared" si="484"/>
        <v>p5a</v>
      </c>
      <c r="W293" s="451">
        <f t="shared" si="484"/>
        <v>1.1937204925982133E-2</v>
      </c>
      <c r="X293" s="451">
        <f t="shared" si="484"/>
        <v>8.8200435784044334E-3</v>
      </c>
      <c r="Y293" s="451">
        <f t="shared" si="484"/>
        <v>1.540736757047545E-2</v>
      </c>
      <c r="Z293" s="452">
        <f t="shared" si="484"/>
        <v>0</v>
      </c>
      <c r="AA293">
        <f t="shared" si="484"/>
        <v>0</v>
      </c>
      <c r="AD293">
        <f t="shared" ref="AD293:BD293" si="485">AD111</f>
        <v>0</v>
      </c>
      <c r="AE293">
        <f t="shared" si="485"/>
        <v>0</v>
      </c>
      <c r="AF293">
        <f t="shared" si="485"/>
        <v>0</v>
      </c>
      <c r="AG293" s="11">
        <f t="shared" si="485"/>
        <v>0</v>
      </c>
      <c r="AH293">
        <f t="shared" si="485"/>
        <v>0</v>
      </c>
      <c r="AI293">
        <f t="shared" si="485"/>
        <v>0</v>
      </c>
      <c r="AJ293">
        <f t="shared" si="485"/>
        <v>0</v>
      </c>
      <c r="AK293">
        <f t="shared" si="485"/>
        <v>0</v>
      </c>
      <c r="AL293">
        <f t="shared" si="485"/>
        <v>0</v>
      </c>
      <c r="AM293">
        <f t="shared" si="485"/>
        <v>0</v>
      </c>
      <c r="AN293">
        <f t="shared" si="485"/>
        <v>0</v>
      </c>
      <c r="AO293">
        <f t="shared" si="485"/>
        <v>0</v>
      </c>
      <c r="AP293" s="452">
        <f t="shared" si="485"/>
        <v>0</v>
      </c>
      <c r="AQ293" s="473" t="str">
        <f t="shared" si="485"/>
        <v>high:</v>
      </c>
      <c r="AR293" s="470">
        <f t="shared" si="485"/>
        <v>0</v>
      </c>
      <c r="AS293" s="452">
        <f t="shared" si="485"/>
        <v>0</v>
      </c>
      <c r="AT293" s="471">
        <f t="shared" si="485"/>
        <v>0</v>
      </c>
      <c r="AU293" s="474">
        <f t="shared" si="485"/>
        <v>0</v>
      </c>
      <c r="AV293" s="452">
        <f t="shared" si="485"/>
        <v>0</v>
      </c>
      <c r="AW293" s="452">
        <f t="shared" si="485"/>
        <v>0</v>
      </c>
      <c r="AX293" s="452">
        <f t="shared" si="485"/>
        <v>0</v>
      </c>
      <c r="AY293" s="456" t="str">
        <f t="shared" si="485"/>
        <v>p5a</v>
      </c>
      <c r="AZ293" s="451">
        <f t="shared" si="485"/>
        <v>2.879509328304896E-3</v>
      </c>
      <c r="BA293" s="451">
        <f t="shared" si="485"/>
        <v>1.6616475009815412E-3</v>
      </c>
      <c r="BB293" s="451">
        <f t="shared" si="485"/>
        <v>4.3764267465695519E-3</v>
      </c>
      <c r="BC293" s="452">
        <f t="shared" si="485"/>
        <v>0</v>
      </c>
      <c r="BD293">
        <f t="shared" si="485"/>
        <v>0</v>
      </c>
    </row>
    <row r="294" spans="1:56" x14ac:dyDescent="0.3">
      <c r="A294">
        <f t="shared" ref="A294:AA294" si="486">A112</f>
        <v>0</v>
      </c>
      <c r="B294">
        <f t="shared" si="486"/>
        <v>0</v>
      </c>
      <c r="C294">
        <f t="shared" si="486"/>
        <v>0</v>
      </c>
      <c r="D294" s="11">
        <f t="shared" si="486"/>
        <v>0</v>
      </c>
      <c r="E294">
        <f t="shared" si="486"/>
        <v>0</v>
      </c>
      <c r="F294">
        <f t="shared" si="486"/>
        <v>0</v>
      </c>
      <c r="G294" s="13">
        <f t="shared" si="486"/>
        <v>0</v>
      </c>
      <c r="H294">
        <f t="shared" si="486"/>
        <v>0</v>
      </c>
      <c r="M294" s="452"/>
      <c r="N294" s="456" t="str">
        <f t="shared" si="486"/>
        <v>Expected healthcare visits had immunization not been obtained</v>
      </c>
      <c r="O294" s="450">
        <f t="shared" si="486"/>
        <v>0</v>
      </c>
      <c r="P294" s="452">
        <f t="shared" si="486"/>
        <v>0</v>
      </c>
      <c r="Q294" s="471">
        <f t="shared" si="486"/>
        <v>0</v>
      </c>
      <c r="R294" s="474">
        <f t="shared" si="486"/>
        <v>0</v>
      </c>
      <c r="S294" s="452">
        <f t="shared" si="486"/>
        <v>0</v>
      </c>
      <c r="T294" s="452">
        <f t="shared" si="486"/>
        <v>0</v>
      </c>
      <c r="U294" s="452">
        <f t="shared" si="486"/>
        <v>0</v>
      </c>
      <c r="V294" s="452">
        <f t="shared" si="486"/>
        <v>0</v>
      </c>
      <c r="W294" s="455">
        <f t="shared" si="486"/>
        <v>0</v>
      </c>
      <c r="X294" s="452">
        <f t="shared" si="486"/>
        <v>0</v>
      </c>
      <c r="Y294" s="452">
        <f t="shared" si="486"/>
        <v>0</v>
      </c>
      <c r="Z294" s="452">
        <f t="shared" si="486"/>
        <v>0</v>
      </c>
      <c r="AA294">
        <f t="shared" si="486"/>
        <v>0</v>
      </c>
      <c r="AD294">
        <f t="shared" ref="AD294:AK294" si="487">AD112</f>
        <v>0</v>
      </c>
      <c r="AE294">
        <f t="shared" si="487"/>
        <v>0</v>
      </c>
      <c r="AF294">
        <f t="shared" si="487"/>
        <v>0</v>
      </c>
      <c r="AG294" s="11">
        <f t="shared" si="487"/>
        <v>0</v>
      </c>
      <c r="AH294">
        <f t="shared" si="487"/>
        <v>0</v>
      </c>
      <c r="AI294">
        <f t="shared" si="487"/>
        <v>0</v>
      </c>
      <c r="AJ294" s="13">
        <f t="shared" si="487"/>
        <v>0</v>
      </c>
      <c r="AK294">
        <f t="shared" si="487"/>
        <v>0</v>
      </c>
      <c r="AP294" s="452"/>
      <c r="AQ294" s="456" t="str">
        <f t="shared" ref="AQ294:BD294" si="488">AQ112</f>
        <v>Expected healthcare visits had immunization not been obtained</v>
      </c>
      <c r="AR294" s="450">
        <f t="shared" si="488"/>
        <v>0</v>
      </c>
      <c r="AS294" s="452">
        <f t="shared" si="488"/>
        <v>0</v>
      </c>
      <c r="AT294" s="471">
        <f t="shared" si="488"/>
        <v>0</v>
      </c>
      <c r="AU294" s="474">
        <f t="shared" si="488"/>
        <v>0</v>
      </c>
      <c r="AV294" s="452">
        <f t="shared" si="488"/>
        <v>0</v>
      </c>
      <c r="AW294" s="452">
        <f t="shared" si="488"/>
        <v>0</v>
      </c>
      <c r="AX294" s="452">
        <f t="shared" si="488"/>
        <v>0</v>
      </c>
      <c r="AY294" s="452">
        <f t="shared" si="488"/>
        <v>0</v>
      </c>
      <c r="AZ294" s="455">
        <f t="shared" si="488"/>
        <v>0</v>
      </c>
      <c r="BA294" s="452">
        <f t="shared" si="488"/>
        <v>0</v>
      </c>
      <c r="BB294" s="452">
        <f t="shared" si="488"/>
        <v>0</v>
      </c>
      <c r="BC294" s="452">
        <f t="shared" si="488"/>
        <v>0</v>
      </c>
      <c r="BD294">
        <f t="shared" si="488"/>
        <v>0</v>
      </c>
    </row>
    <row r="295" spans="1:56" x14ac:dyDescent="0.3">
      <c r="A295">
        <f t="shared" ref="A295:AA295" si="489">A113</f>
        <v>0</v>
      </c>
      <c r="B295">
        <f t="shared" si="489"/>
        <v>0</v>
      </c>
      <c r="C295">
        <f t="shared" si="489"/>
        <v>0</v>
      </c>
      <c r="D295" s="11">
        <f t="shared" si="489"/>
        <v>0</v>
      </c>
      <c r="E295">
        <f t="shared" si="489"/>
        <v>0</v>
      </c>
      <c r="F295">
        <f t="shared" si="489"/>
        <v>0</v>
      </c>
      <c r="G295">
        <f t="shared" si="489"/>
        <v>0</v>
      </c>
      <c r="H295">
        <f t="shared" si="489"/>
        <v>0</v>
      </c>
      <c r="I295">
        <f t="shared" si="489"/>
        <v>0</v>
      </c>
      <c r="J295">
        <f t="shared" si="489"/>
        <v>0</v>
      </c>
      <c r="K295">
        <f t="shared" si="489"/>
        <v>0</v>
      </c>
      <c r="L295">
        <f t="shared" si="489"/>
        <v>0</v>
      </c>
      <c r="M295" s="452">
        <f t="shared" si="489"/>
        <v>0</v>
      </c>
      <c r="N295" s="458" t="str">
        <f t="shared" si="489"/>
        <v>sum p5a-c</v>
      </c>
      <c r="O295" s="475">
        <f t="shared" si="489"/>
        <v>0.18597458567567429</v>
      </c>
      <c r="P295" s="459">
        <f t="shared" si="489"/>
        <v>0</v>
      </c>
      <c r="Q295" s="471">
        <f t="shared" si="489"/>
        <v>0</v>
      </c>
      <c r="R295" s="472">
        <f t="shared" si="489"/>
        <v>0</v>
      </c>
      <c r="S295" s="455">
        <f t="shared" si="489"/>
        <v>0</v>
      </c>
      <c r="T295" s="452">
        <f t="shared" si="489"/>
        <v>0</v>
      </c>
      <c r="U295" s="452">
        <f t="shared" si="489"/>
        <v>0</v>
      </c>
      <c r="V295" s="452">
        <f t="shared" si="489"/>
        <v>0</v>
      </c>
      <c r="W295" s="449" t="str">
        <f t="shared" si="489"/>
        <v>base</v>
      </c>
      <c r="X295" s="449" t="str">
        <f t="shared" si="489"/>
        <v>low</v>
      </c>
      <c r="Y295" s="449" t="str">
        <f t="shared" si="489"/>
        <v>high</v>
      </c>
      <c r="Z295" s="452">
        <f t="shared" si="489"/>
        <v>0</v>
      </c>
      <c r="AA295">
        <f t="shared" si="489"/>
        <v>0</v>
      </c>
      <c r="AD295">
        <f t="shared" ref="AD295:BD295" si="490">AD113</f>
        <v>0</v>
      </c>
      <c r="AE295">
        <f t="shared" si="490"/>
        <v>0</v>
      </c>
      <c r="AF295">
        <f t="shared" si="490"/>
        <v>0</v>
      </c>
      <c r="AG295" s="11">
        <f t="shared" si="490"/>
        <v>0</v>
      </c>
      <c r="AH295">
        <f t="shared" si="490"/>
        <v>0</v>
      </c>
      <c r="AI295">
        <f t="shared" si="490"/>
        <v>0</v>
      </c>
      <c r="AJ295">
        <f t="shared" si="490"/>
        <v>0</v>
      </c>
      <c r="AK295">
        <f t="shared" si="490"/>
        <v>0</v>
      </c>
      <c r="AL295">
        <f t="shared" si="490"/>
        <v>0</v>
      </c>
      <c r="AM295">
        <f t="shared" si="490"/>
        <v>0</v>
      </c>
      <c r="AN295">
        <f t="shared" si="490"/>
        <v>0</v>
      </c>
      <c r="AO295">
        <f t="shared" si="490"/>
        <v>0</v>
      </c>
      <c r="AP295" s="452">
        <f t="shared" si="490"/>
        <v>0</v>
      </c>
      <c r="AQ295" s="458" t="str">
        <f t="shared" si="490"/>
        <v>sum p5a-c</v>
      </c>
      <c r="AR295" s="475">
        <f t="shared" si="490"/>
        <v>7.633199129690689E-2</v>
      </c>
      <c r="AS295" s="459">
        <f t="shared" si="490"/>
        <v>0</v>
      </c>
      <c r="AT295" s="471">
        <f t="shared" si="490"/>
        <v>0</v>
      </c>
      <c r="AU295" s="472">
        <f t="shared" si="490"/>
        <v>0</v>
      </c>
      <c r="AV295" s="455">
        <f t="shared" si="490"/>
        <v>0</v>
      </c>
      <c r="AW295" s="452">
        <f t="shared" si="490"/>
        <v>0</v>
      </c>
      <c r="AX295" s="452">
        <f t="shared" si="490"/>
        <v>0</v>
      </c>
      <c r="AY295" s="452">
        <f t="shared" si="490"/>
        <v>0</v>
      </c>
      <c r="AZ295" s="449" t="str">
        <f t="shared" si="490"/>
        <v>base</v>
      </c>
      <c r="BA295" s="449" t="str">
        <f t="shared" si="490"/>
        <v>low</v>
      </c>
      <c r="BB295" s="449" t="str">
        <f t="shared" si="490"/>
        <v>high</v>
      </c>
      <c r="BC295" s="452">
        <f t="shared" si="490"/>
        <v>0</v>
      </c>
      <c r="BD295">
        <f t="shared" si="490"/>
        <v>0</v>
      </c>
    </row>
    <row r="296" spans="1:56" x14ac:dyDescent="0.3">
      <c r="A296">
        <f t="shared" ref="A296:AA296" si="491">A114</f>
        <v>0</v>
      </c>
      <c r="B296">
        <f t="shared" si="491"/>
        <v>0</v>
      </c>
      <c r="C296">
        <f t="shared" si="491"/>
        <v>0</v>
      </c>
      <c r="D296" s="11">
        <f t="shared" si="491"/>
        <v>0</v>
      </c>
      <c r="E296">
        <f t="shared" si="491"/>
        <v>0</v>
      </c>
      <c r="F296">
        <f t="shared" si="491"/>
        <v>0</v>
      </c>
      <c r="G296">
        <f t="shared" si="491"/>
        <v>0</v>
      </c>
      <c r="H296">
        <f t="shared" si="491"/>
        <v>0</v>
      </c>
      <c r="I296">
        <f t="shared" si="491"/>
        <v>0</v>
      </c>
      <c r="J296">
        <f t="shared" si="491"/>
        <v>0</v>
      </c>
      <c r="K296">
        <f t="shared" si="491"/>
        <v>0</v>
      </c>
      <c r="L296">
        <f t="shared" si="491"/>
        <v>0</v>
      </c>
      <c r="M296" s="452">
        <f t="shared" si="491"/>
        <v>0</v>
      </c>
      <c r="N296" s="476" t="str">
        <f t="shared" si="491"/>
        <v>low:</v>
      </c>
      <c r="O296" s="475">
        <f t="shared" si="491"/>
        <v>0.15492636201705176</v>
      </c>
      <c r="P296" s="452">
        <f t="shared" si="491"/>
        <v>0</v>
      </c>
      <c r="Q296" s="471">
        <f t="shared" si="491"/>
        <v>0</v>
      </c>
      <c r="R296" s="472">
        <f t="shared" si="491"/>
        <v>0</v>
      </c>
      <c r="S296" s="452">
        <f t="shared" si="491"/>
        <v>0</v>
      </c>
      <c r="T296" s="452">
        <f t="shared" si="491"/>
        <v>0</v>
      </c>
      <c r="U296" s="452"/>
      <c r="V296" s="456" t="str">
        <f t="shared" si="491"/>
        <v>Outpatient</v>
      </c>
      <c r="W296" s="450">
        <f t="shared" si="491"/>
        <v>0</v>
      </c>
      <c r="X296" s="450">
        <f t="shared" si="491"/>
        <v>0</v>
      </c>
      <c r="Y296" s="450">
        <f t="shared" si="491"/>
        <v>0</v>
      </c>
      <c r="Z296" s="452">
        <f t="shared" si="491"/>
        <v>0</v>
      </c>
      <c r="AA296">
        <f t="shared" si="491"/>
        <v>0</v>
      </c>
      <c r="AD296">
        <f t="shared" ref="AD296:AW296" si="492">AD114</f>
        <v>0</v>
      </c>
      <c r="AE296">
        <f t="shared" si="492"/>
        <v>0</v>
      </c>
      <c r="AF296">
        <f t="shared" si="492"/>
        <v>0</v>
      </c>
      <c r="AG296" s="11">
        <f t="shared" si="492"/>
        <v>0</v>
      </c>
      <c r="AH296">
        <f t="shared" si="492"/>
        <v>0</v>
      </c>
      <c r="AI296">
        <f t="shared" si="492"/>
        <v>0</v>
      </c>
      <c r="AJ296">
        <f t="shared" si="492"/>
        <v>0</v>
      </c>
      <c r="AK296">
        <f t="shared" si="492"/>
        <v>0</v>
      </c>
      <c r="AL296">
        <f t="shared" si="492"/>
        <v>0</v>
      </c>
      <c r="AM296">
        <f t="shared" si="492"/>
        <v>0</v>
      </c>
      <c r="AN296">
        <f t="shared" si="492"/>
        <v>0</v>
      </c>
      <c r="AO296">
        <f t="shared" si="492"/>
        <v>0</v>
      </c>
      <c r="AP296" s="452">
        <f t="shared" si="492"/>
        <v>0</v>
      </c>
      <c r="AQ296" s="476" t="str">
        <f t="shared" si="492"/>
        <v>low:</v>
      </c>
      <c r="AR296" s="475">
        <f t="shared" si="492"/>
        <v>6.3378768667233923E-2</v>
      </c>
      <c r="AS296" s="452">
        <f t="shared" si="492"/>
        <v>0</v>
      </c>
      <c r="AT296" s="471">
        <f t="shared" si="492"/>
        <v>0</v>
      </c>
      <c r="AU296" s="472">
        <f t="shared" si="492"/>
        <v>0</v>
      </c>
      <c r="AV296" s="452">
        <f t="shared" si="492"/>
        <v>0</v>
      </c>
      <c r="AW296" s="452">
        <f t="shared" si="492"/>
        <v>0</v>
      </c>
      <c r="AX296" s="452"/>
      <c r="AY296" s="456" t="str">
        <f t="shared" ref="AY296:BD296" si="493">AY114</f>
        <v>Outpatient</v>
      </c>
      <c r="AZ296" s="450">
        <f t="shared" si="493"/>
        <v>0</v>
      </c>
      <c r="BA296" s="450">
        <f t="shared" si="493"/>
        <v>0</v>
      </c>
      <c r="BB296" s="450">
        <f t="shared" si="493"/>
        <v>0</v>
      </c>
      <c r="BC296" s="452">
        <f t="shared" si="493"/>
        <v>0</v>
      </c>
      <c r="BD296">
        <f t="shared" si="493"/>
        <v>0</v>
      </c>
    </row>
    <row r="297" spans="1:56" x14ac:dyDescent="0.3">
      <c r="A297">
        <f t="shared" ref="A297:AA297" si="494">A115</f>
        <v>0</v>
      </c>
      <c r="B297">
        <f t="shared" si="494"/>
        <v>0</v>
      </c>
      <c r="C297">
        <f t="shared" si="494"/>
        <v>0</v>
      </c>
      <c r="D297" s="11">
        <f t="shared" si="494"/>
        <v>0</v>
      </c>
      <c r="E297">
        <f t="shared" si="494"/>
        <v>0</v>
      </c>
      <c r="F297">
        <f t="shared" si="494"/>
        <v>0</v>
      </c>
      <c r="G297">
        <f t="shared" si="494"/>
        <v>0</v>
      </c>
      <c r="H297">
        <f t="shared" si="494"/>
        <v>0</v>
      </c>
      <c r="I297">
        <f t="shared" si="494"/>
        <v>0</v>
      </c>
      <c r="J297">
        <f t="shared" si="494"/>
        <v>0</v>
      </c>
      <c r="K297">
        <f t="shared" si="494"/>
        <v>0</v>
      </c>
      <c r="L297">
        <f t="shared" si="494"/>
        <v>0</v>
      </c>
      <c r="M297" s="452">
        <f t="shared" si="494"/>
        <v>0</v>
      </c>
      <c r="N297" s="476" t="str">
        <f t="shared" si="494"/>
        <v>high:</v>
      </c>
      <c r="O297" s="475">
        <f t="shared" si="494"/>
        <v>0.21737581063121242</v>
      </c>
      <c r="P297" s="452">
        <f t="shared" si="494"/>
        <v>0</v>
      </c>
      <c r="Q297" s="471">
        <f t="shared" si="494"/>
        <v>0</v>
      </c>
      <c r="R297" s="472">
        <f t="shared" si="494"/>
        <v>0</v>
      </c>
      <c r="S297" s="452">
        <f t="shared" si="494"/>
        <v>0</v>
      </c>
      <c r="T297" s="458">
        <f t="shared" si="494"/>
        <v>0</v>
      </c>
      <c r="U297" s="459">
        <f t="shared" si="494"/>
        <v>0</v>
      </c>
      <c r="V297" s="460" t="str">
        <f t="shared" si="494"/>
        <v>p5c</v>
      </c>
      <c r="W297" s="451">
        <f t="shared" si="494"/>
        <v>0.12922984532257092</v>
      </c>
      <c r="X297" s="451">
        <f t="shared" si="494"/>
        <v>0.10773980381618248</v>
      </c>
      <c r="Y297" s="451">
        <f t="shared" si="494"/>
        <v>0.15069991467142554</v>
      </c>
      <c r="Z297" s="452">
        <f t="shared" si="494"/>
        <v>0</v>
      </c>
      <c r="AA297">
        <f t="shared" si="494"/>
        <v>0</v>
      </c>
      <c r="AD297">
        <f t="shared" ref="AD297:BD297" si="495">AD115</f>
        <v>0</v>
      </c>
      <c r="AE297">
        <f t="shared" si="495"/>
        <v>0</v>
      </c>
      <c r="AF297">
        <f t="shared" si="495"/>
        <v>0</v>
      </c>
      <c r="AG297" s="11">
        <f t="shared" si="495"/>
        <v>0</v>
      </c>
      <c r="AH297">
        <f t="shared" si="495"/>
        <v>0</v>
      </c>
      <c r="AI297">
        <f t="shared" si="495"/>
        <v>0</v>
      </c>
      <c r="AJ297">
        <f t="shared" si="495"/>
        <v>0</v>
      </c>
      <c r="AK297">
        <f t="shared" si="495"/>
        <v>0</v>
      </c>
      <c r="AL297">
        <f t="shared" si="495"/>
        <v>0</v>
      </c>
      <c r="AM297">
        <f t="shared" si="495"/>
        <v>0</v>
      </c>
      <c r="AN297">
        <f t="shared" si="495"/>
        <v>0</v>
      </c>
      <c r="AO297">
        <f t="shared" si="495"/>
        <v>0</v>
      </c>
      <c r="AP297" s="452">
        <f t="shared" si="495"/>
        <v>0</v>
      </c>
      <c r="AQ297" s="476" t="str">
        <f t="shared" si="495"/>
        <v>high:</v>
      </c>
      <c r="AR297" s="475">
        <f t="shared" si="495"/>
        <v>8.99782850523832E-2</v>
      </c>
      <c r="AS297" s="452">
        <f t="shared" si="495"/>
        <v>0</v>
      </c>
      <c r="AT297" s="471">
        <f t="shared" si="495"/>
        <v>0</v>
      </c>
      <c r="AU297" s="472">
        <f t="shared" si="495"/>
        <v>0</v>
      </c>
      <c r="AV297" s="452">
        <f t="shared" si="495"/>
        <v>0</v>
      </c>
      <c r="AW297" s="458">
        <f t="shared" si="495"/>
        <v>0</v>
      </c>
      <c r="AX297" s="459">
        <f t="shared" si="495"/>
        <v>0</v>
      </c>
      <c r="AY297" s="460" t="str">
        <f t="shared" si="495"/>
        <v>p5c</v>
      </c>
      <c r="AZ297" s="451">
        <f t="shared" si="495"/>
        <v>5.2553135240670609E-2</v>
      </c>
      <c r="BA297" s="451">
        <f t="shared" si="495"/>
        <v>4.3820682454258748E-2</v>
      </c>
      <c r="BB297" s="451">
        <f t="shared" si="495"/>
        <v>6.1696464963742502E-2</v>
      </c>
      <c r="BC297" s="452">
        <f t="shared" si="495"/>
        <v>0</v>
      </c>
      <c r="BD297">
        <f t="shared" si="495"/>
        <v>0</v>
      </c>
    </row>
    <row r="298" spans="1:56" x14ac:dyDescent="0.3">
      <c r="A298">
        <f t="shared" ref="A298:AA298" si="496">A116</f>
        <v>0</v>
      </c>
      <c r="B298">
        <f t="shared" si="496"/>
        <v>0</v>
      </c>
      <c r="C298">
        <f t="shared" si="496"/>
        <v>0</v>
      </c>
      <c r="D298" s="11">
        <f t="shared" si="496"/>
        <v>0</v>
      </c>
      <c r="E298">
        <f t="shared" si="496"/>
        <v>0</v>
      </c>
      <c r="F298">
        <f t="shared" si="496"/>
        <v>0</v>
      </c>
      <c r="G298">
        <f t="shared" si="496"/>
        <v>0</v>
      </c>
      <c r="I298" s="72"/>
      <c r="J298" s="72"/>
      <c r="K298" s="87" t="str">
        <f t="shared" si="496"/>
        <v>Forced to zero in Maternal Candidate model</v>
      </c>
      <c r="L298">
        <f t="shared" si="496"/>
        <v>0</v>
      </c>
      <c r="M298" s="452">
        <f t="shared" si="496"/>
        <v>0</v>
      </c>
      <c r="N298" s="461">
        <f t="shared" si="496"/>
        <v>0</v>
      </c>
      <c r="O298" s="455">
        <f t="shared" si="496"/>
        <v>0</v>
      </c>
      <c r="P298" s="455">
        <f t="shared" si="496"/>
        <v>0</v>
      </c>
      <c r="Q298" s="471">
        <f t="shared" si="496"/>
        <v>0</v>
      </c>
      <c r="R298" s="472">
        <f t="shared" si="496"/>
        <v>0</v>
      </c>
      <c r="S298" s="452">
        <f t="shared" si="496"/>
        <v>0</v>
      </c>
      <c r="T298" s="461">
        <f t="shared" si="496"/>
        <v>0</v>
      </c>
      <c r="U298" s="455">
        <f t="shared" si="496"/>
        <v>0</v>
      </c>
      <c r="V298" s="456">
        <f t="shared" si="496"/>
        <v>0</v>
      </c>
      <c r="W298" s="452">
        <f t="shared" si="496"/>
        <v>0</v>
      </c>
      <c r="X298" s="452">
        <f t="shared" si="496"/>
        <v>0</v>
      </c>
      <c r="Y298" s="452">
        <f t="shared" si="496"/>
        <v>0</v>
      </c>
      <c r="Z298" s="452">
        <f t="shared" si="496"/>
        <v>0</v>
      </c>
      <c r="AA298">
        <f t="shared" si="496"/>
        <v>0</v>
      </c>
      <c r="AD298">
        <f t="shared" ref="AD298:AJ298" si="497">AD116</f>
        <v>0</v>
      </c>
      <c r="AE298">
        <f t="shared" si="497"/>
        <v>0</v>
      </c>
      <c r="AF298">
        <f t="shared" si="497"/>
        <v>0</v>
      </c>
      <c r="AG298" s="11">
        <f t="shared" si="497"/>
        <v>0</v>
      </c>
      <c r="AH298">
        <f t="shared" si="497"/>
        <v>0</v>
      </c>
      <c r="AI298">
        <f t="shared" si="497"/>
        <v>0</v>
      </c>
      <c r="AJ298">
        <f t="shared" si="497"/>
        <v>0</v>
      </c>
      <c r="AL298" s="72"/>
      <c r="AM298" s="72"/>
      <c r="AN298" s="87" t="str">
        <f t="shared" ref="AN298:BD298" si="498">AN116</f>
        <v>Forced to zero in Maternal Candidate model</v>
      </c>
      <c r="AO298">
        <f t="shared" si="498"/>
        <v>0</v>
      </c>
      <c r="AP298" s="452">
        <f t="shared" si="498"/>
        <v>0</v>
      </c>
      <c r="AQ298" s="461">
        <f t="shared" si="498"/>
        <v>0</v>
      </c>
      <c r="AR298" s="455">
        <f t="shared" si="498"/>
        <v>0</v>
      </c>
      <c r="AS298" s="455">
        <f t="shared" si="498"/>
        <v>0</v>
      </c>
      <c r="AT298" s="471">
        <f t="shared" si="498"/>
        <v>0</v>
      </c>
      <c r="AU298" s="472">
        <f t="shared" si="498"/>
        <v>0</v>
      </c>
      <c r="AV298" s="452">
        <f t="shared" si="498"/>
        <v>0</v>
      </c>
      <c r="AW298" s="461">
        <f t="shared" si="498"/>
        <v>0</v>
      </c>
      <c r="AX298" s="455">
        <f t="shared" si="498"/>
        <v>0</v>
      </c>
      <c r="AY298" s="456">
        <f t="shared" si="498"/>
        <v>0</v>
      </c>
      <c r="AZ298" s="452">
        <f t="shared" si="498"/>
        <v>0</v>
      </c>
      <c r="BA298" s="452">
        <f t="shared" si="498"/>
        <v>0</v>
      </c>
      <c r="BB298" s="452">
        <f t="shared" si="498"/>
        <v>0</v>
      </c>
      <c r="BC298" s="452">
        <f t="shared" si="498"/>
        <v>0</v>
      </c>
      <c r="BD298">
        <f t="shared" si="498"/>
        <v>0</v>
      </c>
    </row>
    <row r="299" spans="1:56" x14ac:dyDescent="0.3">
      <c r="A299">
        <f t="shared" ref="A299:AA299" si="499">A117</f>
        <v>0</v>
      </c>
      <c r="B299">
        <f t="shared" si="499"/>
        <v>0</v>
      </c>
      <c r="C299">
        <f t="shared" si="499"/>
        <v>0</v>
      </c>
      <c r="D299" s="11">
        <f t="shared" si="499"/>
        <v>0</v>
      </c>
      <c r="E299">
        <f t="shared" si="499"/>
        <v>0</v>
      </c>
      <c r="F299">
        <f t="shared" si="499"/>
        <v>0</v>
      </c>
      <c r="G299">
        <f t="shared" si="499"/>
        <v>0</v>
      </c>
      <c r="K299" s="12" t="str">
        <f t="shared" si="499"/>
        <v>b/c assumed to GO un-immunized</v>
      </c>
      <c r="L299" s="90">
        <f t="shared" si="499"/>
        <v>0</v>
      </c>
      <c r="M299" s="463">
        <f t="shared" si="499"/>
        <v>0</v>
      </c>
      <c r="N299" s="461">
        <f t="shared" si="499"/>
        <v>0</v>
      </c>
      <c r="O299" s="455">
        <f t="shared" si="499"/>
        <v>0</v>
      </c>
      <c r="P299" s="452">
        <f t="shared" si="499"/>
        <v>0</v>
      </c>
      <c r="Q299" s="477" t="str">
        <f t="shared" si="499"/>
        <v>p7</v>
      </c>
      <c r="R299" s="478">
        <f t="shared" si="499"/>
        <v>0</v>
      </c>
      <c r="S299" s="463">
        <f t="shared" si="499"/>
        <v>0</v>
      </c>
      <c r="T299" s="462">
        <f t="shared" si="499"/>
        <v>0</v>
      </c>
      <c r="U299" s="463">
        <f t="shared" si="499"/>
        <v>0</v>
      </c>
      <c r="V299" s="464" t="str">
        <f t="shared" si="499"/>
        <v>ED</v>
      </c>
      <c r="W299" s="450">
        <f t="shared" si="499"/>
        <v>0</v>
      </c>
      <c r="X299" s="450">
        <f t="shared" si="499"/>
        <v>0</v>
      </c>
      <c r="Y299" s="450">
        <f t="shared" si="499"/>
        <v>0</v>
      </c>
      <c r="Z299" s="452">
        <f t="shared" si="499"/>
        <v>0</v>
      </c>
      <c r="AA299">
        <f t="shared" si="499"/>
        <v>0</v>
      </c>
      <c r="AD299">
        <f t="shared" ref="AD299:AJ299" si="500">AD117</f>
        <v>0</v>
      </c>
      <c r="AE299">
        <f t="shared" si="500"/>
        <v>0</v>
      </c>
      <c r="AF299">
        <f t="shared" si="500"/>
        <v>0</v>
      </c>
      <c r="AG299" s="11">
        <f t="shared" si="500"/>
        <v>0</v>
      </c>
      <c r="AH299">
        <f t="shared" si="500"/>
        <v>0</v>
      </c>
      <c r="AI299">
        <f t="shared" si="500"/>
        <v>0</v>
      </c>
      <c r="AJ299">
        <f t="shared" si="500"/>
        <v>0</v>
      </c>
      <c r="AN299" s="12" t="str">
        <f t="shared" ref="AN299:BD299" si="501">AN117</f>
        <v>b/c assumed to GO un-immunized</v>
      </c>
      <c r="AO299" s="90">
        <f t="shared" si="501"/>
        <v>0</v>
      </c>
      <c r="AP299" s="463">
        <f t="shared" si="501"/>
        <v>0</v>
      </c>
      <c r="AQ299" s="461">
        <f t="shared" si="501"/>
        <v>0</v>
      </c>
      <c r="AR299" s="455">
        <f t="shared" si="501"/>
        <v>0</v>
      </c>
      <c r="AS299" s="452">
        <f t="shared" si="501"/>
        <v>0</v>
      </c>
      <c r="AT299" s="477" t="str">
        <f t="shared" si="501"/>
        <v>p7</v>
      </c>
      <c r="AU299" s="478">
        <f t="shared" si="501"/>
        <v>0</v>
      </c>
      <c r="AV299" s="463">
        <f t="shared" si="501"/>
        <v>0</v>
      </c>
      <c r="AW299" s="462">
        <f t="shared" si="501"/>
        <v>0</v>
      </c>
      <c r="AX299" s="463">
        <f t="shared" si="501"/>
        <v>0</v>
      </c>
      <c r="AY299" s="464" t="str">
        <f t="shared" si="501"/>
        <v>ED</v>
      </c>
      <c r="AZ299" s="450">
        <f t="shared" si="501"/>
        <v>0</v>
      </c>
      <c r="BA299" s="450">
        <f t="shared" si="501"/>
        <v>0</v>
      </c>
      <c r="BB299" s="450">
        <f t="shared" si="501"/>
        <v>0</v>
      </c>
      <c r="BC299" s="452">
        <f t="shared" si="501"/>
        <v>0</v>
      </c>
      <c r="BD299">
        <f t="shared" si="501"/>
        <v>0</v>
      </c>
    </row>
    <row r="300" spans="1:56" x14ac:dyDescent="0.3">
      <c r="A300">
        <f t="shared" ref="A300:AA300" si="502">A118</f>
        <v>0</v>
      </c>
      <c r="B300">
        <f t="shared" si="502"/>
        <v>0</v>
      </c>
      <c r="C300">
        <f t="shared" si="502"/>
        <v>0</v>
      </c>
      <c r="D300" s="11">
        <f t="shared" si="502"/>
        <v>0</v>
      </c>
      <c r="E300">
        <f t="shared" si="502"/>
        <v>0</v>
      </c>
      <c r="F300">
        <f t="shared" si="502"/>
        <v>0</v>
      </c>
      <c r="G300">
        <f t="shared" si="502"/>
        <v>0</v>
      </c>
      <c r="H300">
        <f t="shared" si="502"/>
        <v>0</v>
      </c>
      <c r="I300">
        <f t="shared" si="502"/>
        <v>0</v>
      </c>
      <c r="J300">
        <f t="shared" si="502"/>
        <v>0</v>
      </c>
      <c r="K300" s="59" t="str">
        <f t="shared" si="502"/>
        <v>p3</v>
      </c>
      <c r="L300" s="105">
        <f t="shared" si="502"/>
        <v>0</v>
      </c>
      <c r="M300" s="452">
        <f t="shared" si="502"/>
        <v>0</v>
      </c>
      <c r="N300" s="461">
        <f t="shared" si="502"/>
        <v>0</v>
      </c>
      <c r="O300" s="455">
        <f t="shared" si="502"/>
        <v>0</v>
      </c>
      <c r="P300" s="452"/>
      <c r="Q300" s="456" t="str">
        <f t="shared" si="502"/>
        <v>Vaccine Failure</v>
      </c>
      <c r="R300" s="479">
        <f t="shared" si="502"/>
        <v>0</v>
      </c>
      <c r="S300" s="452">
        <f t="shared" si="502"/>
        <v>0</v>
      </c>
      <c r="T300" s="461">
        <f t="shared" si="502"/>
        <v>0</v>
      </c>
      <c r="U300" s="455">
        <f t="shared" si="502"/>
        <v>0</v>
      </c>
      <c r="V300" s="456" t="str">
        <f t="shared" si="502"/>
        <v>p5b</v>
      </c>
      <c r="W300" s="451">
        <f t="shared" si="502"/>
        <v>4.4807535427121237E-2</v>
      </c>
      <c r="X300" s="451">
        <f t="shared" si="502"/>
        <v>3.8366514622464848E-2</v>
      </c>
      <c r="Y300" s="451">
        <f t="shared" si="502"/>
        <v>5.1268528389311424E-2</v>
      </c>
      <c r="Z300" s="452">
        <f t="shared" si="502"/>
        <v>0</v>
      </c>
      <c r="AA300">
        <f t="shared" si="502"/>
        <v>0</v>
      </c>
      <c r="AD300">
        <f t="shared" ref="AD300:AR300" si="503">AD118</f>
        <v>0</v>
      </c>
      <c r="AE300">
        <f t="shared" si="503"/>
        <v>0</v>
      </c>
      <c r="AF300">
        <f t="shared" si="503"/>
        <v>0</v>
      </c>
      <c r="AG300" s="11">
        <f t="shared" si="503"/>
        <v>0</v>
      </c>
      <c r="AH300">
        <f t="shared" si="503"/>
        <v>0</v>
      </c>
      <c r="AI300">
        <f t="shared" si="503"/>
        <v>0</v>
      </c>
      <c r="AJ300">
        <f t="shared" si="503"/>
        <v>0</v>
      </c>
      <c r="AK300">
        <f t="shared" si="503"/>
        <v>0</v>
      </c>
      <c r="AL300">
        <f t="shared" si="503"/>
        <v>0</v>
      </c>
      <c r="AM300">
        <f t="shared" si="503"/>
        <v>0</v>
      </c>
      <c r="AN300" s="59" t="str">
        <f t="shared" si="503"/>
        <v>p3</v>
      </c>
      <c r="AO300" s="105">
        <f t="shared" si="503"/>
        <v>0</v>
      </c>
      <c r="AP300" s="452">
        <f t="shared" si="503"/>
        <v>0</v>
      </c>
      <c r="AQ300" s="461">
        <f t="shared" si="503"/>
        <v>0</v>
      </c>
      <c r="AR300" s="455">
        <f t="shared" si="503"/>
        <v>0</v>
      </c>
      <c r="AS300" s="452"/>
      <c r="AT300" s="456" t="str">
        <f t="shared" ref="AT300:BD300" si="504">AT118</f>
        <v>Vaccine Failure</v>
      </c>
      <c r="AU300" s="479">
        <f t="shared" si="504"/>
        <v>0</v>
      </c>
      <c r="AV300" s="452">
        <f t="shared" si="504"/>
        <v>0</v>
      </c>
      <c r="AW300" s="461">
        <f t="shared" si="504"/>
        <v>0</v>
      </c>
      <c r="AX300" s="455">
        <f t="shared" si="504"/>
        <v>0</v>
      </c>
      <c r="AY300" s="456" t="str">
        <f t="shared" si="504"/>
        <v>p5b</v>
      </c>
      <c r="AZ300" s="451">
        <f t="shared" si="504"/>
        <v>2.0899346727931388E-2</v>
      </c>
      <c r="BA300" s="451">
        <f t="shared" si="504"/>
        <v>1.7896438711993638E-2</v>
      </c>
      <c r="BB300" s="451">
        <f t="shared" si="504"/>
        <v>2.3905393342071143E-2</v>
      </c>
      <c r="BC300" s="452">
        <f t="shared" si="504"/>
        <v>0</v>
      </c>
      <c r="BD300">
        <f t="shared" si="504"/>
        <v>0</v>
      </c>
    </row>
    <row r="301" spans="1:56" x14ac:dyDescent="0.3">
      <c r="A301">
        <f t="shared" ref="A301:AA301" si="505">A119</f>
        <v>0</v>
      </c>
      <c r="B301">
        <f t="shared" si="505"/>
        <v>0</v>
      </c>
      <c r="C301">
        <f t="shared" si="505"/>
        <v>0</v>
      </c>
      <c r="D301" s="11">
        <f t="shared" si="505"/>
        <v>0</v>
      </c>
      <c r="E301">
        <f t="shared" si="505"/>
        <v>0</v>
      </c>
      <c r="F301">
        <f t="shared" si="505"/>
        <v>0</v>
      </c>
      <c r="G301">
        <f t="shared" si="505"/>
        <v>0</v>
      </c>
      <c r="H301">
        <f t="shared" si="505"/>
        <v>0</v>
      </c>
      <c r="I301">
        <f t="shared" si="505"/>
        <v>0</v>
      </c>
      <c r="J301">
        <f t="shared" si="505"/>
        <v>0</v>
      </c>
      <c r="K301" s="11">
        <f t="shared" si="505"/>
        <v>0</v>
      </c>
      <c r="L301">
        <f t="shared" si="505"/>
        <v>0</v>
      </c>
      <c r="M301" s="452">
        <f t="shared" si="505"/>
        <v>0</v>
      </c>
      <c r="N301" s="461">
        <f t="shared" si="505"/>
        <v>0</v>
      </c>
      <c r="O301" s="455"/>
      <c r="P301" s="452"/>
      <c r="Q301" s="456" t="str">
        <f t="shared" si="505"/>
        <v>Medically Attended for RSV</v>
      </c>
      <c r="R301" s="455">
        <f t="shared" si="505"/>
        <v>0</v>
      </c>
      <c r="S301" s="452">
        <f t="shared" si="505"/>
        <v>0</v>
      </c>
      <c r="T301" s="461">
        <f t="shared" si="505"/>
        <v>0</v>
      </c>
      <c r="U301" s="455">
        <f t="shared" si="505"/>
        <v>0</v>
      </c>
      <c r="V301" s="456">
        <f t="shared" si="505"/>
        <v>0</v>
      </c>
      <c r="W301" s="452">
        <f t="shared" si="505"/>
        <v>0</v>
      </c>
      <c r="X301" s="452">
        <f t="shared" si="505"/>
        <v>0</v>
      </c>
      <c r="Y301" s="452">
        <f t="shared" si="505"/>
        <v>0</v>
      </c>
      <c r="Z301" s="452">
        <f t="shared" si="505"/>
        <v>0</v>
      </c>
      <c r="AA301">
        <f t="shared" si="505"/>
        <v>0</v>
      </c>
      <c r="AD301">
        <f t="shared" ref="AD301:AQ301" si="506">AD119</f>
        <v>0</v>
      </c>
      <c r="AE301">
        <f t="shared" si="506"/>
        <v>0</v>
      </c>
      <c r="AF301">
        <f t="shared" si="506"/>
        <v>0</v>
      </c>
      <c r="AG301" s="11">
        <f t="shared" si="506"/>
        <v>0</v>
      </c>
      <c r="AH301">
        <f t="shared" si="506"/>
        <v>0</v>
      </c>
      <c r="AI301">
        <f t="shared" si="506"/>
        <v>0</v>
      </c>
      <c r="AJ301">
        <f t="shared" si="506"/>
        <v>0</v>
      </c>
      <c r="AK301">
        <f t="shared" si="506"/>
        <v>0</v>
      </c>
      <c r="AL301">
        <f t="shared" si="506"/>
        <v>0</v>
      </c>
      <c r="AM301">
        <f t="shared" si="506"/>
        <v>0</v>
      </c>
      <c r="AN301" s="11">
        <f t="shared" si="506"/>
        <v>0</v>
      </c>
      <c r="AO301">
        <f t="shared" si="506"/>
        <v>0</v>
      </c>
      <c r="AP301" s="452">
        <f t="shared" si="506"/>
        <v>0</v>
      </c>
      <c r="AQ301" s="461">
        <f t="shared" si="506"/>
        <v>0</v>
      </c>
      <c r="AR301" s="455"/>
      <c r="AS301" s="452"/>
      <c r="AT301" s="456" t="str">
        <f t="shared" ref="AT301:BD301" si="507">AT119</f>
        <v>Medically Attended for RSV</v>
      </c>
      <c r="AU301" s="455">
        <f t="shared" si="507"/>
        <v>0</v>
      </c>
      <c r="AV301" s="452">
        <f t="shared" si="507"/>
        <v>0</v>
      </c>
      <c r="AW301" s="461">
        <f t="shared" si="507"/>
        <v>0</v>
      </c>
      <c r="AX301" s="455">
        <f t="shared" si="507"/>
        <v>0</v>
      </c>
      <c r="AY301" s="456">
        <f t="shared" si="507"/>
        <v>0</v>
      </c>
      <c r="AZ301" s="452">
        <f t="shared" si="507"/>
        <v>0</v>
      </c>
      <c r="BA301" s="452">
        <f t="shared" si="507"/>
        <v>0</v>
      </c>
      <c r="BB301" s="452">
        <f t="shared" si="507"/>
        <v>0</v>
      </c>
      <c r="BC301" s="452">
        <f t="shared" si="507"/>
        <v>0</v>
      </c>
      <c r="BD301">
        <f t="shared" si="507"/>
        <v>0</v>
      </c>
    </row>
    <row r="302" spans="1:56" x14ac:dyDescent="0.3">
      <c r="A302">
        <f t="shared" ref="A302:AA302" si="508">A120</f>
        <v>0</v>
      </c>
      <c r="B302">
        <f t="shared" si="508"/>
        <v>0</v>
      </c>
      <c r="C302">
        <f t="shared" si="508"/>
        <v>0</v>
      </c>
      <c r="D302" s="11">
        <f t="shared" si="508"/>
        <v>0</v>
      </c>
      <c r="E302">
        <f t="shared" si="508"/>
        <v>0</v>
      </c>
      <c r="F302">
        <f t="shared" si="508"/>
        <v>0</v>
      </c>
      <c r="G302">
        <f t="shared" si="508"/>
        <v>0</v>
      </c>
      <c r="H302">
        <f t="shared" si="508"/>
        <v>0</v>
      </c>
      <c r="I302">
        <f t="shared" si="508"/>
        <v>0</v>
      </c>
      <c r="J302">
        <f t="shared" si="508"/>
        <v>0</v>
      </c>
      <c r="K302" s="11">
        <f t="shared" si="508"/>
        <v>0</v>
      </c>
      <c r="L302">
        <f t="shared" si="508"/>
        <v>0</v>
      </c>
      <c r="M302" s="452">
        <f t="shared" si="508"/>
        <v>0</v>
      </c>
      <c r="N302" s="461">
        <f t="shared" si="508"/>
        <v>0</v>
      </c>
      <c r="O302" s="452">
        <f t="shared" si="508"/>
        <v>0</v>
      </c>
      <c r="P302" s="452">
        <f t="shared" si="508"/>
        <v>0</v>
      </c>
      <c r="Q302" s="452">
        <f t="shared" si="508"/>
        <v>0</v>
      </c>
      <c r="R302" s="452">
        <f t="shared" si="508"/>
        <v>0</v>
      </c>
      <c r="S302" s="452">
        <f t="shared" si="508"/>
        <v>0</v>
      </c>
      <c r="T302" s="462">
        <f t="shared" si="508"/>
        <v>0</v>
      </c>
      <c r="U302" s="463"/>
      <c r="V302" s="464" t="str">
        <f t="shared" si="508"/>
        <v>Hospitalized</v>
      </c>
      <c r="W302" s="453">
        <f t="shared" si="508"/>
        <v>0</v>
      </c>
      <c r="X302" s="453">
        <f t="shared" si="508"/>
        <v>0</v>
      </c>
      <c r="Y302" s="453">
        <f t="shared" si="508"/>
        <v>0</v>
      </c>
      <c r="Z302" s="452">
        <f t="shared" si="508"/>
        <v>0</v>
      </c>
      <c r="AA302">
        <f t="shared" si="508"/>
        <v>0</v>
      </c>
      <c r="AD302">
        <f t="shared" ref="AD302:AW302" si="509">AD120</f>
        <v>0</v>
      </c>
      <c r="AE302">
        <f t="shared" si="509"/>
        <v>0</v>
      </c>
      <c r="AF302">
        <f t="shared" si="509"/>
        <v>0</v>
      </c>
      <c r="AG302" s="11">
        <f t="shared" si="509"/>
        <v>0</v>
      </c>
      <c r="AH302">
        <f t="shared" si="509"/>
        <v>0</v>
      </c>
      <c r="AI302">
        <f t="shared" si="509"/>
        <v>0</v>
      </c>
      <c r="AJ302">
        <f t="shared" si="509"/>
        <v>0</v>
      </c>
      <c r="AK302">
        <f t="shared" si="509"/>
        <v>0</v>
      </c>
      <c r="AL302">
        <f t="shared" si="509"/>
        <v>0</v>
      </c>
      <c r="AM302">
        <f t="shared" si="509"/>
        <v>0</v>
      </c>
      <c r="AN302" s="11">
        <f t="shared" si="509"/>
        <v>0</v>
      </c>
      <c r="AO302">
        <f t="shared" si="509"/>
        <v>0</v>
      </c>
      <c r="AP302" s="452">
        <f t="shared" si="509"/>
        <v>0</v>
      </c>
      <c r="AQ302" s="461">
        <f t="shared" si="509"/>
        <v>0</v>
      </c>
      <c r="AR302" s="452">
        <f t="shared" si="509"/>
        <v>0</v>
      </c>
      <c r="AS302" s="452">
        <f t="shared" si="509"/>
        <v>0</v>
      </c>
      <c r="AT302" s="452">
        <f t="shared" si="509"/>
        <v>0</v>
      </c>
      <c r="AU302" s="452">
        <f t="shared" si="509"/>
        <v>0</v>
      </c>
      <c r="AV302" s="452">
        <f t="shared" si="509"/>
        <v>0</v>
      </c>
      <c r="AW302" s="462">
        <f t="shared" si="509"/>
        <v>0</v>
      </c>
      <c r="AX302" s="463"/>
      <c r="AY302" s="464" t="str">
        <f t="shared" ref="AY302:BD302" si="510">AY120</f>
        <v>Hospitalized</v>
      </c>
      <c r="AZ302" s="453">
        <f t="shared" si="510"/>
        <v>0</v>
      </c>
      <c r="BA302" s="453">
        <f t="shared" si="510"/>
        <v>0</v>
      </c>
      <c r="BB302" s="453">
        <f t="shared" si="510"/>
        <v>0</v>
      </c>
      <c r="BC302" s="452">
        <f t="shared" si="510"/>
        <v>0</v>
      </c>
      <c r="BD302">
        <f t="shared" si="510"/>
        <v>0</v>
      </c>
    </row>
    <row r="303" spans="1:56" x14ac:dyDescent="0.3">
      <c r="A303">
        <f t="shared" ref="A303:AA303" si="511">A121</f>
        <v>0</v>
      </c>
      <c r="B303">
        <f t="shared" si="511"/>
        <v>0</v>
      </c>
      <c r="C303">
        <f t="shared" si="511"/>
        <v>0</v>
      </c>
      <c r="D303" s="11">
        <f t="shared" si="511"/>
        <v>0</v>
      </c>
      <c r="E303">
        <f t="shared" si="511"/>
        <v>0</v>
      </c>
      <c r="F303">
        <f t="shared" si="511"/>
        <v>0</v>
      </c>
      <c r="G303">
        <f t="shared" si="511"/>
        <v>0</v>
      </c>
      <c r="H303" s="2" t="s">
        <v>263</v>
      </c>
      <c r="I303" s="28">
        <f>(F324/12*'Input 4_RSV Season'!$AG$27)*$I$306</f>
        <v>957265.32912499993</v>
      </c>
      <c r="J303">
        <f t="shared" si="511"/>
        <v>0</v>
      </c>
      <c r="K303" s="11">
        <f t="shared" si="511"/>
        <v>0</v>
      </c>
      <c r="L303">
        <f t="shared" si="511"/>
        <v>0</v>
      </c>
      <c r="M303" s="452">
        <f t="shared" si="511"/>
        <v>0</v>
      </c>
      <c r="N303" s="462">
        <f t="shared" si="511"/>
        <v>0</v>
      </c>
      <c r="O303" s="463">
        <f t="shared" si="511"/>
        <v>0</v>
      </c>
      <c r="P303" s="463">
        <f t="shared" si="511"/>
        <v>0</v>
      </c>
      <c r="Q303" s="452">
        <f t="shared" si="511"/>
        <v>0</v>
      </c>
      <c r="R303" s="452">
        <f t="shared" si="511"/>
        <v>0</v>
      </c>
      <c r="S303" s="452">
        <f t="shared" si="511"/>
        <v>0</v>
      </c>
      <c r="T303" s="452">
        <f t="shared" si="511"/>
        <v>0</v>
      </c>
      <c r="U303" s="452">
        <f t="shared" si="511"/>
        <v>0</v>
      </c>
      <c r="V303" s="456" t="str">
        <f t="shared" si="511"/>
        <v>p5a</v>
      </c>
      <c r="W303" s="451">
        <f t="shared" si="511"/>
        <v>1.1937204925982133E-2</v>
      </c>
      <c r="X303" s="451">
        <f t="shared" si="511"/>
        <v>8.8200435784044334E-3</v>
      </c>
      <c r="Y303" s="451">
        <f t="shared" si="511"/>
        <v>1.540736757047545E-2</v>
      </c>
      <c r="Z303" s="452">
        <f t="shared" si="511"/>
        <v>0</v>
      </c>
      <c r="AA303">
        <f t="shared" si="511"/>
        <v>0</v>
      </c>
      <c r="AD303">
        <f t="shared" ref="AD303:AI303" si="512">AD121</f>
        <v>0</v>
      </c>
      <c r="AE303">
        <f t="shared" si="512"/>
        <v>0</v>
      </c>
      <c r="AF303">
        <f t="shared" si="512"/>
        <v>0</v>
      </c>
      <c r="AG303" s="11">
        <f t="shared" si="512"/>
        <v>0</v>
      </c>
      <c r="AH303">
        <f t="shared" si="512"/>
        <v>0</v>
      </c>
      <c r="AI303">
        <f t="shared" si="512"/>
        <v>0</v>
      </c>
      <c r="AJ303" s="2" t="s">
        <v>315</v>
      </c>
      <c r="AK303" s="2" t="s">
        <v>263</v>
      </c>
      <c r="AL303" s="28">
        <f>(AI324/12*(12-'Input 4_RSV Season'!$AG$27))*$AL$306</f>
        <v>957265.32912499993</v>
      </c>
      <c r="AM303">
        <f t="shared" ref="AM303:BD303" si="513">AM121</f>
        <v>0</v>
      </c>
      <c r="AN303" s="11">
        <f t="shared" si="513"/>
        <v>0</v>
      </c>
      <c r="AO303">
        <f t="shared" si="513"/>
        <v>0</v>
      </c>
      <c r="AP303" s="452">
        <f t="shared" si="513"/>
        <v>0</v>
      </c>
      <c r="AQ303" s="462">
        <f t="shared" si="513"/>
        <v>0</v>
      </c>
      <c r="AR303" s="463">
        <f t="shared" si="513"/>
        <v>0</v>
      </c>
      <c r="AS303" s="463">
        <f t="shared" si="513"/>
        <v>0</v>
      </c>
      <c r="AT303" s="452">
        <f t="shared" si="513"/>
        <v>0</v>
      </c>
      <c r="AU303" s="452">
        <f t="shared" si="513"/>
        <v>0</v>
      </c>
      <c r="AV303" s="452">
        <f t="shared" si="513"/>
        <v>0</v>
      </c>
      <c r="AW303" s="452">
        <f t="shared" si="513"/>
        <v>0</v>
      </c>
      <c r="AX303" s="452">
        <f t="shared" si="513"/>
        <v>0</v>
      </c>
      <c r="AY303" s="456" t="str">
        <f t="shared" si="513"/>
        <v>p5a</v>
      </c>
      <c r="AZ303" s="451">
        <f t="shared" si="513"/>
        <v>2.879509328304896E-3</v>
      </c>
      <c r="BA303" s="451">
        <f t="shared" si="513"/>
        <v>1.6616475009815412E-3</v>
      </c>
      <c r="BB303" s="451">
        <f t="shared" si="513"/>
        <v>4.3764267465695519E-3</v>
      </c>
      <c r="BC303" s="452">
        <f t="shared" si="513"/>
        <v>0</v>
      </c>
      <c r="BD303">
        <f t="shared" si="513"/>
        <v>0</v>
      </c>
    </row>
    <row r="304" spans="1:56" x14ac:dyDescent="0.3">
      <c r="A304">
        <f t="shared" ref="A304:AA304" si="514">A122</f>
        <v>0</v>
      </c>
      <c r="B304">
        <f t="shared" si="514"/>
        <v>0</v>
      </c>
      <c r="C304">
        <f t="shared" si="514"/>
        <v>0</v>
      </c>
      <c r="D304" s="11">
        <f t="shared" si="514"/>
        <v>0</v>
      </c>
      <c r="E304">
        <f t="shared" si="514"/>
        <v>0</v>
      </c>
      <c r="F304">
        <f t="shared" si="514"/>
        <v>0</v>
      </c>
      <c r="H304" s="2" t="s">
        <v>264</v>
      </c>
      <c r="I304" s="28">
        <f>(F325/12*'Input 4_RSV Season'!$AG$27)*$I$306</f>
        <v>761905.05787499994</v>
      </c>
      <c r="J304">
        <f t="shared" si="514"/>
        <v>0</v>
      </c>
      <c r="K304" s="11">
        <f t="shared" si="514"/>
        <v>0</v>
      </c>
      <c r="L304">
        <f t="shared" si="514"/>
        <v>0</v>
      </c>
      <c r="M304" s="452"/>
      <c r="N304" s="456" t="str">
        <f t="shared" si="514"/>
        <v>Not MA for RSV</v>
      </c>
      <c r="O304" s="480" t="str">
        <f t="shared" si="514"/>
        <v>unknown</v>
      </c>
      <c r="P304" s="455">
        <f t="shared" si="514"/>
        <v>0</v>
      </c>
      <c r="Q304" s="452">
        <f t="shared" si="514"/>
        <v>0</v>
      </c>
      <c r="R304" s="452">
        <f t="shared" si="514"/>
        <v>0</v>
      </c>
      <c r="S304" s="452">
        <f t="shared" si="514"/>
        <v>0</v>
      </c>
      <c r="T304" s="452">
        <f t="shared" si="514"/>
        <v>0</v>
      </c>
      <c r="U304" s="452">
        <f t="shared" si="514"/>
        <v>0</v>
      </c>
      <c r="V304" s="452">
        <f t="shared" si="514"/>
        <v>0</v>
      </c>
      <c r="W304" s="452">
        <f t="shared" si="514"/>
        <v>0</v>
      </c>
      <c r="X304" s="452">
        <f t="shared" si="514"/>
        <v>0</v>
      </c>
      <c r="Y304" s="452">
        <f t="shared" si="514"/>
        <v>0</v>
      </c>
      <c r="Z304" s="452">
        <f t="shared" si="514"/>
        <v>0</v>
      </c>
      <c r="AA304">
        <f t="shared" si="514"/>
        <v>0</v>
      </c>
      <c r="AD304">
        <f t="shared" ref="AD304:AI304" si="515">AD122</f>
        <v>0</v>
      </c>
      <c r="AE304">
        <f t="shared" si="515"/>
        <v>0</v>
      </c>
      <c r="AF304">
        <f t="shared" si="515"/>
        <v>0</v>
      </c>
      <c r="AG304" s="11">
        <f t="shared" si="515"/>
        <v>0</v>
      </c>
      <c r="AH304">
        <f t="shared" si="515"/>
        <v>0</v>
      </c>
      <c r="AI304">
        <f t="shared" si="515"/>
        <v>0</v>
      </c>
      <c r="AJ304" s="2" t="s">
        <v>315</v>
      </c>
      <c r="AK304" s="2" t="s">
        <v>264</v>
      </c>
      <c r="AL304" s="28">
        <f>(AI325/12*(12-'Input 4_RSV Season'!$AG$27))*$AL$306</f>
        <v>761905.05787499994</v>
      </c>
      <c r="AM304">
        <f t="shared" ref="AM304:AO304" si="516">AM122</f>
        <v>0</v>
      </c>
      <c r="AN304" s="11">
        <f t="shared" si="516"/>
        <v>0</v>
      </c>
      <c r="AO304">
        <f t="shared" si="516"/>
        <v>0</v>
      </c>
      <c r="AP304" s="452"/>
      <c r="AQ304" s="456" t="str">
        <f t="shared" ref="AQ304:BD304" si="517">AQ122</f>
        <v>Not MA for RSV</v>
      </c>
      <c r="AR304" s="480" t="str">
        <f t="shared" si="517"/>
        <v>unknown</v>
      </c>
      <c r="AS304" s="455">
        <f t="shared" si="517"/>
        <v>0</v>
      </c>
      <c r="AT304" s="452">
        <f t="shared" si="517"/>
        <v>0</v>
      </c>
      <c r="AU304" s="452">
        <f t="shared" si="517"/>
        <v>0</v>
      </c>
      <c r="AV304" s="452">
        <f t="shared" si="517"/>
        <v>0</v>
      </c>
      <c r="AW304" s="452">
        <f t="shared" si="517"/>
        <v>0</v>
      </c>
      <c r="AX304" s="452">
        <f t="shared" si="517"/>
        <v>0</v>
      </c>
      <c r="AY304" s="452">
        <f t="shared" si="517"/>
        <v>0</v>
      </c>
      <c r="AZ304" s="452">
        <f t="shared" si="517"/>
        <v>0</v>
      </c>
      <c r="BA304" s="452">
        <f t="shared" si="517"/>
        <v>0</v>
      </c>
      <c r="BB304" s="452">
        <f t="shared" si="517"/>
        <v>0</v>
      </c>
      <c r="BC304" s="452">
        <f t="shared" si="517"/>
        <v>0</v>
      </c>
      <c r="BD304">
        <f t="shared" si="517"/>
        <v>0</v>
      </c>
    </row>
    <row r="305" spans="1:56" x14ac:dyDescent="0.3">
      <c r="A305">
        <f t="shared" ref="A305:AA305" si="518">A123</f>
        <v>0</v>
      </c>
      <c r="B305">
        <f t="shared" si="518"/>
        <v>0</v>
      </c>
      <c r="C305">
        <f t="shared" si="518"/>
        <v>0</v>
      </c>
      <c r="D305" s="11">
        <f t="shared" si="518"/>
        <v>0</v>
      </c>
      <c r="E305">
        <f t="shared" si="518"/>
        <v>0</v>
      </c>
      <c r="F305">
        <f t="shared" si="518"/>
        <v>0</v>
      </c>
      <c r="H305" s="12" t="str">
        <f t="shared" si="518"/>
        <v>WiS low risk births that do not obtain Mat Cand</v>
      </c>
      <c r="I305" s="30">
        <f t="shared" si="518"/>
        <v>859585.19349999982</v>
      </c>
      <c r="J305" s="438">
        <f t="shared" si="518"/>
        <v>0</v>
      </c>
      <c r="K305" s="11">
        <f t="shared" si="518"/>
        <v>0</v>
      </c>
      <c r="L305">
        <f t="shared" si="518"/>
        <v>0</v>
      </c>
      <c r="M305" s="452">
        <f t="shared" si="518"/>
        <v>0</v>
      </c>
      <c r="N305" s="452">
        <f t="shared" si="518"/>
        <v>0</v>
      </c>
      <c r="O305" s="452">
        <f t="shared" si="518"/>
        <v>0</v>
      </c>
      <c r="P305" s="452">
        <f t="shared" si="518"/>
        <v>0</v>
      </c>
      <c r="Q305" s="452">
        <f t="shared" si="518"/>
        <v>0</v>
      </c>
      <c r="R305" s="452">
        <f t="shared" si="518"/>
        <v>0</v>
      </c>
      <c r="S305" s="452">
        <f t="shared" si="518"/>
        <v>0</v>
      </c>
      <c r="T305" s="452">
        <f t="shared" si="518"/>
        <v>0</v>
      </c>
      <c r="U305" s="452">
        <f t="shared" si="518"/>
        <v>0</v>
      </c>
      <c r="V305" s="452">
        <f t="shared" si="518"/>
        <v>0</v>
      </c>
      <c r="W305" s="452">
        <f t="shared" si="518"/>
        <v>0</v>
      </c>
      <c r="X305" s="452">
        <f t="shared" si="518"/>
        <v>0</v>
      </c>
      <c r="Y305" s="452">
        <f t="shared" si="518"/>
        <v>0</v>
      </c>
      <c r="Z305" s="452">
        <f t="shared" si="518"/>
        <v>0</v>
      </c>
      <c r="AA305">
        <f t="shared" si="518"/>
        <v>0</v>
      </c>
      <c r="AD305">
        <f t="shared" ref="AD305:AG305" si="519">AD123</f>
        <v>0</v>
      </c>
      <c r="AE305">
        <f t="shared" si="519"/>
        <v>0</v>
      </c>
      <c r="AF305">
        <f t="shared" si="519"/>
        <v>0</v>
      </c>
      <c r="AG305" s="11">
        <f t="shared" si="519"/>
        <v>0</v>
      </c>
      <c r="AK305" s="12" t="str">
        <f t="shared" ref="AK305:BD305" si="520">AK123</f>
        <v>OoS low risk births that do not obtain Mat Cand</v>
      </c>
      <c r="AL305" s="30">
        <f t="shared" si="520"/>
        <v>859585.19349999982</v>
      </c>
      <c r="AM305" s="500">
        <f t="shared" si="520"/>
        <v>0</v>
      </c>
      <c r="AN305" s="11">
        <f t="shared" si="520"/>
        <v>0</v>
      </c>
      <c r="AO305">
        <f t="shared" si="520"/>
        <v>0</v>
      </c>
      <c r="AP305" s="452">
        <f t="shared" si="520"/>
        <v>0</v>
      </c>
      <c r="AQ305" s="452">
        <f t="shared" si="520"/>
        <v>0</v>
      </c>
      <c r="AR305" s="452">
        <f t="shared" si="520"/>
        <v>0</v>
      </c>
      <c r="AS305" s="452">
        <f t="shared" si="520"/>
        <v>0</v>
      </c>
      <c r="AT305" s="452">
        <f t="shared" si="520"/>
        <v>0</v>
      </c>
      <c r="AU305" s="452">
        <f t="shared" si="520"/>
        <v>0</v>
      </c>
      <c r="AV305" s="452">
        <f t="shared" si="520"/>
        <v>0</v>
      </c>
      <c r="AW305" s="452">
        <f t="shared" si="520"/>
        <v>0</v>
      </c>
      <c r="AX305" s="452">
        <f t="shared" si="520"/>
        <v>0</v>
      </c>
      <c r="AY305" s="452">
        <f t="shared" si="520"/>
        <v>0</v>
      </c>
      <c r="AZ305" s="452">
        <f t="shared" si="520"/>
        <v>0</v>
      </c>
      <c r="BA305" s="452">
        <f t="shared" si="520"/>
        <v>0</v>
      </c>
      <c r="BB305" s="452">
        <f t="shared" si="520"/>
        <v>0</v>
      </c>
      <c r="BC305" s="452">
        <f t="shared" si="520"/>
        <v>0</v>
      </c>
      <c r="BD305">
        <f t="shared" si="520"/>
        <v>0</v>
      </c>
    </row>
    <row r="306" spans="1:56" x14ac:dyDescent="0.3">
      <c r="A306">
        <f t="shared" ref="A306:AA306" si="521">A124</f>
        <v>0</v>
      </c>
      <c r="B306">
        <f t="shared" si="521"/>
        <v>0</v>
      </c>
      <c r="C306">
        <f t="shared" si="521"/>
        <v>0</v>
      </c>
      <c r="D306" s="11">
        <f t="shared" si="521"/>
        <v>0</v>
      </c>
      <c r="E306">
        <f t="shared" si="521"/>
        <v>0</v>
      </c>
      <c r="F306">
        <f t="shared" si="521"/>
        <v>0</v>
      </c>
      <c r="G306">
        <f t="shared" si="521"/>
        <v>0</v>
      </c>
      <c r="H306" s="59" t="str">
        <f t="shared" si="521"/>
        <v>1-p1</v>
      </c>
      <c r="I306" s="20">
        <f t="shared" si="521"/>
        <v>0.99019999999999997</v>
      </c>
      <c r="J306" s="52">
        <f t="shared" si="521"/>
        <v>0</v>
      </c>
      <c r="K306" s="11">
        <f t="shared" si="521"/>
        <v>0</v>
      </c>
      <c r="L306">
        <f t="shared" si="521"/>
        <v>0</v>
      </c>
      <c r="M306">
        <f t="shared" si="521"/>
        <v>0</v>
      </c>
      <c r="N306">
        <f t="shared" si="521"/>
        <v>0</v>
      </c>
      <c r="O306">
        <f t="shared" si="521"/>
        <v>0</v>
      </c>
      <c r="P306">
        <f t="shared" si="521"/>
        <v>0</v>
      </c>
      <c r="Q306">
        <f t="shared" si="521"/>
        <v>0</v>
      </c>
      <c r="R306">
        <f t="shared" si="521"/>
        <v>0</v>
      </c>
      <c r="S306">
        <f t="shared" si="521"/>
        <v>0</v>
      </c>
      <c r="T306">
        <f t="shared" si="521"/>
        <v>0</v>
      </c>
      <c r="U306">
        <f t="shared" si="521"/>
        <v>0</v>
      </c>
      <c r="V306">
        <f t="shared" si="521"/>
        <v>0</v>
      </c>
      <c r="W306">
        <f t="shared" si="521"/>
        <v>0</v>
      </c>
      <c r="X306">
        <f t="shared" si="521"/>
        <v>0</v>
      </c>
      <c r="Y306">
        <f t="shared" si="521"/>
        <v>0</v>
      </c>
      <c r="Z306">
        <f t="shared" si="521"/>
        <v>0</v>
      </c>
      <c r="AA306">
        <f t="shared" si="521"/>
        <v>0</v>
      </c>
      <c r="AD306">
        <f t="shared" ref="AD306:BD306" si="522">AD124</f>
        <v>0</v>
      </c>
      <c r="AE306">
        <f t="shared" si="522"/>
        <v>0</v>
      </c>
      <c r="AF306">
        <f t="shared" si="522"/>
        <v>0</v>
      </c>
      <c r="AG306" s="11">
        <f t="shared" si="522"/>
        <v>0</v>
      </c>
      <c r="AH306">
        <f t="shared" si="522"/>
        <v>0</v>
      </c>
      <c r="AI306">
        <f t="shared" si="522"/>
        <v>0</v>
      </c>
      <c r="AJ306">
        <f t="shared" si="522"/>
        <v>0</v>
      </c>
      <c r="AK306" s="59" t="str">
        <f t="shared" si="522"/>
        <v>1-p1</v>
      </c>
      <c r="AL306" s="20">
        <f>I306</f>
        <v>0.99019999999999997</v>
      </c>
      <c r="AM306" s="52">
        <f t="shared" si="522"/>
        <v>0</v>
      </c>
      <c r="AN306" s="11">
        <f t="shared" si="522"/>
        <v>0</v>
      </c>
      <c r="AO306">
        <f t="shared" si="522"/>
        <v>0</v>
      </c>
      <c r="AP306">
        <f t="shared" si="522"/>
        <v>0</v>
      </c>
      <c r="AQ306">
        <f t="shared" si="522"/>
        <v>0</v>
      </c>
      <c r="AR306">
        <f t="shared" si="522"/>
        <v>0</v>
      </c>
      <c r="AS306">
        <f t="shared" si="522"/>
        <v>0</v>
      </c>
      <c r="AT306">
        <f t="shared" si="522"/>
        <v>0</v>
      </c>
      <c r="AU306">
        <f t="shared" si="522"/>
        <v>0</v>
      </c>
      <c r="AV306">
        <f t="shared" si="522"/>
        <v>0</v>
      </c>
      <c r="AW306">
        <f t="shared" si="522"/>
        <v>0</v>
      </c>
      <c r="AX306">
        <f t="shared" si="522"/>
        <v>0</v>
      </c>
      <c r="AY306">
        <f t="shared" si="522"/>
        <v>0</v>
      </c>
      <c r="AZ306">
        <f t="shared" si="522"/>
        <v>0</v>
      </c>
      <c r="BA306">
        <f t="shared" si="522"/>
        <v>0</v>
      </c>
      <c r="BB306">
        <f t="shared" si="522"/>
        <v>0</v>
      </c>
      <c r="BC306">
        <f t="shared" si="522"/>
        <v>0</v>
      </c>
      <c r="BD306">
        <f t="shared" si="522"/>
        <v>0</v>
      </c>
    </row>
    <row r="307" spans="1:56" x14ac:dyDescent="0.3">
      <c r="A307">
        <f t="shared" ref="A307:AA307" si="523">A125</f>
        <v>0</v>
      </c>
      <c r="B307">
        <f t="shared" si="523"/>
        <v>0</v>
      </c>
      <c r="C307">
        <f t="shared" si="523"/>
        <v>0</v>
      </c>
      <c r="D307" s="11">
        <f t="shared" si="523"/>
        <v>0</v>
      </c>
      <c r="E307">
        <f t="shared" si="523"/>
        <v>0</v>
      </c>
      <c r="F307">
        <f t="shared" si="523"/>
        <v>0</v>
      </c>
      <c r="G307">
        <f t="shared" si="523"/>
        <v>0</v>
      </c>
      <c r="H307" s="11">
        <f t="shared" si="523"/>
        <v>0</v>
      </c>
      <c r="I307">
        <f t="shared" si="523"/>
        <v>0</v>
      </c>
      <c r="J307">
        <f t="shared" si="523"/>
        <v>0</v>
      </c>
      <c r="K307" s="11">
        <f t="shared" si="523"/>
        <v>0</v>
      </c>
      <c r="L307">
        <f t="shared" si="523"/>
        <v>0</v>
      </c>
      <c r="N307" s="2" t="str">
        <f t="shared" si="523"/>
        <v>Not MA for RSV</v>
      </c>
      <c r="O307" s="62" t="str">
        <f t="shared" si="523"/>
        <v>unknown</v>
      </c>
      <c r="P307">
        <f t="shared" si="523"/>
        <v>0</v>
      </c>
      <c r="Q307">
        <f t="shared" si="523"/>
        <v>0</v>
      </c>
      <c r="R307">
        <f t="shared" si="523"/>
        <v>0</v>
      </c>
      <c r="S307">
        <f t="shared" si="523"/>
        <v>0</v>
      </c>
      <c r="T307">
        <f t="shared" si="523"/>
        <v>0</v>
      </c>
      <c r="U307">
        <f t="shared" si="523"/>
        <v>0</v>
      </c>
      <c r="V307">
        <f t="shared" si="523"/>
        <v>0</v>
      </c>
      <c r="W307">
        <f t="shared" si="523"/>
        <v>0</v>
      </c>
      <c r="X307">
        <f t="shared" si="523"/>
        <v>0</v>
      </c>
      <c r="Y307">
        <f t="shared" si="523"/>
        <v>0</v>
      </c>
      <c r="Z307">
        <f t="shared" si="523"/>
        <v>0</v>
      </c>
      <c r="AA307">
        <f t="shared" si="523"/>
        <v>0</v>
      </c>
      <c r="AD307">
        <f t="shared" ref="AD307:AO307" si="524">AD125</f>
        <v>0</v>
      </c>
      <c r="AE307">
        <f t="shared" si="524"/>
        <v>0</v>
      </c>
      <c r="AF307">
        <f t="shared" si="524"/>
        <v>0</v>
      </c>
      <c r="AG307" s="11">
        <f t="shared" si="524"/>
        <v>0</v>
      </c>
      <c r="AH307">
        <f t="shared" si="524"/>
        <v>0</v>
      </c>
      <c r="AI307">
        <f t="shared" si="524"/>
        <v>0</v>
      </c>
      <c r="AJ307">
        <f t="shared" si="524"/>
        <v>0</v>
      </c>
      <c r="AK307" s="11">
        <f t="shared" si="524"/>
        <v>0</v>
      </c>
      <c r="AL307">
        <f t="shared" si="524"/>
        <v>0</v>
      </c>
      <c r="AM307">
        <f t="shared" si="524"/>
        <v>0</v>
      </c>
      <c r="AN307" s="11">
        <f t="shared" si="524"/>
        <v>0</v>
      </c>
      <c r="AO307">
        <f t="shared" si="524"/>
        <v>0</v>
      </c>
      <c r="AQ307" s="2" t="str">
        <f t="shared" ref="AQ307:BD307" si="525">AQ125</f>
        <v>Not MA for RSV</v>
      </c>
      <c r="AR307" s="62" t="str">
        <f t="shared" si="525"/>
        <v>unknown</v>
      </c>
      <c r="AS307">
        <f t="shared" si="525"/>
        <v>0</v>
      </c>
      <c r="AT307">
        <f t="shared" si="525"/>
        <v>0</v>
      </c>
      <c r="AU307">
        <f t="shared" si="525"/>
        <v>0</v>
      </c>
      <c r="AV307">
        <f t="shared" si="525"/>
        <v>0</v>
      </c>
      <c r="AW307">
        <f t="shared" si="525"/>
        <v>0</v>
      </c>
      <c r="AX307">
        <f t="shared" si="525"/>
        <v>0</v>
      </c>
      <c r="AY307">
        <f t="shared" si="525"/>
        <v>0</v>
      </c>
      <c r="AZ307">
        <f t="shared" si="525"/>
        <v>0</v>
      </c>
      <c r="BA307">
        <f t="shared" si="525"/>
        <v>0</v>
      </c>
      <c r="BB307">
        <f t="shared" si="525"/>
        <v>0</v>
      </c>
      <c r="BC307">
        <f t="shared" si="525"/>
        <v>0</v>
      </c>
      <c r="BD307">
        <f t="shared" si="525"/>
        <v>0</v>
      </c>
    </row>
    <row r="308" spans="1:56" x14ac:dyDescent="0.3">
      <c r="A308">
        <f t="shared" ref="A308:AA308" si="526">A126</f>
        <v>0</v>
      </c>
      <c r="B308">
        <f t="shared" si="526"/>
        <v>0</v>
      </c>
      <c r="C308">
        <f t="shared" si="526"/>
        <v>0</v>
      </c>
      <c r="D308" s="11">
        <f t="shared" si="526"/>
        <v>0</v>
      </c>
      <c r="E308">
        <f t="shared" si="526"/>
        <v>0</v>
      </c>
      <c r="F308">
        <f t="shared" si="526"/>
        <v>0</v>
      </c>
      <c r="G308">
        <f t="shared" si="526"/>
        <v>0</v>
      </c>
      <c r="H308" s="11">
        <f t="shared" si="526"/>
        <v>0</v>
      </c>
      <c r="I308">
        <f t="shared" si="526"/>
        <v>0</v>
      </c>
      <c r="J308">
        <f t="shared" si="526"/>
        <v>0</v>
      </c>
      <c r="K308" s="11">
        <f t="shared" si="526"/>
        <v>0</v>
      </c>
      <c r="L308">
        <f t="shared" si="526"/>
        <v>0</v>
      </c>
      <c r="M308">
        <f t="shared" si="526"/>
        <v>0</v>
      </c>
      <c r="N308" s="16">
        <f t="shared" si="526"/>
        <v>0</v>
      </c>
      <c r="O308">
        <f t="shared" si="526"/>
        <v>0</v>
      </c>
      <c r="P308" s="17">
        <f t="shared" si="526"/>
        <v>0</v>
      </c>
      <c r="Q308">
        <f t="shared" si="526"/>
        <v>0</v>
      </c>
      <c r="R308">
        <f t="shared" si="526"/>
        <v>0</v>
      </c>
      <c r="S308">
        <f t="shared" si="526"/>
        <v>0</v>
      </c>
      <c r="T308" s="1117" t="s">
        <v>181</v>
      </c>
      <c r="U308" s="1117"/>
      <c r="V308">
        <f t="shared" si="526"/>
        <v>0</v>
      </c>
      <c r="W308">
        <f t="shared" si="526"/>
        <v>0</v>
      </c>
      <c r="X308" s="29">
        <f t="shared" si="526"/>
        <v>0</v>
      </c>
      <c r="Y308">
        <f t="shared" si="526"/>
        <v>0</v>
      </c>
      <c r="Z308">
        <f t="shared" si="526"/>
        <v>0</v>
      </c>
      <c r="AA308">
        <f t="shared" si="526"/>
        <v>0</v>
      </c>
      <c r="AD308">
        <f t="shared" ref="AD308:AV308" si="527">AD126</f>
        <v>0</v>
      </c>
      <c r="AE308">
        <f t="shared" si="527"/>
        <v>0</v>
      </c>
      <c r="AF308">
        <f t="shared" si="527"/>
        <v>0</v>
      </c>
      <c r="AG308" s="11">
        <f t="shared" si="527"/>
        <v>0</v>
      </c>
      <c r="AH308">
        <f t="shared" si="527"/>
        <v>0</v>
      </c>
      <c r="AI308">
        <f t="shared" si="527"/>
        <v>0</v>
      </c>
      <c r="AJ308">
        <f t="shared" si="527"/>
        <v>0</v>
      </c>
      <c r="AK308" s="11">
        <f t="shared" si="527"/>
        <v>0</v>
      </c>
      <c r="AL308">
        <f t="shared" si="527"/>
        <v>0</v>
      </c>
      <c r="AM308">
        <f t="shared" si="527"/>
        <v>0</v>
      </c>
      <c r="AN308" s="11">
        <f t="shared" si="527"/>
        <v>0</v>
      </c>
      <c r="AO308">
        <f t="shared" si="527"/>
        <v>0</v>
      </c>
      <c r="AP308">
        <f t="shared" si="527"/>
        <v>0</v>
      </c>
      <c r="AQ308" s="16">
        <f t="shared" si="527"/>
        <v>0</v>
      </c>
      <c r="AR308">
        <f t="shared" si="527"/>
        <v>0</v>
      </c>
      <c r="AS308" s="17">
        <f t="shared" si="527"/>
        <v>0</v>
      </c>
      <c r="AT308">
        <f t="shared" si="527"/>
        <v>0</v>
      </c>
      <c r="AU308">
        <f t="shared" si="527"/>
        <v>0</v>
      </c>
      <c r="AV308">
        <f t="shared" si="527"/>
        <v>0</v>
      </c>
      <c r="AW308" s="1117" t="s">
        <v>181</v>
      </c>
      <c r="AX308" s="1117"/>
      <c r="AY308">
        <f t="shared" ref="AY308:BD308" si="528">AY126</f>
        <v>0</v>
      </c>
      <c r="AZ308">
        <f t="shared" si="528"/>
        <v>0</v>
      </c>
      <c r="BA308" s="29">
        <f t="shared" si="528"/>
        <v>0</v>
      </c>
      <c r="BB308">
        <f t="shared" si="528"/>
        <v>0</v>
      </c>
      <c r="BC308">
        <f t="shared" si="528"/>
        <v>0</v>
      </c>
      <c r="BD308">
        <f t="shared" si="528"/>
        <v>0</v>
      </c>
    </row>
    <row r="309" spans="1:56" x14ac:dyDescent="0.3">
      <c r="A309">
        <f t="shared" ref="A309:AA309" si="529">A127</f>
        <v>0</v>
      </c>
      <c r="B309">
        <f t="shared" si="529"/>
        <v>0</v>
      </c>
      <c r="C309">
        <f t="shared" si="529"/>
        <v>0</v>
      </c>
      <c r="D309" s="11">
        <f t="shared" si="529"/>
        <v>0</v>
      </c>
      <c r="E309">
        <f t="shared" si="529"/>
        <v>0</v>
      </c>
      <c r="F309">
        <f t="shared" si="529"/>
        <v>0</v>
      </c>
      <c r="G309">
        <f t="shared" si="529"/>
        <v>0</v>
      </c>
      <c r="H309" s="11">
        <f t="shared" si="529"/>
        <v>0</v>
      </c>
      <c r="I309">
        <f t="shared" si="529"/>
        <v>0</v>
      </c>
      <c r="J309">
        <f t="shared" si="529"/>
        <v>0</v>
      </c>
      <c r="K309" s="11">
        <f t="shared" si="529"/>
        <v>0</v>
      </c>
      <c r="L309">
        <f t="shared" si="529"/>
        <v>0</v>
      </c>
      <c r="M309">
        <f t="shared" si="529"/>
        <v>0</v>
      </c>
      <c r="N309" s="11">
        <f t="shared" si="529"/>
        <v>0</v>
      </c>
      <c r="O309" s="13">
        <f t="shared" si="529"/>
        <v>0</v>
      </c>
      <c r="P309" s="13">
        <f t="shared" si="529"/>
        <v>0</v>
      </c>
      <c r="Q309">
        <f t="shared" si="529"/>
        <v>0</v>
      </c>
      <c r="R309">
        <f t="shared" si="529"/>
        <v>0</v>
      </c>
      <c r="S309" s="437" t="str">
        <f t="shared" si="529"/>
        <v>base</v>
      </c>
      <c r="T309" s="445" t="str">
        <f t="shared" si="529"/>
        <v>low</v>
      </c>
      <c r="U309" s="445" t="str">
        <f t="shared" si="529"/>
        <v>high</v>
      </c>
      <c r="V309">
        <f t="shared" si="529"/>
        <v>0</v>
      </c>
      <c r="W309" s="37">
        <f t="shared" si="529"/>
        <v>0</v>
      </c>
      <c r="X309" s="20">
        <f t="shared" si="529"/>
        <v>0</v>
      </c>
      <c r="Y309">
        <f t="shared" si="529"/>
        <v>0</v>
      </c>
      <c r="Z309">
        <f t="shared" si="529"/>
        <v>0</v>
      </c>
      <c r="AA309">
        <f t="shared" si="529"/>
        <v>0</v>
      </c>
      <c r="AD309">
        <f t="shared" ref="AD309:BD309" si="530">AD127</f>
        <v>0</v>
      </c>
      <c r="AE309">
        <f t="shared" si="530"/>
        <v>0</v>
      </c>
      <c r="AF309">
        <f t="shared" si="530"/>
        <v>0</v>
      </c>
      <c r="AG309" s="11">
        <f t="shared" si="530"/>
        <v>0</v>
      </c>
      <c r="AH309">
        <f t="shared" si="530"/>
        <v>0</v>
      </c>
      <c r="AI309">
        <f t="shared" si="530"/>
        <v>0</v>
      </c>
      <c r="AJ309">
        <f t="shared" si="530"/>
        <v>0</v>
      </c>
      <c r="AK309" s="11">
        <f t="shared" si="530"/>
        <v>0</v>
      </c>
      <c r="AL309">
        <f t="shared" si="530"/>
        <v>0</v>
      </c>
      <c r="AM309">
        <f t="shared" si="530"/>
        <v>0</v>
      </c>
      <c r="AN309" s="11">
        <f t="shared" si="530"/>
        <v>0</v>
      </c>
      <c r="AO309">
        <f t="shared" si="530"/>
        <v>0</v>
      </c>
      <c r="AP309">
        <f t="shared" si="530"/>
        <v>0</v>
      </c>
      <c r="AQ309" s="11">
        <f t="shared" si="530"/>
        <v>0</v>
      </c>
      <c r="AR309" s="13">
        <f t="shared" si="530"/>
        <v>0</v>
      </c>
      <c r="AS309" s="13">
        <f t="shared" si="530"/>
        <v>0</v>
      </c>
      <c r="AT309">
        <f t="shared" si="530"/>
        <v>0</v>
      </c>
      <c r="AU309">
        <f t="shared" si="530"/>
        <v>0</v>
      </c>
      <c r="AV309" s="684" t="str">
        <f t="shared" si="530"/>
        <v>base</v>
      </c>
      <c r="AW309" s="445" t="str">
        <f t="shared" si="530"/>
        <v>low</v>
      </c>
      <c r="AX309" s="445" t="str">
        <f t="shared" si="530"/>
        <v>high</v>
      </c>
      <c r="AY309">
        <f t="shared" si="530"/>
        <v>0</v>
      </c>
      <c r="AZ309" s="37">
        <f t="shared" si="530"/>
        <v>0</v>
      </c>
      <c r="BA309" s="20">
        <f t="shared" si="530"/>
        <v>0</v>
      </c>
      <c r="BB309">
        <f t="shared" si="530"/>
        <v>0</v>
      </c>
      <c r="BC309">
        <f t="shared" si="530"/>
        <v>0</v>
      </c>
      <c r="BD309">
        <f t="shared" si="530"/>
        <v>0</v>
      </c>
    </row>
    <row r="310" spans="1:56" x14ac:dyDescent="0.3">
      <c r="A310">
        <f t="shared" ref="A310:AA310" si="531">A128</f>
        <v>0</v>
      </c>
      <c r="B310">
        <f t="shared" si="531"/>
        <v>0</v>
      </c>
      <c r="C310">
        <f t="shared" si="531"/>
        <v>0</v>
      </c>
      <c r="D310" s="11">
        <f t="shared" si="531"/>
        <v>0</v>
      </c>
      <c r="E310">
        <f t="shared" si="531"/>
        <v>0</v>
      </c>
      <c r="F310">
        <f t="shared" si="531"/>
        <v>0</v>
      </c>
      <c r="G310">
        <f t="shared" si="531"/>
        <v>0</v>
      </c>
      <c r="H310" s="11">
        <f t="shared" si="531"/>
        <v>0</v>
      </c>
      <c r="I310">
        <f t="shared" si="531"/>
        <v>0</v>
      </c>
      <c r="J310">
        <f t="shared" si="531"/>
        <v>0</v>
      </c>
      <c r="K310" s="59" t="str">
        <f t="shared" si="531"/>
        <v>1-p3</v>
      </c>
      <c r="L310" s="67">
        <f t="shared" si="531"/>
        <v>1</v>
      </c>
      <c r="M310" s="438">
        <f t="shared" si="531"/>
        <v>0</v>
      </c>
      <c r="N310" s="11">
        <f t="shared" si="531"/>
        <v>0</v>
      </c>
      <c r="O310">
        <f t="shared" si="531"/>
        <v>0</v>
      </c>
      <c r="P310">
        <f t="shared" si="531"/>
        <v>0</v>
      </c>
      <c r="Q310">
        <f t="shared" si="531"/>
        <v>0</v>
      </c>
      <c r="R310" s="12" t="str">
        <f t="shared" si="531"/>
        <v>Outpatient</v>
      </c>
      <c r="S310" s="33">
        <f t="shared" si="531"/>
        <v>111084.06159757718</v>
      </c>
      <c r="T310" s="446">
        <f>L312*T311</f>
        <v>123707.25041548369</v>
      </c>
      <c r="U310" s="446">
        <f>L313*U311</f>
        <v>98460.872779670695</v>
      </c>
      <c r="V310">
        <f t="shared" si="531"/>
        <v>0</v>
      </c>
      <c r="W310" s="69">
        <f t="shared" si="531"/>
        <v>0</v>
      </c>
      <c r="X310">
        <f t="shared" si="531"/>
        <v>0</v>
      </c>
      <c r="Y310">
        <f t="shared" si="531"/>
        <v>0</v>
      </c>
      <c r="Z310">
        <f t="shared" si="531"/>
        <v>0</v>
      </c>
      <c r="AA310">
        <f t="shared" si="531"/>
        <v>0</v>
      </c>
      <c r="AD310">
        <f t="shared" ref="AD310:AV310" si="532">AD128</f>
        <v>0</v>
      </c>
      <c r="AE310">
        <f t="shared" si="532"/>
        <v>0</v>
      </c>
      <c r="AF310">
        <f t="shared" si="532"/>
        <v>0</v>
      </c>
      <c r="AG310" s="11">
        <f t="shared" si="532"/>
        <v>0</v>
      </c>
      <c r="AH310">
        <f t="shared" si="532"/>
        <v>0</v>
      </c>
      <c r="AI310">
        <f t="shared" si="532"/>
        <v>0</v>
      </c>
      <c r="AJ310">
        <f t="shared" si="532"/>
        <v>0</v>
      </c>
      <c r="AK310" s="11">
        <f t="shared" si="532"/>
        <v>0</v>
      </c>
      <c r="AL310">
        <f t="shared" si="532"/>
        <v>0</v>
      </c>
      <c r="AM310">
        <f t="shared" si="532"/>
        <v>0</v>
      </c>
      <c r="AN310" s="59" t="str">
        <f t="shared" si="532"/>
        <v>1-p3</v>
      </c>
      <c r="AO310" s="67">
        <f t="shared" si="532"/>
        <v>1</v>
      </c>
      <c r="AP310" s="500">
        <f t="shared" si="532"/>
        <v>0</v>
      </c>
      <c r="AQ310" s="11">
        <f t="shared" si="532"/>
        <v>0</v>
      </c>
      <c r="AR310">
        <f t="shared" si="532"/>
        <v>0</v>
      </c>
      <c r="AS310">
        <f t="shared" si="532"/>
        <v>0</v>
      </c>
      <c r="AT310">
        <f t="shared" si="532"/>
        <v>0</v>
      </c>
      <c r="AU310" s="12" t="str">
        <f t="shared" si="532"/>
        <v>Outpatient</v>
      </c>
      <c r="AV310" s="33">
        <f t="shared" si="532"/>
        <v>45173.896924883506</v>
      </c>
      <c r="AW310" s="446">
        <f>AO312*AW311</f>
        <v>50307.294302711183</v>
      </c>
      <c r="AX310" s="446">
        <f>AO313*AX311</f>
        <v>40040.499547055842</v>
      </c>
      <c r="AY310">
        <f t="shared" ref="AY310:BD310" si="533">AY128</f>
        <v>0</v>
      </c>
      <c r="AZ310" s="69">
        <f t="shared" si="533"/>
        <v>0</v>
      </c>
      <c r="BA310">
        <f t="shared" si="533"/>
        <v>0</v>
      </c>
      <c r="BB310">
        <f t="shared" si="533"/>
        <v>0</v>
      </c>
      <c r="BC310">
        <f t="shared" si="533"/>
        <v>0</v>
      </c>
      <c r="BD310">
        <f t="shared" si="533"/>
        <v>0</v>
      </c>
    </row>
    <row r="311" spans="1:56" x14ac:dyDescent="0.3">
      <c r="A311">
        <f t="shared" ref="A311:AA311" si="534">A129</f>
        <v>0</v>
      </c>
      <c r="B311">
        <f t="shared" si="534"/>
        <v>0</v>
      </c>
      <c r="C311">
        <f t="shared" si="534"/>
        <v>0</v>
      </c>
      <c r="D311" s="11">
        <f t="shared" si="534"/>
        <v>0</v>
      </c>
      <c r="E311">
        <f t="shared" si="534"/>
        <v>0</v>
      </c>
      <c r="F311">
        <f t="shared" si="534"/>
        <v>0</v>
      </c>
      <c r="G311">
        <f t="shared" si="534"/>
        <v>0</v>
      </c>
      <c r="H311" s="11"/>
      <c r="K311" s="15" t="str">
        <f t="shared" si="534"/>
        <v>do not obtain an immunization product</v>
      </c>
      <c r="L311" s="28">
        <f t="shared" si="534"/>
        <v>859585.19349999982</v>
      </c>
      <c r="M311">
        <f t="shared" si="534"/>
        <v>0</v>
      </c>
      <c r="N311" s="59" t="str">
        <f t="shared" si="534"/>
        <v>low:</v>
      </c>
      <c r="O311" s="50">
        <f t="shared" ref="O311:O312" si="535">$O$131</f>
        <v>0.18597458567567429</v>
      </c>
      <c r="P311">
        <f t="shared" si="534"/>
        <v>0</v>
      </c>
      <c r="Q311" s="16">
        <f t="shared" si="534"/>
        <v>0</v>
      </c>
      <c r="R311" s="2" t="str">
        <f t="shared" si="534"/>
        <v>p5c</v>
      </c>
      <c r="S311" s="61">
        <f>$S$129</f>
        <v>0.12922984532257092</v>
      </c>
      <c r="T311" s="61">
        <f t="shared" ref="T311:U311" si="536">$S$129</f>
        <v>0.12922984532257092</v>
      </c>
      <c r="U311" s="61">
        <f t="shared" si="536"/>
        <v>0.12922984532257092</v>
      </c>
      <c r="V311">
        <f t="shared" si="534"/>
        <v>0</v>
      </c>
      <c r="W311">
        <f t="shared" si="534"/>
        <v>0</v>
      </c>
      <c r="X311">
        <f t="shared" si="534"/>
        <v>0</v>
      </c>
      <c r="Y311">
        <f t="shared" si="534"/>
        <v>0</v>
      </c>
      <c r="Z311">
        <f t="shared" si="534"/>
        <v>0</v>
      </c>
      <c r="AA311">
        <f t="shared" si="534"/>
        <v>0</v>
      </c>
      <c r="AD311">
        <f t="shared" ref="AD311:AJ311" si="537">AD129</f>
        <v>0</v>
      </c>
      <c r="AE311">
        <f t="shared" si="537"/>
        <v>0</v>
      </c>
      <c r="AF311">
        <f t="shared" si="537"/>
        <v>0</v>
      </c>
      <c r="AG311" s="11">
        <f t="shared" si="537"/>
        <v>0</v>
      </c>
      <c r="AH311">
        <f t="shared" si="537"/>
        <v>0</v>
      </c>
      <c r="AI311">
        <f t="shared" si="537"/>
        <v>0</v>
      </c>
      <c r="AJ311">
        <f t="shared" si="537"/>
        <v>0</v>
      </c>
      <c r="AK311" s="11"/>
      <c r="AN311" s="15" t="str">
        <f t="shared" ref="AN311:AQ311" si="538">AN129</f>
        <v>do not obtain an immunization product</v>
      </c>
      <c r="AO311" s="28">
        <f t="shared" si="538"/>
        <v>859585.19349999982</v>
      </c>
      <c r="AP311">
        <f t="shared" si="538"/>
        <v>0</v>
      </c>
      <c r="AQ311" s="59" t="str">
        <f t="shared" si="538"/>
        <v>low:</v>
      </c>
      <c r="AR311" s="50">
        <f t="shared" ref="AR311:AR312" si="539">$O$131</f>
        <v>0.18597458567567429</v>
      </c>
      <c r="AS311">
        <f t="shared" ref="AS311:AU311" si="540">AS129</f>
        <v>0</v>
      </c>
      <c r="AT311" s="16">
        <f t="shared" si="540"/>
        <v>0</v>
      </c>
      <c r="AU311" s="2" t="str">
        <f t="shared" si="540"/>
        <v>p5c</v>
      </c>
      <c r="AV311" s="61">
        <f>AV226</f>
        <v>5.2553135240670609E-2</v>
      </c>
      <c r="AW311" s="61">
        <f t="shared" ref="AW311:AX311" si="541">AW226</f>
        <v>5.2553135240670609E-2</v>
      </c>
      <c r="AX311" s="61">
        <f t="shared" si="541"/>
        <v>5.2553135240670609E-2</v>
      </c>
      <c r="AY311">
        <f t="shared" ref="AY311:BD311" si="542">AY129</f>
        <v>0</v>
      </c>
      <c r="AZ311">
        <f t="shared" si="542"/>
        <v>0</v>
      </c>
      <c r="BA311">
        <f t="shared" si="542"/>
        <v>0</v>
      </c>
      <c r="BB311">
        <f t="shared" si="542"/>
        <v>0</v>
      </c>
      <c r="BC311">
        <f t="shared" si="542"/>
        <v>0</v>
      </c>
      <c r="BD311">
        <f t="shared" si="542"/>
        <v>0</v>
      </c>
    </row>
    <row r="312" spans="1:56" x14ac:dyDescent="0.3">
      <c r="A312">
        <f t="shared" ref="A312:AA312" si="543">A130</f>
        <v>0</v>
      </c>
      <c r="B312">
        <f t="shared" si="543"/>
        <v>0</v>
      </c>
      <c r="C312">
        <f t="shared" si="543"/>
        <v>0</v>
      </c>
      <c r="D312" s="11">
        <f t="shared" si="543"/>
        <v>0</v>
      </c>
      <c r="E312">
        <f t="shared" si="543"/>
        <v>0</v>
      </c>
      <c r="F312">
        <f t="shared" si="543"/>
        <v>0</v>
      </c>
      <c r="G312">
        <f t="shared" si="543"/>
        <v>0</v>
      </c>
      <c r="H312" s="11">
        <f t="shared" si="543"/>
        <v>0</v>
      </c>
      <c r="I312">
        <f t="shared" si="543"/>
        <v>0</v>
      </c>
      <c r="J312">
        <f t="shared" si="543"/>
        <v>0</v>
      </c>
      <c r="K312" s="2" t="s">
        <v>263</v>
      </c>
      <c r="L312" s="28">
        <f>I303*$L$310</f>
        <v>957265.32912499993</v>
      </c>
      <c r="M312">
        <f t="shared" si="543"/>
        <v>0</v>
      </c>
      <c r="N312" s="59" t="str">
        <f t="shared" si="543"/>
        <v>high:</v>
      </c>
      <c r="O312" s="50">
        <f t="shared" si="535"/>
        <v>0.18597458567567429</v>
      </c>
      <c r="P312">
        <f t="shared" si="543"/>
        <v>0</v>
      </c>
      <c r="Q312" s="11">
        <f t="shared" si="543"/>
        <v>0</v>
      </c>
      <c r="R312" s="2">
        <f t="shared" si="543"/>
        <v>0</v>
      </c>
      <c r="S312">
        <f t="shared" si="543"/>
        <v>0</v>
      </c>
      <c r="T312" s="452">
        <f t="shared" si="543"/>
        <v>0</v>
      </c>
      <c r="U312" s="452">
        <f t="shared" si="543"/>
        <v>0</v>
      </c>
      <c r="V312">
        <f t="shared" si="543"/>
        <v>0</v>
      </c>
      <c r="W312">
        <f t="shared" si="543"/>
        <v>0</v>
      </c>
      <c r="X312">
        <f t="shared" si="543"/>
        <v>0</v>
      </c>
      <c r="Y312">
        <f t="shared" si="543"/>
        <v>0</v>
      </c>
      <c r="Z312">
        <f t="shared" si="543"/>
        <v>0</v>
      </c>
      <c r="AA312">
        <f t="shared" si="543"/>
        <v>0</v>
      </c>
      <c r="AD312">
        <f t="shared" ref="AD312:AM312" si="544">AD130</f>
        <v>0</v>
      </c>
      <c r="AE312">
        <f t="shared" si="544"/>
        <v>0</v>
      </c>
      <c r="AF312">
        <f t="shared" si="544"/>
        <v>0</v>
      </c>
      <c r="AG312" s="11">
        <f t="shared" si="544"/>
        <v>0</v>
      </c>
      <c r="AH312">
        <f t="shared" si="544"/>
        <v>0</v>
      </c>
      <c r="AI312">
        <f t="shared" si="544"/>
        <v>0</v>
      </c>
      <c r="AJ312">
        <f t="shared" si="544"/>
        <v>0</v>
      </c>
      <c r="AK312" s="11">
        <f t="shared" si="544"/>
        <v>0</v>
      </c>
      <c r="AL312">
        <f t="shared" si="544"/>
        <v>0</v>
      </c>
      <c r="AM312">
        <f t="shared" si="544"/>
        <v>0</v>
      </c>
      <c r="AN312" s="2" t="s">
        <v>263</v>
      </c>
      <c r="AO312" s="28">
        <f>AL303*$L$310</f>
        <v>957265.32912499993</v>
      </c>
      <c r="AP312">
        <f t="shared" ref="AP312:AQ312" si="545">AP130</f>
        <v>0</v>
      </c>
      <c r="AQ312" s="59" t="str">
        <f t="shared" si="545"/>
        <v>high:</v>
      </c>
      <c r="AR312" s="50">
        <f t="shared" si="539"/>
        <v>0.18597458567567429</v>
      </c>
      <c r="AS312">
        <f t="shared" ref="AS312:BD312" si="546">AS130</f>
        <v>0</v>
      </c>
      <c r="AT312" s="11">
        <f t="shared" si="546"/>
        <v>0</v>
      </c>
      <c r="AU312" s="2">
        <f t="shared" si="546"/>
        <v>0</v>
      </c>
      <c r="AV312">
        <f t="shared" si="546"/>
        <v>0</v>
      </c>
      <c r="AW312" s="452">
        <f t="shared" si="546"/>
        <v>0</v>
      </c>
      <c r="AX312" s="452">
        <f t="shared" si="546"/>
        <v>0</v>
      </c>
      <c r="AY312">
        <f t="shared" si="546"/>
        <v>0</v>
      </c>
      <c r="AZ312">
        <f t="shared" si="546"/>
        <v>0</v>
      </c>
      <c r="BA312">
        <f t="shared" si="546"/>
        <v>0</v>
      </c>
      <c r="BB312">
        <f t="shared" si="546"/>
        <v>0</v>
      </c>
      <c r="BC312">
        <f t="shared" si="546"/>
        <v>0</v>
      </c>
      <c r="BD312">
        <f t="shared" si="546"/>
        <v>0</v>
      </c>
    </row>
    <row r="313" spans="1:56" x14ac:dyDescent="0.3">
      <c r="A313">
        <f t="shared" ref="A313:AA313" si="547">A131</f>
        <v>0</v>
      </c>
      <c r="B313">
        <f t="shared" si="547"/>
        <v>0</v>
      </c>
      <c r="C313">
        <f t="shared" si="547"/>
        <v>0</v>
      </c>
      <c r="D313" s="11">
        <f t="shared" si="547"/>
        <v>0</v>
      </c>
      <c r="E313">
        <f t="shared" si="547"/>
        <v>0</v>
      </c>
      <c r="F313">
        <f t="shared" si="547"/>
        <v>0</v>
      </c>
      <c r="G313">
        <f t="shared" si="547"/>
        <v>0</v>
      </c>
      <c r="H313" s="11">
        <f t="shared" si="547"/>
        <v>0</v>
      </c>
      <c r="I313">
        <f t="shared" si="547"/>
        <v>0</v>
      </c>
      <c r="J313">
        <f t="shared" si="547"/>
        <v>0</v>
      </c>
      <c r="K313" s="2" t="s">
        <v>264</v>
      </c>
      <c r="L313" s="28">
        <f>I304*$L$310</f>
        <v>761905.05787499994</v>
      </c>
      <c r="M313">
        <f t="shared" si="547"/>
        <v>0</v>
      </c>
      <c r="N313" s="18" t="str">
        <f t="shared" si="547"/>
        <v>sum p5a-c</v>
      </c>
      <c r="O313" s="50">
        <f>$O$131</f>
        <v>0.18597458567567429</v>
      </c>
      <c r="P313" s="438">
        <f t="shared" si="547"/>
        <v>0</v>
      </c>
      <c r="Q313" s="18">
        <f t="shared" si="547"/>
        <v>0</v>
      </c>
      <c r="R313" s="12" t="str">
        <f t="shared" si="547"/>
        <v>ED</v>
      </c>
      <c r="S313" s="33">
        <f t="shared" si="547"/>
        <v>38515.894010380107</v>
      </c>
      <c r="T313" s="446">
        <f>$L$312*T314</f>
        <v>42892.700147923308</v>
      </c>
      <c r="U313" s="446">
        <f>$L$313*U314</f>
        <v>34139.087872836913</v>
      </c>
      <c r="V313">
        <f t="shared" si="547"/>
        <v>0</v>
      </c>
      <c r="W313">
        <f t="shared" si="547"/>
        <v>0</v>
      </c>
      <c r="X313">
        <f t="shared" si="547"/>
        <v>0</v>
      </c>
      <c r="Y313">
        <f t="shared" si="547"/>
        <v>0</v>
      </c>
      <c r="Z313">
        <f t="shared" si="547"/>
        <v>0</v>
      </c>
      <c r="AA313">
        <f t="shared" si="547"/>
        <v>0</v>
      </c>
      <c r="AD313">
        <f t="shared" ref="AD313:AM313" si="548">AD131</f>
        <v>0</v>
      </c>
      <c r="AE313">
        <f t="shared" si="548"/>
        <v>0</v>
      </c>
      <c r="AF313">
        <f t="shared" si="548"/>
        <v>0</v>
      </c>
      <c r="AG313" s="11">
        <f t="shared" si="548"/>
        <v>0</v>
      </c>
      <c r="AH313">
        <f t="shared" si="548"/>
        <v>0</v>
      </c>
      <c r="AI313">
        <f t="shared" si="548"/>
        <v>0</v>
      </c>
      <c r="AJ313">
        <f t="shared" si="548"/>
        <v>0</v>
      </c>
      <c r="AK313" s="11">
        <f t="shared" si="548"/>
        <v>0</v>
      </c>
      <c r="AL313">
        <f t="shared" si="548"/>
        <v>0</v>
      </c>
      <c r="AM313">
        <f t="shared" si="548"/>
        <v>0</v>
      </c>
      <c r="AN313" s="2" t="s">
        <v>264</v>
      </c>
      <c r="AO313" s="28">
        <f>AL304*$L$310</f>
        <v>761905.05787499994</v>
      </c>
      <c r="AP313">
        <f t="shared" ref="AP313:AQ313" si="549">AP131</f>
        <v>0</v>
      </c>
      <c r="AQ313" s="18" t="str">
        <f t="shared" si="549"/>
        <v>sum p5a-c</v>
      </c>
      <c r="AR313" s="50">
        <f>$O$131</f>
        <v>0.18597458567567429</v>
      </c>
      <c r="AS313" s="500">
        <f t="shared" ref="AS313:AV313" si="550">AS131</f>
        <v>0</v>
      </c>
      <c r="AT313" s="18">
        <f t="shared" si="550"/>
        <v>0</v>
      </c>
      <c r="AU313" s="12" t="str">
        <f t="shared" si="550"/>
        <v>ED</v>
      </c>
      <c r="AV313" s="33">
        <f t="shared" si="550"/>
        <v>17964.76900115249</v>
      </c>
      <c r="AW313" s="446">
        <f>$AO$312*AW314</f>
        <v>20006.22002401073</v>
      </c>
      <c r="AX313" s="446">
        <f>$AO$313*AX314</f>
        <v>15923.317978294255</v>
      </c>
      <c r="AY313">
        <f t="shared" ref="AY313:BD313" si="551">AY131</f>
        <v>0</v>
      </c>
      <c r="AZ313">
        <f t="shared" si="551"/>
        <v>0</v>
      </c>
      <c r="BA313">
        <f t="shared" si="551"/>
        <v>0</v>
      </c>
      <c r="BB313">
        <f t="shared" si="551"/>
        <v>0</v>
      </c>
      <c r="BC313">
        <f t="shared" si="551"/>
        <v>0</v>
      </c>
      <c r="BD313">
        <f t="shared" si="551"/>
        <v>0</v>
      </c>
    </row>
    <row r="314" spans="1:56" x14ac:dyDescent="0.3">
      <c r="A314">
        <f t="shared" ref="A314:AA314" si="552">A132</f>
        <v>0</v>
      </c>
      <c r="B314">
        <f t="shared" si="552"/>
        <v>0</v>
      </c>
      <c r="C314">
        <f t="shared" si="552"/>
        <v>0</v>
      </c>
      <c r="D314" s="11">
        <f t="shared" si="552"/>
        <v>0</v>
      </c>
      <c r="E314">
        <f t="shared" si="552"/>
        <v>0</v>
      </c>
      <c r="F314">
        <f t="shared" si="552"/>
        <v>0</v>
      </c>
      <c r="G314">
        <f t="shared" si="552"/>
        <v>0</v>
      </c>
      <c r="H314" s="11">
        <f t="shared" si="552"/>
        <v>0</v>
      </c>
      <c r="I314">
        <f t="shared" si="552"/>
        <v>0</v>
      </c>
      <c r="J314">
        <f t="shared" si="552"/>
        <v>0</v>
      </c>
      <c r="K314">
        <f t="shared" si="552"/>
        <v>0</v>
      </c>
      <c r="N314" s="2" t="str">
        <f t="shared" si="552"/>
        <v>Medically Attended for RSV</v>
      </c>
      <c r="O314" s="54">
        <f t="shared" si="552"/>
        <v>159861.00021410678</v>
      </c>
      <c r="P314">
        <f t="shared" si="552"/>
        <v>0</v>
      </c>
      <c r="Q314" s="11">
        <f t="shared" si="552"/>
        <v>0</v>
      </c>
      <c r="R314" s="2" t="str">
        <f t="shared" si="552"/>
        <v>p5b</v>
      </c>
      <c r="S314" s="61">
        <f>$S$132</f>
        <v>4.4807535427121237E-2</v>
      </c>
      <c r="T314" s="61">
        <f t="shared" ref="T314:U314" si="553">$S$132</f>
        <v>4.4807535427121237E-2</v>
      </c>
      <c r="U314" s="61">
        <f t="shared" si="553"/>
        <v>4.4807535427121237E-2</v>
      </c>
      <c r="V314">
        <f t="shared" si="552"/>
        <v>0</v>
      </c>
      <c r="W314">
        <f t="shared" si="552"/>
        <v>0</v>
      </c>
      <c r="X314">
        <f t="shared" si="552"/>
        <v>0</v>
      </c>
      <c r="Y314">
        <f t="shared" si="552"/>
        <v>0</v>
      </c>
      <c r="Z314">
        <f t="shared" si="552"/>
        <v>0</v>
      </c>
      <c r="AA314">
        <f t="shared" si="552"/>
        <v>0</v>
      </c>
      <c r="AD314">
        <f t="shared" ref="AD314:AN314" si="554">AD132</f>
        <v>0</v>
      </c>
      <c r="AE314">
        <f t="shared" si="554"/>
        <v>0</v>
      </c>
      <c r="AF314">
        <f t="shared" si="554"/>
        <v>0</v>
      </c>
      <c r="AG314" s="11">
        <f t="shared" si="554"/>
        <v>0</v>
      </c>
      <c r="AH314">
        <f t="shared" si="554"/>
        <v>0</v>
      </c>
      <c r="AI314">
        <f t="shared" si="554"/>
        <v>0</v>
      </c>
      <c r="AJ314">
        <f t="shared" si="554"/>
        <v>0</v>
      </c>
      <c r="AK314" s="11">
        <f t="shared" si="554"/>
        <v>0</v>
      </c>
      <c r="AL314">
        <f t="shared" si="554"/>
        <v>0</v>
      </c>
      <c r="AM314">
        <f t="shared" si="554"/>
        <v>0</v>
      </c>
      <c r="AN314">
        <f t="shared" si="554"/>
        <v>0</v>
      </c>
      <c r="AQ314" s="2" t="str">
        <f t="shared" ref="AQ314:AU314" si="555">AQ132</f>
        <v>Medically Attended for RSV</v>
      </c>
      <c r="AR314" s="54">
        <f t="shared" si="555"/>
        <v>65613.849509192005</v>
      </c>
      <c r="AS314">
        <f t="shared" si="555"/>
        <v>0</v>
      </c>
      <c r="AT314" s="11">
        <f t="shared" si="555"/>
        <v>0</v>
      </c>
      <c r="AU314" s="2" t="str">
        <f t="shared" si="555"/>
        <v>p5b</v>
      </c>
      <c r="AV314" s="61">
        <f>AV229</f>
        <v>2.0899346727931388E-2</v>
      </c>
      <c r="AW314" s="61">
        <f t="shared" ref="AW314:AX314" si="556">AW229</f>
        <v>2.0899346727931388E-2</v>
      </c>
      <c r="AX314" s="61">
        <f t="shared" si="556"/>
        <v>2.0899346727931388E-2</v>
      </c>
      <c r="AY314">
        <f t="shared" ref="AY314:BD314" si="557">AY132</f>
        <v>0</v>
      </c>
      <c r="AZ314">
        <f t="shared" si="557"/>
        <v>0</v>
      </c>
      <c r="BA314">
        <f t="shared" si="557"/>
        <v>0</v>
      </c>
      <c r="BB314">
        <f t="shared" si="557"/>
        <v>0</v>
      </c>
      <c r="BC314">
        <f t="shared" si="557"/>
        <v>0</v>
      </c>
      <c r="BD314">
        <f t="shared" si="557"/>
        <v>0</v>
      </c>
    </row>
    <row r="315" spans="1:56" x14ac:dyDescent="0.3">
      <c r="A315">
        <f t="shared" ref="A315:AA315" si="558">A133</f>
        <v>0</v>
      </c>
      <c r="B315">
        <f t="shared" si="558"/>
        <v>0</v>
      </c>
      <c r="C315">
        <f t="shared" si="558"/>
        <v>0</v>
      </c>
      <c r="D315" s="11">
        <f t="shared" si="558"/>
        <v>0</v>
      </c>
      <c r="E315">
        <f t="shared" si="558"/>
        <v>0</v>
      </c>
      <c r="F315">
        <f t="shared" si="558"/>
        <v>0</v>
      </c>
      <c r="G315">
        <f t="shared" si="558"/>
        <v>0</v>
      </c>
      <c r="H315" s="11">
        <f t="shared" si="558"/>
        <v>0</v>
      </c>
      <c r="I315">
        <f t="shared" si="558"/>
        <v>0</v>
      </c>
      <c r="J315">
        <f t="shared" si="558"/>
        <v>0</v>
      </c>
      <c r="K315">
        <f t="shared" si="558"/>
        <v>0</v>
      </c>
      <c r="L315">
        <f t="shared" si="558"/>
        <v>0</v>
      </c>
      <c r="M315">
        <f t="shared" si="558"/>
        <v>0</v>
      </c>
      <c r="N315" s="2" t="s">
        <v>263</v>
      </c>
      <c r="O315" s="28">
        <f>L312*O311</f>
        <v>178027.02296570985</v>
      </c>
      <c r="P315">
        <f t="shared" si="558"/>
        <v>0</v>
      </c>
      <c r="Q315" s="11">
        <f t="shared" si="558"/>
        <v>0</v>
      </c>
      <c r="R315" s="2">
        <f t="shared" si="558"/>
        <v>0</v>
      </c>
      <c r="S315">
        <f t="shared" si="558"/>
        <v>0</v>
      </c>
      <c r="T315" s="452">
        <f t="shared" si="558"/>
        <v>0</v>
      </c>
      <c r="U315" s="452">
        <f t="shared" si="558"/>
        <v>0</v>
      </c>
      <c r="V315">
        <f t="shared" si="558"/>
        <v>0</v>
      </c>
      <c r="W315">
        <f t="shared" si="558"/>
        <v>0</v>
      </c>
      <c r="X315">
        <f t="shared" si="558"/>
        <v>0</v>
      </c>
      <c r="Y315">
        <f t="shared" si="558"/>
        <v>0</v>
      </c>
      <c r="Z315">
        <f t="shared" si="558"/>
        <v>0</v>
      </c>
      <c r="AA315">
        <f t="shared" si="558"/>
        <v>0</v>
      </c>
      <c r="AD315">
        <f t="shared" ref="AD315:AP315" si="559">AD133</f>
        <v>0</v>
      </c>
      <c r="AE315">
        <f t="shared" si="559"/>
        <v>0</v>
      </c>
      <c r="AF315">
        <f t="shared" si="559"/>
        <v>0</v>
      </c>
      <c r="AG315" s="11">
        <f t="shared" si="559"/>
        <v>0</v>
      </c>
      <c r="AH315">
        <f t="shared" si="559"/>
        <v>0</v>
      </c>
      <c r="AI315">
        <f t="shared" si="559"/>
        <v>0</v>
      </c>
      <c r="AJ315">
        <f t="shared" si="559"/>
        <v>0</v>
      </c>
      <c r="AK315" s="11">
        <f t="shared" si="559"/>
        <v>0</v>
      </c>
      <c r="AL315">
        <f t="shared" si="559"/>
        <v>0</v>
      </c>
      <c r="AM315">
        <f t="shared" si="559"/>
        <v>0</v>
      </c>
      <c r="AN315">
        <f t="shared" si="559"/>
        <v>0</v>
      </c>
      <c r="AO315">
        <f t="shared" si="559"/>
        <v>0</v>
      </c>
      <c r="AP315">
        <f t="shared" si="559"/>
        <v>0</v>
      </c>
      <c r="AQ315" s="2" t="s">
        <v>263</v>
      </c>
      <c r="AR315" s="28">
        <f>AO312*AR311</f>
        <v>178027.02296570985</v>
      </c>
      <c r="AS315">
        <f t="shared" ref="AS315:BD315" si="560">AS133</f>
        <v>0</v>
      </c>
      <c r="AT315" s="11">
        <f t="shared" si="560"/>
        <v>0</v>
      </c>
      <c r="AU315" s="2">
        <f t="shared" si="560"/>
        <v>0</v>
      </c>
      <c r="AV315">
        <f t="shared" si="560"/>
        <v>0</v>
      </c>
      <c r="AW315" s="452">
        <f t="shared" si="560"/>
        <v>0</v>
      </c>
      <c r="AX315" s="452">
        <f t="shared" si="560"/>
        <v>0</v>
      </c>
      <c r="AY315">
        <f t="shared" si="560"/>
        <v>0</v>
      </c>
      <c r="AZ315">
        <f t="shared" si="560"/>
        <v>0</v>
      </c>
      <c r="BA315">
        <f t="shared" si="560"/>
        <v>0</v>
      </c>
      <c r="BB315">
        <f t="shared" si="560"/>
        <v>0</v>
      </c>
      <c r="BC315">
        <f t="shared" si="560"/>
        <v>0</v>
      </c>
      <c r="BD315">
        <f t="shared" si="560"/>
        <v>0</v>
      </c>
    </row>
    <row r="316" spans="1:56" x14ac:dyDescent="0.3">
      <c r="A316">
        <f t="shared" ref="A316:AA316" si="561">A134</f>
        <v>0</v>
      </c>
      <c r="B316">
        <f t="shared" si="561"/>
        <v>0</v>
      </c>
      <c r="C316">
        <f t="shared" si="561"/>
        <v>0</v>
      </c>
      <c r="D316" s="11">
        <f t="shared" si="561"/>
        <v>0</v>
      </c>
      <c r="E316">
        <f t="shared" si="561"/>
        <v>0</v>
      </c>
      <c r="F316">
        <f t="shared" si="561"/>
        <v>0</v>
      </c>
      <c r="G316">
        <f t="shared" si="561"/>
        <v>0</v>
      </c>
      <c r="H316" s="11">
        <f t="shared" si="561"/>
        <v>0</v>
      </c>
      <c r="I316">
        <f t="shared" si="561"/>
        <v>0</v>
      </c>
      <c r="J316">
        <f t="shared" si="561"/>
        <v>0</v>
      </c>
      <c r="K316">
        <f t="shared" si="561"/>
        <v>0</v>
      </c>
      <c r="L316">
        <f t="shared" si="561"/>
        <v>0</v>
      </c>
      <c r="N316" s="2" t="s">
        <v>264</v>
      </c>
      <c r="O316" s="28">
        <f>L313*O312</f>
        <v>141694.97746250377</v>
      </c>
      <c r="P316">
        <f t="shared" si="561"/>
        <v>0</v>
      </c>
      <c r="Q316" s="18">
        <f t="shared" si="561"/>
        <v>0</v>
      </c>
      <c r="R316" s="12" t="str">
        <f t="shared" si="561"/>
        <v>Hospitalized</v>
      </c>
      <c r="S316" s="30">
        <f t="shared" si="561"/>
        <v>10261.044606149502</v>
      </c>
      <c r="T316" s="446">
        <f>$L$312*T317</f>
        <v>11427.072402302856</v>
      </c>
      <c r="U316" s="446">
        <f>$L$313*U317</f>
        <v>9095.016809996152</v>
      </c>
      <c r="V316">
        <f t="shared" si="561"/>
        <v>0</v>
      </c>
      <c r="W316">
        <f t="shared" si="561"/>
        <v>0</v>
      </c>
      <c r="X316">
        <f t="shared" si="561"/>
        <v>0</v>
      </c>
      <c r="Y316">
        <f t="shared" si="561"/>
        <v>0</v>
      </c>
      <c r="Z316">
        <f t="shared" si="561"/>
        <v>0</v>
      </c>
      <c r="AA316">
        <f t="shared" si="561"/>
        <v>0</v>
      </c>
      <c r="AD316">
        <f t="shared" ref="AD316:AO316" si="562">AD134</f>
        <v>0</v>
      </c>
      <c r="AE316">
        <f t="shared" si="562"/>
        <v>0</v>
      </c>
      <c r="AF316">
        <f t="shared" si="562"/>
        <v>0</v>
      </c>
      <c r="AG316" s="11">
        <f t="shared" si="562"/>
        <v>0</v>
      </c>
      <c r="AH316">
        <f t="shared" si="562"/>
        <v>0</v>
      </c>
      <c r="AI316">
        <f t="shared" si="562"/>
        <v>0</v>
      </c>
      <c r="AJ316">
        <f t="shared" si="562"/>
        <v>0</v>
      </c>
      <c r="AK316" s="11">
        <f t="shared" si="562"/>
        <v>0</v>
      </c>
      <c r="AL316">
        <f t="shared" si="562"/>
        <v>0</v>
      </c>
      <c r="AM316">
        <f t="shared" si="562"/>
        <v>0</v>
      </c>
      <c r="AN316">
        <f t="shared" si="562"/>
        <v>0</v>
      </c>
      <c r="AO316">
        <f t="shared" si="562"/>
        <v>0</v>
      </c>
      <c r="AQ316" s="2" t="s">
        <v>264</v>
      </c>
      <c r="AR316" s="28">
        <f>AO313*AR312</f>
        <v>141694.97746250377</v>
      </c>
      <c r="AS316">
        <f t="shared" ref="AS316:AV316" si="563">AS134</f>
        <v>0</v>
      </c>
      <c r="AT316" s="18">
        <f t="shared" si="563"/>
        <v>0</v>
      </c>
      <c r="AU316" s="12" t="str">
        <f t="shared" si="563"/>
        <v>Hospitalized</v>
      </c>
      <c r="AV316" s="30">
        <f t="shared" si="563"/>
        <v>2475.1835831560184</v>
      </c>
      <c r="AW316" s="446">
        <f>$AO$312*AW317</f>
        <v>2756.4544448782935</v>
      </c>
      <c r="AX316" s="446">
        <f>$AO$313*AX317</f>
        <v>2193.9127214337441</v>
      </c>
      <c r="AY316">
        <f t="shared" ref="AY316:BD316" si="564">AY134</f>
        <v>0</v>
      </c>
      <c r="AZ316">
        <f t="shared" si="564"/>
        <v>0</v>
      </c>
      <c r="BA316">
        <f t="shared" si="564"/>
        <v>0</v>
      </c>
      <c r="BB316">
        <f t="shared" si="564"/>
        <v>0</v>
      </c>
      <c r="BC316">
        <f t="shared" si="564"/>
        <v>0</v>
      </c>
      <c r="BD316">
        <f t="shared" si="564"/>
        <v>0</v>
      </c>
    </row>
    <row r="317" spans="1:56" x14ac:dyDescent="0.3">
      <c r="A317">
        <f t="shared" ref="A317:AA317" si="565">A135</f>
        <v>0</v>
      </c>
      <c r="B317">
        <f t="shared" si="565"/>
        <v>0</v>
      </c>
      <c r="C317">
        <f t="shared" si="565"/>
        <v>0</v>
      </c>
      <c r="D317" s="11">
        <f t="shared" si="565"/>
        <v>0</v>
      </c>
      <c r="E317">
        <f t="shared" si="565"/>
        <v>0</v>
      </c>
      <c r="F317">
        <f t="shared" si="565"/>
        <v>0</v>
      </c>
      <c r="G317">
        <f t="shared" si="565"/>
        <v>0</v>
      </c>
      <c r="H317" s="11">
        <f t="shared" si="565"/>
        <v>0</v>
      </c>
      <c r="I317">
        <f t="shared" si="565"/>
        <v>0</v>
      </c>
      <c r="J317">
        <f t="shared" si="565"/>
        <v>0</v>
      </c>
      <c r="K317">
        <f t="shared" si="565"/>
        <v>0</v>
      </c>
      <c r="L317" s="22">
        <f t="shared" si="565"/>
        <v>0</v>
      </c>
      <c r="M317">
        <f t="shared" si="565"/>
        <v>0</v>
      </c>
      <c r="N317">
        <f t="shared" si="565"/>
        <v>0</v>
      </c>
      <c r="O317">
        <f t="shared" si="565"/>
        <v>0</v>
      </c>
      <c r="P317">
        <f t="shared" si="565"/>
        <v>0</v>
      </c>
      <c r="Q317">
        <f t="shared" si="565"/>
        <v>0</v>
      </c>
      <c r="R317" s="2" t="str">
        <f t="shared" si="565"/>
        <v>p5a</v>
      </c>
      <c r="S317" s="61">
        <f>$S$135</f>
        <v>1.1937204925982133E-2</v>
      </c>
      <c r="T317" s="61">
        <f t="shared" ref="T317:U317" si="566">$S$135</f>
        <v>1.1937204925982133E-2</v>
      </c>
      <c r="U317" s="61">
        <f t="shared" si="566"/>
        <v>1.1937204925982133E-2</v>
      </c>
      <c r="V317">
        <f t="shared" si="565"/>
        <v>0</v>
      </c>
      <c r="W317">
        <f t="shared" si="565"/>
        <v>0</v>
      </c>
      <c r="X317">
        <f t="shared" si="565"/>
        <v>0</v>
      </c>
      <c r="Y317">
        <f t="shared" si="565"/>
        <v>0</v>
      </c>
      <c r="Z317">
        <f t="shared" si="565"/>
        <v>0</v>
      </c>
      <c r="AA317">
        <f t="shared" si="565"/>
        <v>0</v>
      </c>
      <c r="AD317">
        <f t="shared" ref="AD317:AU317" si="567">AD135</f>
        <v>0</v>
      </c>
      <c r="AE317">
        <f t="shared" si="567"/>
        <v>0</v>
      </c>
      <c r="AF317">
        <f t="shared" si="567"/>
        <v>0</v>
      </c>
      <c r="AG317" s="11">
        <f t="shared" si="567"/>
        <v>0</v>
      </c>
      <c r="AH317">
        <f t="shared" si="567"/>
        <v>0</v>
      </c>
      <c r="AI317">
        <f t="shared" si="567"/>
        <v>0</v>
      </c>
      <c r="AJ317">
        <f t="shared" si="567"/>
        <v>0</v>
      </c>
      <c r="AK317" s="11">
        <f t="shared" si="567"/>
        <v>0</v>
      </c>
      <c r="AL317">
        <f t="shared" si="567"/>
        <v>0</v>
      </c>
      <c r="AM317">
        <f t="shared" si="567"/>
        <v>0</v>
      </c>
      <c r="AN317">
        <f t="shared" si="567"/>
        <v>0</v>
      </c>
      <c r="AO317" s="22">
        <f t="shared" si="567"/>
        <v>0</v>
      </c>
      <c r="AP317">
        <f t="shared" si="567"/>
        <v>0</v>
      </c>
      <c r="AQ317">
        <f t="shared" si="567"/>
        <v>0</v>
      </c>
      <c r="AR317">
        <f t="shared" si="567"/>
        <v>0</v>
      </c>
      <c r="AS317">
        <f t="shared" si="567"/>
        <v>0</v>
      </c>
      <c r="AT317">
        <f t="shared" si="567"/>
        <v>0</v>
      </c>
      <c r="AU317" s="2" t="str">
        <f t="shared" si="567"/>
        <v>p5a</v>
      </c>
      <c r="AV317" s="61">
        <f>AV232</f>
        <v>2.879509328304896E-3</v>
      </c>
      <c r="AW317" s="61">
        <f t="shared" ref="AW317:AX317" si="568">AW232</f>
        <v>2.879509328304896E-3</v>
      </c>
      <c r="AX317" s="61">
        <f t="shared" si="568"/>
        <v>2.879509328304896E-3</v>
      </c>
      <c r="AY317">
        <f t="shared" ref="AY317:BD317" si="569">AY135</f>
        <v>0</v>
      </c>
      <c r="AZ317">
        <f t="shared" si="569"/>
        <v>0</v>
      </c>
      <c r="BA317">
        <f t="shared" si="569"/>
        <v>0</v>
      </c>
      <c r="BB317">
        <f t="shared" si="569"/>
        <v>0</v>
      </c>
      <c r="BC317">
        <f t="shared" si="569"/>
        <v>0</v>
      </c>
      <c r="BD317">
        <f t="shared" si="569"/>
        <v>0</v>
      </c>
    </row>
    <row r="318" spans="1:56" x14ac:dyDescent="0.3">
      <c r="A318">
        <f t="shared" ref="A318:AA318" si="570">A136</f>
        <v>0</v>
      </c>
      <c r="B318">
        <f t="shared" si="570"/>
        <v>0</v>
      </c>
      <c r="C318">
        <f t="shared" si="570"/>
        <v>0</v>
      </c>
      <c r="D318" s="11">
        <f t="shared" si="570"/>
        <v>0</v>
      </c>
      <c r="E318">
        <f t="shared" si="570"/>
        <v>0</v>
      </c>
      <c r="F318">
        <f t="shared" si="570"/>
        <v>0</v>
      </c>
      <c r="G318">
        <f t="shared" si="570"/>
        <v>0</v>
      </c>
      <c r="H318" s="11">
        <f t="shared" si="570"/>
        <v>0</v>
      </c>
      <c r="I318">
        <f t="shared" si="570"/>
        <v>0</v>
      </c>
      <c r="J318">
        <f t="shared" si="570"/>
        <v>0</v>
      </c>
      <c r="K318">
        <f t="shared" si="570"/>
        <v>0</v>
      </c>
      <c r="L318">
        <f t="shared" si="570"/>
        <v>0</v>
      </c>
      <c r="M318">
        <f t="shared" si="570"/>
        <v>0</v>
      </c>
      <c r="N318">
        <f t="shared" si="570"/>
        <v>0</v>
      </c>
      <c r="O318">
        <f t="shared" si="570"/>
        <v>0</v>
      </c>
      <c r="P318">
        <f t="shared" si="570"/>
        <v>0</v>
      </c>
      <c r="Q318">
        <f t="shared" si="570"/>
        <v>0</v>
      </c>
      <c r="R318">
        <f t="shared" si="570"/>
        <v>0</v>
      </c>
      <c r="S318">
        <f t="shared" si="570"/>
        <v>0</v>
      </c>
      <c r="T318">
        <f t="shared" si="570"/>
        <v>0</v>
      </c>
      <c r="U318">
        <f t="shared" si="570"/>
        <v>0</v>
      </c>
      <c r="V318">
        <f t="shared" si="570"/>
        <v>0</v>
      </c>
      <c r="W318">
        <f t="shared" si="570"/>
        <v>0</v>
      </c>
      <c r="X318">
        <f t="shared" si="570"/>
        <v>0</v>
      </c>
      <c r="Y318">
        <f t="shared" si="570"/>
        <v>0</v>
      </c>
      <c r="Z318">
        <f t="shared" si="570"/>
        <v>0</v>
      </c>
      <c r="AA318">
        <f t="shared" si="570"/>
        <v>0</v>
      </c>
      <c r="AD318">
        <f t="shared" ref="AD318:BD318" si="571">AD136</f>
        <v>0</v>
      </c>
      <c r="AE318">
        <f t="shared" si="571"/>
        <v>0</v>
      </c>
      <c r="AF318">
        <f t="shared" si="571"/>
        <v>0</v>
      </c>
      <c r="AG318" s="11">
        <f t="shared" si="571"/>
        <v>0</v>
      </c>
      <c r="AH318">
        <f t="shared" si="571"/>
        <v>0</v>
      </c>
      <c r="AI318">
        <f t="shared" si="571"/>
        <v>0</v>
      </c>
      <c r="AJ318">
        <f t="shared" si="571"/>
        <v>0</v>
      </c>
      <c r="AK318" s="11">
        <f t="shared" si="571"/>
        <v>0</v>
      </c>
      <c r="AL318">
        <f t="shared" si="571"/>
        <v>0</v>
      </c>
      <c r="AM318">
        <f t="shared" si="571"/>
        <v>0</v>
      </c>
      <c r="AN318">
        <f t="shared" si="571"/>
        <v>0</v>
      </c>
      <c r="AO318">
        <f t="shared" si="571"/>
        <v>0</v>
      </c>
      <c r="AP318">
        <f t="shared" si="571"/>
        <v>0</v>
      </c>
      <c r="AQ318">
        <f t="shared" si="571"/>
        <v>0</v>
      </c>
      <c r="AR318">
        <f t="shared" si="571"/>
        <v>0</v>
      </c>
      <c r="AS318">
        <f t="shared" si="571"/>
        <v>0</v>
      </c>
      <c r="AT318">
        <f t="shared" si="571"/>
        <v>0</v>
      </c>
      <c r="AU318">
        <f t="shared" si="571"/>
        <v>0</v>
      </c>
      <c r="AV318">
        <f t="shared" si="571"/>
        <v>0</v>
      </c>
      <c r="AW318">
        <f t="shared" si="571"/>
        <v>0</v>
      </c>
      <c r="AX318">
        <f t="shared" si="571"/>
        <v>0</v>
      </c>
      <c r="AY318">
        <f t="shared" si="571"/>
        <v>0</v>
      </c>
      <c r="AZ318">
        <f t="shared" si="571"/>
        <v>0</v>
      </c>
      <c r="BA318">
        <f t="shared" si="571"/>
        <v>0</v>
      </c>
      <c r="BB318">
        <f t="shared" si="571"/>
        <v>0</v>
      </c>
      <c r="BC318">
        <f t="shared" si="571"/>
        <v>0</v>
      </c>
      <c r="BD318">
        <f t="shared" si="571"/>
        <v>0</v>
      </c>
    </row>
    <row r="319" spans="1:56" x14ac:dyDescent="0.3">
      <c r="A319">
        <f t="shared" ref="A319:AA319" si="572">A137</f>
        <v>0</v>
      </c>
      <c r="B319">
        <f t="shared" si="572"/>
        <v>0</v>
      </c>
      <c r="C319" s="28">
        <f t="shared" si="572"/>
        <v>0</v>
      </c>
      <c r="D319" s="11">
        <f t="shared" si="572"/>
        <v>0</v>
      </c>
      <c r="E319">
        <f t="shared" si="572"/>
        <v>0</v>
      </c>
      <c r="F319">
        <f t="shared" si="572"/>
        <v>0</v>
      </c>
      <c r="G319">
        <f t="shared" si="572"/>
        <v>0</v>
      </c>
      <c r="H319" s="11">
        <f t="shared" si="572"/>
        <v>0</v>
      </c>
      <c r="I319">
        <f t="shared" si="572"/>
        <v>0</v>
      </c>
      <c r="J319">
        <f t="shared" si="572"/>
        <v>0</v>
      </c>
      <c r="K319" s="2" t="str">
        <f t="shared" si="572"/>
        <v>sum check</v>
      </c>
      <c r="L319" s="21">
        <f t="shared" si="572"/>
        <v>859585.19349999982</v>
      </c>
      <c r="M319" s="28">
        <f t="shared" si="572"/>
        <v>0</v>
      </c>
      <c r="N319" s="55">
        <f t="shared" si="572"/>
        <v>0</v>
      </c>
      <c r="O319" s="21">
        <f t="shared" si="572"/>
        <v>0</v>
      </c>
      <c r="P319" s="28">
        <f t="shared" si="572"/>
        <v>0</v>
      </c>
      <c r="Q319" s="28">
        <f t="shared" si="572"/>
        <v>0</v>
      </c>
      <c r="R319" s="55" t="str">
        <f t="shared" si="572"/>
        <v>sum check</v>
      </c>
      <c r="S319" s="56">
        <f t="shared" si="572"/>
        <v>159861.00021410681</v>
      </c>
      <c r="T319">
        <f t="shared" si="572"/>
        <v>0</v>
      </c>
      <c r="U319">
        <f t="shared" si="572"/>
        <v>0</v>
      </c>
      <c r="V319">
        <f t="shared" si="572"/>
        <v>0</v>
      </c>
      <c r="W319">
        <f t="shared" si="572"/>
        <v>0</v>
      </c>
      <c r="X319">
        <f t="shared" si="572"/>
        <v>0</v>
      </c>
      <c r="Y319">
        <f t="shared" si="572"/>
        <v>0</v>
      </c>
      <c r="Z319">
        <f t="shared" si="572"/>
        <v>0</v>
      </c>
      <c r="AA319">
        <f t="shared" si="572"/>
        <v>0</v>
      </c>
      <c r="AD319">
        <f t="shared" ref="AD319:BD319" si="573">AD137</f>
        <v>0</v>
      </c>
      <c r="AE319">
        <f t="shared" si="573"/>
        <v>0</v>
      </c>
      <c r="AF319" s="28">
        <f t="shared" si="573"/>
        <v>0</v>
      </c>
      <c r="AG319" s="11">
        <f t="shared" si="573"/>
        <v>0</v>
      </c>
      <c r="AH319">
        <f t="shared" si="573"/>
        <v>0</v>
      </c>
      <c r="AI319">
        <f t="shared" si="573"/>
        <v>0</v>
      </c>
      <c r="AJ319">
        <f t="shared" si="573"/>
        <v>0</v>
      </c>
      <c r="AK319" s="11">
        <f t="shared" si="573"/>
        <v>0</v>
      </c>
      <c r="AL319">
        <f t="shared" si="573"/>
        <v>0</v>
      </c>
      <c r="AM319">
        <f t="shared" si="573"/>
        <v>0</v>
      </c>
      <c r="AN319" s="2" t="str">
        <f t="shared" si="573"/>
        <v>sum check</v>
      </c>
      <c r="AO319" s="21">
        <f t="shared" si="573"/>
        <v>859585.19349999982</v>
      </c>
      <c r="AP319" s="28">
        <f t="shared" si="573"/>
        <v>0</v>
      </c>
      <c r="AQ319" s="55">
        <f t="shared" si="573"/>
        <v>0</v>
      </c>
      <c r="AR319" s="21">
        <f t="shared" si="573"/>
        <v>0</v>
      </c>
      <c r="AS319" s="28">
        <f t="shared" si="573"/>
        <v>0</v>
      </c>
      <c r="AT319" s="28">
        <f t="shared" si="573"/>
        <v>0</v>
      </c>
      <c r="AU319" s="55" t="str">
        <f t="shared" si="573"/>
        <v>sum check</v>
      </c>
      <c r="AV319" s="56">
        <f t="shared" si="573"/>
        <v>65613.849509192019</v>
      </c>
      <c r="AW319">
        <f t="shared" si="573"/>
        <v>0</v>
      </c>
      <c r="AX319">
        <f t="shared" si="573"/>
        <v>0</v>
      </c>
      <c r="AY319">
        <f t="shared" si="573"/>
        <v>0</v>
      </c>
      <c r="AZ319">
        <f t="shared" si="573"/>
        <v>0</v>
      </c>
      <c r="BA319">
        <f t="shared" si="573"/>
        <v>0</v>
      </c>
      <c r="BB319">
        <f t="shared" si="573"/>
        <v>0</v>
      </c>
      <c r="BC319">
        <f t="shared" si="573"/>
        <v>0</v>
      </c>
      <c r="BD319">
        <f t="shared" si="573"/>
        <v>0</v>
      </c>
    </row>
    <row r="320" spans="1:56" x14ac:dyDescent="0.3">
      <c r="A320">
        <f t="shared" ref="A320:AA320" si="574">A138</f>
        <v>0</v>
      </c>
      <c r="B320">
        <f t="shared" si="574"/>
        <v>0</v>
      </c>
      <c r="C320" s="28">
        <f t="shared" si="574"/>
        <v>0</v>
      </c>
      <c r="D320" s="11">
        <f t="shared" si="574"/>
        <v>0</v>
      </c>
      <c r="E320" t="s">
        <v>161</v>
      </c>
      <c r="F320" s="246">
        <f>1-F239</f>
        <v>0.49</v>
      </c>
      <c r="G320">
        <f t="shared" si="574"/>
        <v>0</v>
      </c>
      <c r="H320" s="11">
        <f t="shared" si="574"/>
        <v>0</v>
      </c>
      <c r="I320">
        <f t="shared" si="574"/>
        <v>0</v>
      </c>
      <c r="J320">
        <f t="shared" si="574"/>
        <v>0</v>
      </c>
      <c r="K320">
        <f t="shared" si="574"/>
        <v>0</v>
      </c>
      <c r="L320">
        <f t="shared" si="574"/>
        <v>0</v>
      </c>
      <c r="M320">
        <f t="shared" si="574"/>
        <v>0</v>
      </c>
      <c r="N320">
        <f t="shared" si="574"/>
        <v>0</v>
      </c>
      <c r="O320">
        <f t="shared" si="574"/>
        <v>0</v>
      </c>
      <c r="P320">
        <f t="shared" si="574"/>
        <v>0</v>
      </c>
      <c r="Q320">
        <f t="shared" si="574"/>
        <v>0</v>
      </c>
      <c r="R320">
        <f t="shared" si="574"/>
        <v>0</v>
      </c>
      <c r="S320">
        <f t="shared" si="574"/>
        <v>0</v>
      </c>
      <c r="T320">
        <f t="shared" si="574"/>
        <v>0</v>
      </c>
      <c r="U320">
        <f t="shared" si="574"/>
        <v>0</v>
      </c>
      <c r="V320">
        <f t="shared" si="574"/>
        <v>0</v>
      </c>
      <c r="W320">
        <f t="shared" si="574"/>
        <v>0</v>
      </c>
      <c r="X320">
        <f t="shared" si="574"/>
        <v>0</v>
      </c>
      <c r="Y320">
        <f t="shared" si="574"/>
        <v>0</v>
      </c>
      <c r="Z320">
        <f t="shared" si="574"/>
        <v>0</v>
      </c>
      <c r="AA320">
        <f t="shared" si="574"/>
        <v>0</v>
      </c>
      <c r="AD320">
        <f t="shared" ref="AD320:AG320" si="575">AD138</f>
        <v>0</v>
      </c>
      <c r="AE320">
        <f t="shared" si="575"/>
        <v>0</v>
      </c>
      <c r="AF320" s="28">
        <f t="shared" si="575"/>
        <v>0</v>
      </c>
      <c r="AG320" s="11">
        <f t="shared" si="575"/>
        <v>0</v>
      </c>
      <c r="AH320" t="s">
        <v>161</v>
      </c>
      <c r="AI320" s="246">
        <f>1-AI239</f>
        <v>0.49</v>
      </c>
      <c r="AJ320">
        <f t="shared" ref="AJ320:BD320" si="576">AJ138</f>
        <v>0</v>
      </c>
      <c r="AK320" s="11">
        <f t="shared" si="576"/>
        <v>0</v>
      </c>
      <c r="AL320">
        <f t="shared" si="576"/>
        <v>0</v>
      </c>
      <c r="AM320">
        <f t="shared" si="576"/>
        <v>0</v>
      </c>
      <c r="AN320">
        <f t="shared" si="576"/>
        <v>0</v>
      </c>
      <c r="AO320">
        <f t="shared" si="576"/>
        <v>0</v>
      </c>
      <c r="AP320">
        <f t="shared" si="576"/>
        <v>0</v>
      </c>
      <c r="AQ320">
        <f t="shared" si="576"/>
        <v>0</v>
      </c>
      <c r="AR320">
        <f t="shared" si="576"/>
        <v>0</v>
      </c>
      <c r="AS320">
        <f t="shared" si="576"/>
        <v>0</v>
      </c>
      <c r="AT320">
        <f t="shared" si="576"/>
        <v>0</v>
      </c>
      <c r="AU320">
        <f t="shared" si="576"/>
        <v>0</v>
      </c>
      <c r="AV320">
        <f t="shared" si="576"/>
        <v>0</v>
      </c>
      <c r="AW320">
        <f t="shared" si="576"/>
        <v>0</v>
      </c>
      <c r="AX320">
        <f t="shared" si="576"/>
        <v>0</v>
      </c>
      <c r="AY320">
        <f t="shared" si="576"/>
        <v>0</v>
      </c>
      <c r="AZ320">
        <f t="shared" si="576"/>
        <v>0</v>
      </c>
      <c r="BA320">
        <f t="shared" si="576"/>
        <v>0</v>
      </c>
      <c r="BB320">
        <f t="shared" si="576"/>
        <v>0</v>
      </c>
      <c r="BC320">
        <f t="shared" si="576"/>
        <v>0</v>
      </c>
      <c r="BD320">
        <f t="shared" si="576"/>
        <v>0</v>
      </c>
    </row>
    <row r="321" spans="1:56" x14ac:dyDescent="0.3">
      <c r="A321">
        <f t="shared" ref="A321:AA321" si="577">A139</f>
        <v>0</v>
      </c>
      <c r="B321">
        <f t="shared" si="577"/>
        <v>0</v>
      </c>
      <c r="C321" s="22">
        <f t="shared" si="577"/>
        <v>0</v>
      </c>
      <c r="D321" s="11">
        <f t="shared" si="577"/>
        <v>0</v>
      </c>
      <c r="E321" t="s">
        <v>162</v>
      </c>
      <c r="F321" s="246">
        <f>1-F240</f>
        <v>0.39</v>
      </c>
      <c r="G321">
        <f t="shared" si="577"/>
        <v>0</v>
      </c>
      <c r="H321" s="11">
        <f t="shared" si="577"/>
        <v>0</v>
      </c>
      <c r="I321">
        <f t="shared" si="577"/>
        <v>0</v>
      </c>
      <c r="J321">
        <f t="shared" si="577"/>
        <v>0</v>
      </c>
      <c r="K321">
        <f t="shared" si="577"/>
        <v>0</v>
      </c>
      <c r="L321">
        <f t="shared" si="577"/>
        <v>0</v>
      </c>
      <c r="M321">
        <f t="shared" si="577"/>
        <v>0</v>
      </c>
      <c r="N321">
        <f t="shared" si="577"/>
        <v>0</v>
      </c>
      <c r="O321">
        <f t="shared" si="577"/>
        <v>0</v>
      </c>
      <c r="P321">
        <f t="shared" si="577"/>
        <v>0</v>
      </c>
      <c r="Q321">
        <f t="shared" si="577"/>
        <v>0</v>
      </c>
      <c r="R321">
        <f t="shared" si="577"/>
        <v>0</v>
      </c>
      <c r="S321">
        <f t="shared" si="577"/>
        <v>0</v>
      </c>
      <c r="T321">
        <f t="shared" si="577"/>
        <v>0</v>
      </c>
      <c r="U321">
        <f t="shared" si="577"/>
        <v>0</v>
      </c>
      <c r="V321">
        <f t="shared" si="577"/>
        <v>0</v>
      </c>
      <c r="W321">
        <f t="shared" si="577"/>
        <v>0</v>
      </c>
      <c r="X321">
        <f t="shared" si="577"/>
        <v>0</v>
      </c>
      <c r="Y321">
        <f t="shared" si="577"/>
        <v>0</v>
      </c>
      <c r="Z321">
        <f t="shared" si="577"/>
        <v>0</v>
      </c>
      <c r="AA321">
        <f t="shared" si="577"/>
        <v>0</v>
      </c>
      <c r="AD321">
        <f t="shared" ref="AD321:AG321" si="578">AD139</f>
        <v>0</v>
      </c>
      <c r="AE321">
        <f t="shared" si="578"/>
        <v>0</v>
      </c>
      <c r="AF321" s="22">
        <f t="shared" si="578"/>
        <v>0</v>
      </c>
      <c r="AG321" s="11">
        <f t="shared" si="578"/>
        <v>0</v>
      </c>
      <c r="AH321" t="s">
        <v>162</v>
      </c>
      <c r="AI321" s="246">
        <f>1-AI240</f>
        <v>0.39</v>
      </c>
      <c r="AJ321">
        <f t="shared" ref="AJ321:BD321" si="579">AJ139</f>
        <v>0</v>
      </c>
      <c r="AK321" s="11">
        <f t="shared" si="579"/>
        <v>0</v>
      </c>
      <c r="AL321">
        <f t="shared" si="579"/>
        <v>0</v>
      </c>
      <c r="AM321">
        <f t="shared" si="579"/>
        <v>0</v>
      </c>
      <c r="AN321">
        <f t="shared" si="579"/>
        <v>0</v>
      </c>
      <c r="AO321">
        <f t="shared" si="579"/>
        <v>0</v>
      </c>
      <c r="AP321">
        <f t="shared" si="579"/>
        <v>0</v>
      </c>
      <c r="AQ321">
        <f t="shared" si="579"/>
        <v>0</v>
      </c>
      <c r="AR321">
        <f t="shared" si="579"/>
        <v>0</v>
      </c>
      <c r="AS321">
        <f t="shared" si="579"/>
        <v>0</v>
      </c>
      <c r="AT321">
        <f t="shared" si="579"/>
        <v>0</v>
      </c>
      <c r="AU321">
        <f t="shared" si="579"/>
        <v>0</v>
      </c>
      <c r="AV321">
        <f t="shared" si="579"/>
        <v>0</v>
      </c>
      <c r="AW321">
        <f t="shared" si="579"/>
        <v>0</v>
      </c>
      <c r="AX321">
        <f t="shared" si="579"/>
        <v>0</v>
      </c>
      <c r="AY321">
        <f t="shared" si="579"/>
        <v>0</v>
      </c>
      <c r="AZ321">
        <f t="shared" si="579"/>
        <v>0</v>
      </c>
      <c r="BA321">
        <f t="shared" si="579"/>
        <v>0</v>
      </c>
      <c r="BB321">
        <f t="shared" si="579"/>
        <v>0</v>
      </c>
      <c r="BC321">
        <f t="shared" si="579"/>
        <v>0</v>
      </c>
      <c r="BD321">
        <f t="shared" si="579"/>
        <v>0</v>
      </c>
    </row>
    <row r="322" spans="1:56" x14ac:dyDescent="0.3">
      <c r="A322">
        <f t="shared" ref="A322:AA322" si="580">A140</f>
        <v>0</v>
      </c>
      <c r="B322">
        <f t="shared" si="580"/>
        <v>0</v>
      </c>
      <c r="C322">
        <f t="shared" si="580"/>
        <v>0</v>
      </c>
      <c r="D322" s="18" t="str">
        <f t="shared" si="580"/>
        <v>Do not obtain</v>
      </c>
      <c r="E322" s="12" t="str">
        <f t="shared" si="580"/>
        <v>1-p7</v>
      </c>
      <c r="F322" s="287">
        <f t="shared" si="580"/>
        <v>0.43999999999999995</v>
      </c>
      <c r="G322" s="438">
        <f t="shared" si="580"/>
        <v>0</v>
      </c>
      <c r="H322" s="11">
        <f t="shared" si="580"/>
        <v>0</v>
      </c>
      <c r="I322">
        <f t="shared" si="580"/>
        <v>0</v>
      </c>
      <c r="J322">
        <f t="shared" si="580"/>
        <v>0</v>
      </c>
      <c r="K322">
        <f t="shared" si="580"/>
        <v>0</v>
      </c>
      <c r="L322">
        <f t="shared" si="580"/>
        <v>0</v>
      </c>
      <c r="M322">
        <f t="shared" si="580"/>
        <v>0</v>
      </c>
      <c r="N322">
        <f t="shared" si="580"/>
        <v>0</v>
      </c>
      <c r="O322">
        <f t="shared" si="580"/>
        <v>0</v>
      </c>
      <c r="P322">
        <f t="shared" si="580"/>
        <v>0</v>
      </c>
      <c r="Q322">
        <f t="shared" si="580"/>
        <v>0</v>
      </c>
      <c r="R322">
        <f t="shared" si="580"/>
        <v>0</v>
      </c>
      <c r="S322">
        <f t="shared" si="580"/>
        <v>0</v>
      </c>
      <c r="T322">
        <f t="shared" si="580"/>
        <v>0</v>
      </c>
      <c r="U322">
        <f t="shared" si="580"/>
        <v>0</v>
      </c>
      <c r="V322">
        <f t="shared" si="580"/>
        <v>0</v>
      </c>
      <c r="W322">
        <f t="shared" si="580"/>
        <v>0</v>
      </c>
      <c r="X322">
        <f t="shared" si="580"/>
        <v>0</v>
      </c>
      <c r="Y322">
        <f t="shared" si="580"/>
        <v>0</v>
      </c>
      <c r="Z322">
        <f t="shared" si="580"/>
        <v>0</v>
      </c>
      <c r="AA322">
        <f t="shared" si="580"/>
        <v>0</v>
      </c>
      <c r="AD322">
        <f t="shared" ref="AD322:BD322" si="581">AD140</f>
        <v>0</v>
      </c>
      <c r="AE322">
        <f t="shared" si="581"/>
        <v>0</v>
      </c>
      <c r="AF322">
        <f t="shared" si="581"/>
        <v>0</v>
      </c>
      <c r="AG322" s="18" t="str">
        <f t="shared" si="581"/>
        <v>Do not obtain</v>
      </c>
      <c r="AH322" s="12" t="str">
        <f t="shared" si="581"/>
        <v>1-p7</v>
      </c>
      <c r="AI322" s="287">
        <f t="shared" si="581"/>
        <v>1</v>
      </c>
      <c r="AJ322" s="500">
        <f t="shared" si="581"/>
        <v>0</v>
      </c>
      <c r="AK322" s="11">
        <f t="shared" si="581"/>
        <v>0</v>
      </c>
      <c r="AL322">
        <f t="shared" si="581"/>
        <v>0</v>
      </c>
      <c r="AM322">
        <f t="shared" si="581"/>
        <v>0</v>
      </c>
      <c r="AN322">
        <f t="shared" si="581"/>
        <v>0</v>
      </c>
      <c r="AO322">
        <f t="shared" si="581"/>
        <v>0</v>
      </c>
      <c r="AP322">
        <f t="shared" si="581"/>
        <v>0</v>
      </c>
      <c r="AQ322">
        <f t="shared" si="581"/>
        <v>0</v>
      </c>
      <c r="AR322">
        <f t="shared" si="581"/>
        <v>0</v>
      </c>
      <c r="AS322">
        <f t="shared" si="581"/>
        <v>0</v>
      </c>
      <c r="AT322">
        <f t="shared" si="581"/>
        <v>0</v>
      </c>
      <c r="AU322">
        <f t="shared" si="581"/>
        <v>0</v>
      </c>
      <c r="AV322">
        <f t="shared" si="581"/>
        <v>0</v>
      </c>
      <c r="AW322">
        <f t="shared" si="581"/>
        <v>0</v>
      </c>
      <c r="AX322">
        <f t="shared" si="581"/>
        <v>0</v>
      </c>
      <c r="AY322">
        <f t="shared" si="581"/>
        <v>0</v>
      </c>
      <c r="AZ322">
        <f t="shared" si="581"/>
        <v>0</v>
      </c>
      <c r="BA322">
        <f t="shared" si="581"/>
        <v>0</v>
      </c>
      <c r="BB322">
        <f t="shared" si="581"/>
        <v>0</v>
      </c>
      <c r="BC322">
        <f t="shared" si="581"/>
        <v>0</v>
      </c>
      <c r="BD322">
        <f t="shared" si="581"/>
        <v>0</v>
      </c>
    </row>
    <row r="323" spans="1:56" x14ac:dyDescent="0.3">
      <c r="A323">
        <f t="shared" ref="A323:Y323" si="582">A141</f>
        <v>0</v>
      </c>
      <c r="B323">
        <f t="shared" si="582"/>
        <v>0</v>
      </c>
      <c r="C323">
        <f t="shared" si="582"/>
        <v>0</v>
      </c>
      <c r="D323" t="str">
        <f t="shared" si="582"/>
        <v>Maternal Candidate</v>
      </c>
      <c r="F323" s="52">
        <f t="shared" si="582"/>
        <v>1736184.9999999998</v>
      </c>
      <c r="G323">
        <f t="shared" si="582"/>
        <v>0</v>
      </c>
      <c r="H323" s="11">
        <f t="shared" si="582"/>
        <v>0</v>
      </c>
      <c r="I323">
        <f t="shared" si="582"/>
        <v>0</v>
      </c>
      <c r="J323">
        <f t="shared" si="582"/>
        <v>0</v>
      </c>
      <c r="K323">
        <f t="shared" si="582"/>
        <v>0</v>
      </c>
      <c r="L323">
        <f t="shared" si="582"/>
        <v>0</v>
      </c>
      <c r="M323">
        <f t="shared" si="582"/>
        <v>0</v>
      </c>
      <c r="N323">
        <f t="shared" si="582"/>
        <v>0</v>
      </c>
      <c r="O323">
        <f t="shared" si="582"/>
        <v>0</v>
      </c>
      <c r="P323">
        <f t="shared" si="582"/>
        <v>0</v>
      </c>
      <c r="Q323">
        <f t="shared" si="582"/>
        <v>0</v>
      </c>
      <c r="R323">
        <f t="shared" si="582"/>
        <v>0</v>
      </c>
      <c r="S323">
        <f t="shared" si="582"/>
        <v>0</v>
      </c>
      <c r="T323">
        <f t="shared" si="582"/>
        <v>0</v>
      </c>
      <c r="U323">
        <f t="shared" si="582"/>
        <v>0</v>
      </c>
      <c r="V323">
        <f t="shared" si="582"/>
        <v>0</v>
      </c>
      <c r="W323">
        <f t="shared" si="582"/>
        <v>0</v>
      </c>
      <c r="X323">
        <f t="shared" si="582"/>
        <v>0</v>
      </c>
      <c r="Y323">
        <f t="shared" si="582"/>
        <v>0</v>
      </c>
      <c r="Z323">
        <f>BI141</f>
        <v>0</v>
      </c>
      <c r="AA323">
        <f>BJ141</f>
        <v>0</v>
      </c>
      <c r="AD323">
        <f t="shared" ref="AD323:AG323" si="583">AD141</f>
        <v>0</v>
      </c>
      <c r="AE323">
        <f t="shared" si="583"/>
        <v>0</v>
      </c>
      <c r="AF323">
        <f t="shared" si="583"/>
        <v>0</v>
      </c>
      <c r="AG323" t="str">
        <f t="shared" si="583"/>
        <v>Maternal Candidate</v>
      </c>
      <c r="AI323" s="52">
        <f t="shared" ref="AI323:BB323" si="584">AI141</f>
        <v>0</v>
      </c>
      <c r="AJ323">
        <f t="shared" si="584"/>
        <v>0</v>
      </c>
      <c r="AK323" s="11">
        <f t="shared" si="584"/>
        <v>0</v>
      </c>
      <c r="AL323">
        <f t="shared" si="584"/>
        <v>0</v>
      </c>
      <c r="AM323">
        <f t="shared" si="584"/>
        <v>0</v>
      </c>
      <c r="AN323">
        <f t="shared" si="584"/>
        <v>0</v>
      </c>
      <c r="AO323">
        <f t="shared" si="584"/>
        <v>0</v>
      </c>
      <c r="AP323">
        <f t="shared" si="584"/>
        <v>0</v>
      </c>
      <c r="AQ323">
        <f t="shared" si="584"/>
        <v>0</v>
      </c>
      <c r="AR323">
        <f t="shared" si="584"/>
        <v>0</v>
      </c>
      <c r="AS323">
        <f t="shared" si="584"/>
        <v>0</v>
      </c>
      <c r="AT323">
        <f t="shared" si="584"/>
        <v>0</v>
      </c>
      <c r="AU323">
        <f t="shared" si="584"/>
        <v>0</v>
      </c>
      <c r="AV323">
        <f t="shared" si="584"/>
        <v>0</v>
      </c>
      <c r="AW323">
        <f t="shared" si="584"/>
        <v>0</v>
      </c>
      <c r="AX323">
        <f t="shared" si="584"/>
        <v>0</v>
      </c>
      <c r="AY323">
        <f t="shared" si="584"/>
        <v>0</v>
      </c>
      <c r="AZ323">
        <f t="shared" si="584"/>
        <v>0</v>
      </c>
      <c r="BA323">
        <f t="shared" si="584"/>
        <v>0</v>
      </c>
      <c r="BB323">
        <f t="shared" si="584"/>
        <v>0</v>
      </c>
      <c r="BC323">
        <f>CL141</f>
        <v>0</v>
      </c>
      <c r="BD323">
        <f>CM141</f>
        <v>0</v>
      </c>
    </row>
    <row r="324" spans="1:56" x14ac:dyDescent="0.3">
      <c r="A324">
        <f t="shared" ref="A324:Y324" si="585">A142</f>
        <v>0</v>
      </c>
      <c r="B324">
        <f t="shared" si="585"/>
        <v>0</v>
      </c>
      <c r="C324">
        <f t="shared" si="585"/>
        <v>0</v>
      </c>
      <c r="D324">
        <f t="shared" si="585"/>
        <v>0</v>
      </c>
      <c r="E324" t="s">
        <v>161</v>
      </c>
      <c r="F324" s="28">
        <f>$C$279*F320</f>
        <v>1933478.75</v>
      </c>
      <c r="G324">
        <f t="shared" si="585"/>
        <v>0</v>
      </c>
      <c r="H324" s="11">
        <f t="shared" si="585"/>
        <v>0</v>
      </c>
      <c r="I324">
        <f t="shared" si="585"/>
        <v>0</v>
      </c>
      <c r="J324">
        <f t="shared" si="585"/>
        <v>0</v>
      </c>
      <c r="K324">
        <f t="shared" si="585"/>
        <v>0</v>
      </c>
      <c r="L324">
        <f t="shared" si="585"/>
        <v>0</v>
      </c>
      <c r="M324">
        <f t="shared" si="585"/>
        <v>0</v>
      </c>
      <c r="N324">
        <f t="shared" si="585"/>
        <v>0</v>
      </c>
      <c r="O324">
        <f t="shared" si="585"/>
        <v>0</v>
      </c>
      <c r="P324">
        <f t="shared" si="585"/>
        <v>0</v>
      </c>
      <c r="Q324">
        <f t="shared" si="585"/>
        <v>0</v>
      </c>
      <c r="R324">
        <f t="shared" si="585"/>
        <v>0</v>
      </c>
      <c r="S324">
        <f t="shared" si="585"/>
        <v>0</v>
      </c>
      <c r="T324">
        <f t="shared" si="585"/>
        <v>0</v>
      </c>
      <c r="U324">
        <f t="shared" si="585"/>
        <v>0</v>
      </c>
      <c r="V324">
        <f t="shared" si="585"/>
        <v>0</v>
      </c>
      <c r="W324">
        <f t="shared" si="585"/>
        <v>0</v>
      </c>
      <c r="X324">
        <f t="shared" si="585"/>
        <v>0</v>
      </c>
      <c r="Y324">
        <f t="shared" si="585"/>
        <v>0</v>
      </c>
      <c r="Z324">
        <f>BI142</f>
        <v>0</v>
      </c>
      <c r="AA324">
        <f>BJ142</f>
        <v>0</v>
      </c>
      <c r="AD324">
        <f t="shared" ref="AD324:AG324" si="586">AD142</f>
        <v>0</v>
      </c>
      <c r="AE324">
        <f t="shared" si="586"/>
        <v>0</v>
      </c>
      <c r="AF324">
        <f t="shared" si="586"/>
        <v>0</v>
      </c>
      <c r="AG324">
        <f t="shared" si="586"/>
        <v>0</v>
      </c>
      <c r="AH324" t="s">
        <v>161</v>
      </c>
      <c r="AI324" s="28">
        <f>$C$279*AI320</f>
        <v>1933478.75</v>
      </c>
      <c r="AJ324">
        <f t="shared" ref="AJ324:BB324" si="587">AJ142</f>
        <v>0</v>
      </c>
      <c r="AK324" s="11">
        <f t="shared" si="587"/>
        <v>0</v>
      </c>
      <c r="AL324">
        <f t="shared" si="587"/>
        <v>0</v>
      </c>
      <c r="AM324">
        <f t="shared" si="587"/>
        <v>0</v>
      </c>
      <c r="AN324">
        <f t="shared" si="587"/>
        <v>0</v>
      </c>
      <c r="AO324">
        <f t="shared" si="587"/>
        <v>0</v>
      </c>
      <c r="AP324">
        <f t="shared" si="587"/>
        <v>0</v>
      </c>
      <c r="AQ324">
        <f t="shared" si="587"/>
        <v>0</v>
      </c>
      <c r="AR324">
        <f t="shared" si="587"/>
        <v>0</v>
      </c>
      <c r="AS324">
        <f t="shared" si="587"/>
        <v>0</v>
      </c>
      <c r="AT324">
        <f t="shared" si="587"/>
        <v>0</v>
      </c>
      <c r="AU324">
        <f t="shared" si="587"/>
        <v>0</v>
      </c>
      <c r="AV324">
        <f t="shared" si="587"/>
        <v>0</v>
      </c>
      <c r="AW324">
        <f t="shared" si="587"/>
        <v>0</v>
      </c>
      <c r="AX324">
        <f t="shared" si="587"/>
        <v>0</v>
      </c>
      <c r="AY324">
        <f t="shared" si="587"/>
        <v>0</v>
      </c>
      <c r="AZ324">
        <f t="shared" si="587"/>
        <v>0</v>
      </c>
      <c r="BA324">
        <f t="shared" si="587"/>
        <v>0</v>
      </c>
      <c r="BB324">
        <f t="shared" si="587"/>
        <v>0</v>
      </c>
      <c r="BC324">
        <f>CL142</f>
        <v>0</v>
      </c>
      <c r="BD324">
        <f>CM142</f>
        <v>0</v>
      </c>
    </row>
    <row r="325" spans="1:56" x14ac:dyDescent="0.3">
      <c r="E325" t="s">
        <v>162</v>
      </c>
      <c r="F325" s="28">
        <f>$C$279*F321</f>
        <v>1538891.25</v>
      </c>
      <c r="H325" s="11"/>
      <c r="AH325" t="s">
        <v>162</v>
      </c>
      <c r="AI325" s="28">
        <f>$C$279*AI321</f>
        <v>1538891.25</v>
      </c>
      <c r="AK325" s="11"/>
    </row>
    <row r="326" spans="1:56" x14ac:dyDescent="0.3">
      <c r="F326" s="28"/>
      <c r="H326" s="11"/>
      <c r="N326" s="2"/>
      <c r="O326" s="28"/>
      <c r="Q326" s="2"/>
      <c r="R326" s="21"/>
      <c r="V326" s="2"/>
      <c r="W326" s="21"/>
      <c r="AI326" s="28"/>
      <c r="AK326" s="11"/>
      <c r="AQ326" s="2"/>
      <c r="AR326" s="28"/>
      <c r="AT326" s="2"/>
      <c r="AU326" s="21"/>
      <c r="AY326" s="2"/>
      <c r="AZ326" s="21"/>
    </row>
    <row r="327" spans="1:56" x14ac:dyDescent="0.3">
      <c r="A327" t="str">
        <f t="shared" ref="A327:Y327" si="588">A143</f>
        <v>sum check row</v>
      </c>
      <c r="B327">
        <f t="shared" si="588"/>
        <v>0</v>
      </c>
      <c r="C327">
        <f t="shared" si="588"/>
        <v>0</v>
      </c>
      <c r="D327">
        <f t="shared" si="588"/>
        <v>0</v>
      </c>
      <c r="E327" t="str">
        <f t="shared" si="588"/>
        <v>sum check</v>
      </c>
      <c r="F327" s="28">
        <f t="shared" si="588"/>
        <v>3945875</v>
      </c>
      <c r="G327">
        <f t="shared" si="588"/>
        <v>0</v>
      </c>
      <c r="H327" s="11">
        <f t="shared" si="588"/>
        <v>0</v>
      </c>
      <c r="I327">
        <f t="shared" si="588"/>
        <v>0</v>
      </c>
      <c r="J327">
        <f t="shared" si="588"/>
        <v>0</v>
      </c>
      <c r="K327">
        <f t="shared" si="588"/>
        <v>0</v>
      </c>
      <c r="L327">
        <f t="shared" si="588"/>
        <v>0</v>
      </c>
      <c r="M327">
        <f t="shared" si="588"/>
        <v>0</v>
      </c>
      <c r="N327" s="2" t="str">
        <f t="shared" si="588"/>
        <v>sum check</v>
      </c>
      <c r="O327" s="28">
        <f t="shared" si="588"/>
        <v>7168.5714492239631</v>
      </c>
      <c r="P327">
        <f t="shared" si="588"/>
        <v>0</v>
      </c>
      <c r="Q327" s="2" t="str">
        <f t="shared" si="588"/>
        <v>sum check</v>
      </c>
      <c r="R327" s="21">
        <f t="shared" si="588"/>
        <v>5277.2628381100858</v>
      </c>
      <c r="S327">
        <f t="shared" si="588"/>
        <v>0</v>
      </c>
      <c r="T327">
        <f t="shared" si="588"/>
        <v>0</v>
      </c>
      <c r="U327">
        <f t="shared" si="588"/>
        <v>0</v>
      </c>
      <c r="V327" s="2" t="str">
        <f t="shared" si="588"/>
        <v>sum check</v>
      </c>
      <c r="W327" s="21">
        <f t="shared" si="588"/>
        <v>3655.9714391042212</v>
      </c>
      <c r="X327">
        <f t="shared" si="588"/>
        <v>0</v>
      </c>
      <c r="Y327">
        <f t="shared" si="588"/>
        <v>0</v>
      </c>
      <c r="Z327">
        <f t="shared" ref="Z327:Z364" si="589">BI143</f>
        <v>0</v>
      </c>
      <c r="AA327">
        <f t="shared" ref="AA327:AA364" si="590">BJ143</f>
        <v>0</v>
      </c>
      <c r="AD327" t="str">
        <f t="shared" ref="AD327:BB327" si="591">AD143</f>
        <v>sum check row</v>
      </c>
      <c r="AE327">
        <f t="shared" si="591"/>
        <v>0</v>
      </c>
      <c r="AF327">
        <f t="shared" si="591"/>
        <v>0</v>
      </c>
      <c r="AG327">
        <f t="shared" si="591"/>
        <v>0</v>
      </c>
      <c r="AH327" t="str">
        <f t="shared" si="591"/>
        <v>sum check</v>
      </c>
      <c r="AI327" s="28">
        <f t="shared" si="591"/>
        <v>0</v>
      </c>
      <c r="AJ327">
        <f t="shared" si="591"/>
        <v>0</v>
      </c>
      <c r="AK327" s="11">
        <f t="shared" si="591"/>
        <v>0</v>
      </c>
      <c r="AL327">
        <f t="shared" si="591"/>
        <v>0</v>
      </c>
      <c r="AM327">
        <f t="shared" si="591"/>
        <v>0</v>
      </c>
      <c r="AN327">
        <f t="shared" si="591"/>
        <v>0</v>
      </c>
      <c r="AO327">
        <f t="shared" si="591"/>
        <v>0</v>
      </c>
      <c r="AP327">
        <f t="shared" si="591"/>
        <v>0</v>
      </c>
      <c r="AQ327" s="2" t="str">
        <f t="shared" si="591"/>
        <v>sum check</v>
      </c>
      <c r="AR327" s="28">
        <f t="shared" si="591"/>
        <v>3595.5497280740992</v>
      </c>
      <c r="AS327">
        <f t="shared" si="591"/>
        <v>0</v>
      </c>
      <c r="AT327" s="2" t="str">
        <f t="shared" si="591"/>
        <v>sum check</v>
      </c>
      <c r="AU327" s="21">
        <f t="shared" si="591"/>
        <v>1832.8542885371098</v>
      </c>
      <c r="AV327">
        <f t="shared" si="591"/>
        <v>0</v>
      </c>
      <c r="AW327">
        <f t="shared" si="591"/>
        <v>0</v>
      </c>
      <c r="AX327">
        <f t="shared" si="591"/>
        <v>0</v>
      </c>
      <c r="AY327" s="2" t="str">
        <f t="shared" si="591"/>
        <v>sum check</v>
      </c>
      <c r="AZ327" s="21">
        <f t="shared" si="591"/>
        <v>1833.7303613177905</v>
      </c>
      <c r="BA327">
        <f t="shared" si="591"/>
        <v>0</v>
      </c>
      <c r="BB327">
        <f t="shared" si="591"/>
        <v>0</v>
      </c>
      <c r="BC327">
        <f t="shared" ref="BC327:BC364" si="592">CL143</f>
        <v>0</v>
      </c>
      <c r="BD327">
        <f t="shared" ref="BD327:BD364" si="593">CM143</f>
        <v>0</v>
      </c>
    </row>
    <row r="328" spans="1:56" x14ac:dyDescent="0.3">
      <c r="A328">
        <f t="shared" ref="A328:W328" si="594">A144</f>
        <v>0</v>
      </c>
      <c r="B328">
        <f t="shared" si="594"/>
        <v>0</v>
      </c>
      <c r="C328">
        <f t="shared" si="594"/>
        <v>0</v>
      </c>
      <c r="D328">
        <f t="shared" si="594"/>
        <v>0</v>
      </c>
      <c r="E328">
        <f t="shared" si="594"/>
        <v>0</v>
      </c>
      <c r="F328">
        <f t="shared" si="594"/>
        <v>0</v>
      </c>
      <c r="G328">
        <f t="shared" si="594"/>
        <v>0</v>
      </c>
      <c r="H328" s="11">
        <f t="shared" si="594"/>
        <v>0</v>
      </c>
      <c r="I328">
        <f t="shared" si="594"/>
        <v>0</v>
      </c>
      <c r="J328">
        <f t="shared" si="594"/>
        <v>0</v>
      </c>
      <c r="K328">
        <f t="shared" si="594"/>
        <v>0</v>
      </c>
      <c r="L328">
        <f t="shared" si="594"/>
        <v>0</v>
      </c>
      <c r="M328">
        <f t="shared" si="594"/>
        <v>0</v>
      </c>
      <c r="N328">
        <f t="shared" si="594"/>
        <v>0</v>
      </c>
      <c r="O328">
        <f t="shared" si="594"/>
        <v>0</v>
      </c>
      <c r="P328">
        <f t="shared" si="594"/>
        <v>0</v>
      </c>
      <c r="Q328">
        <f t="shared" si="594"/>
        <v>0</v>
      </c>
      <c r="R328">
        <f t="shared" si="594"/>
        <v>0</v>
      </c>
      <c r="S328">
        <f t="shared" si="594"/>
        <v>0</v>
      </c>
      <c r="T328">
        <f t="shared" si="594"/>
        <v>0</v>
      </c>
      <c r="U328">
        <f t="shared" si="594"/>
        <v>0</v>
      </c>
      <c r="V328">
        <f t="shared" si="594"/>
        <v>0</v>
      </c>
      <c r="W328">
        <f t="shared" si="594"/>
        <v>0</v>
      </c>
      <c r="X328" s="1117" t="s">
        <v>181</v>
      </c>
      <c r="Y328" s="1117"/>
      <c r="Z328">
        <f t="shared" si="589"/>
        <v>0</v>
      </c>
      <c r="AA328">
        <f t="shared" si="590"/>
        <v>0</v>
      </c>
      <c r="AD328">
        <f t="shared" ref="AD328:AZ328" si="595">AD144</f>
        <v>0</v>
      </c>
      <c r="AE328">
        <f t="shared" si="595"/>
        <v>0</v>
      </c>
      <c r="AF328">
        <f t="shared" si="595"/>
        <v>0</v>
      </c>
      <c r="AG328">
        <f t="shared" si="595"/>
        <v>0</v>
      </c>
      <c r="AH328">
        <f t="shared" si="595"/>
        <v>0</v>
      </c>
      <c r="AI328">
        <f t="shared" si="595"/>
        <v>0</v>
      </c>
      <c r="AJ328">
        <f t="shared" si="595"/>
        <v>0</v>
      </c>
      <c r="AK328" s="11">
        <f t="shared" si="595"/>
        <v>0</v>
      </c>
      <c r="AL328">
        <f t="shared" si="595"/>
        <v>0</v>
      </c>
      <c r="AM328">
        <f t="shared" si="595"/>
        <v>0</v>
      </c>
      <c r="AN328">
        <f t="shared" si="595"/>
        <v>0</v>
      </c>
      <c r="AO328">
        <f t="shared" si="595"/>
        <v>0</v>
      </c>
      <c r="AP328">
        <f t="shared" si="595"/>
        <v>0</v>
      </c>
      <c r="AQ328">
        <f t="shared" si="595"/>
        <v>0</v>
      </c>
      <c r="AR328">
        <f t="shared" si="595"/>
        <v>0</v>
      </c>
      <c r="AS328">
        <f t="shared" si="595"/>
        <v>0</v>
      </c>
      <c r="AT328">
        <f t="shared" si="595"/>
        <v>0</v>
      </c>
      <c r="AU328">
        <f t="shared" si="595"/>
        <v>0</v>
      </c>
      <c r="AV328">
        <f t="shared" si="595"/>
        <v>0</v>
      </c>
      <c r="AW328">
        <f t="shared" si="595"/>
        <v>0</v>
      </c>
      <c r="AX328">
        <f t="shared" si="595"/>
        <v>0</v>
      </c>
      <c r="AY328">
        <f t="shared" si="595"/>
        <v>0</v>
      </c>
      <c r="AZ328">
        <f t="shared" si="595"/>
        <v>0</v>
      </c>
      <c r="BA328" s="1117" t="s">
        <v>181</v>
      </c>
      <c r="BB328" s="1117"/>
      <c r="BC328">
        <f t="shared" si="592"/>
        <v>0</v>
      </c>
      <c r="BD328">
        <f t="shared" si="593"/>
        <v>0</v>
      </c>
    </row>
    <row r="329" spans="1:56" x14ac:dyDescent="0.3">
      <c r="A329">
        <f t="shared" ref="A329:E334" si="596">A145</f>
        <v>0</v>
      </c>
      <c r="B329">
        <f t="shared" si="596"/>
        <v>0</v>
      </c>
      <c r="C329">
        <f t="shared" si="596"/>
        <v>0</v>
      </c>
      <c r="D329">
        <f t="shared" si="596"/>
        <v>0</v>
      </c>
      <c r="E329">
        <f t="shared" si="596"/>
        <v>0</v>
      </c>
      <c r="G329">
        <f t="shared" ref="G329:Y329" si="597">G145</f>
        <v>0</v>
      </c>
      <c r="H329" s="11">
        <f t="shared" si="597"/>
        <v>0</v>
      </c>
      <c r="I329">
        <f t="shared" si="597"/>
        <v>0</v>
      </c>
      <c r="J329">
        <f t="shared" si="597"/>
        <v>0</v>
      </c>
      <c r="K329">
        <f t="shared" si="597"/>
        <v>0</v>
      </c>
      <c r="L329" s="2">
        <f t="shared" si="597"/>
        <v>0</v>
      </c>
      <c r="M329" s="28">
        <f t="shared" si="597"/>
        <v>0</v>
      </c>
      <c r="N329" s="19">
        <f t="shared" si="597"/>
        <v>0</v>
      </c>
      <c r="O329">
        <f t="shared" si="597"/>
        <v>0</v>
      </c>
      <c r="P329" s="2">
        <f t="shared" si="597"/>
        <v>0</v>
      </c>
      <c r="Q329" s="21">
        <f t="shared" si="597"/>
        <v>0</v>
      </c>
      <c r="R329">
        <f t="shared" si="597"/>
        <v>0</v>
      </c>
      <c r="S329">
        <f t="shared" si="597"/>
        <v>0</v>
      </c>
      <c r="T329">
        <f t="shared" si="597"/>
        <v>0</v>
      </c>
      <c r="U329">
        <f t="shared" si="597"/>
        <v>0</v>
      </c>
      <c r="V329">
        <f t="shared" si="597"/>
        <v>0</v>
      </c>
      <c r="W329" s="437" t="str">
        <f t="shared" si="597"/>
        <v>base</v>
      </c>
      <c r="X329" s="445" t="str">
        <f t="shared" si="597"/>
        <v>low</v>
      </c>
      <c r="Y329" s="445" t="str">
        <f t="shared" si="597"/>
        <v>high</v>
      </c>
      <c r="Z329">
        <f t="shared" si="589"/>
        <v>0</v>
      </c>
      <c r="AA329">
        <f t="shared" si="590"/>
        <v>0</v>
      </c>
      <c r="AD329">
        <f t="shared" ref="AD329:AH329" si="598">AD145</f>
        <v>0</v>
      </c>
      <c r="AE329">
        <f t="shared" si="598"/>
        <v>0</v>
      </c>
      <c r="AF329">
        <f t="shared" si="598"/>
        <v>0</v>
      </c>
      <c r="AG329">
        <f t="shared" si="598"/>
        <v>0</v>
      </c>
      <c r="AH329">
        <f t="shared" si="598"/>
        <v>0</v>
      </c>
      <c r="AJ329">
        <f t="shared" ref="AJ329:BB329" si="599">AJ145</f>
        <v>0</v>
      </c>
      <c r="AK329" s="11">
        <f t="shared" si="599"/>
        <v>0</v>
      </c>
      <c r="AL329">
        <f t="shared" si="599"/>
        <v>0</v>
      </c>
      <c r="AM329">
        <f t="shared" si="599"/>
        <v>0</v>
      </c>
      <c r="AN329">
        <f t="shared" si="599"/>
        <v>0</v>
      </c>
      <c r="AO329" s="2">
        <f t="shared" si="599"/>
        <v>0</v>
      </c>
      <c r="AP329" s="28">
        <f t="shared" si="599"/>
        <v>0</v>
      </c>
      <c r="AQ329" s="19">
        <f t="shared" si="599"/>
        <v>0</v>
      </c>
      <c r="AR329">
        <f t="shared" si="599"/>
        <v>0</v>
      </c>
      <c r="AS329" s="2">
        <f t="shared" si="599"/>
        <v>0</v>
      </c>
      <c r="AT329" s="21">
        <f t="shared" si="599"/>
        <v>0</v>
      </c>
      <c r="AU329">
        <f t="shared" si="599"/>
        <v>0</v>
      </c>
      <c r="AV329">
        <f t="shared" si="599"/>
        <v>0</v>
      </c>
      <c r="AW329">
        <f t="shared" si="599"/>
        <v>0</v>
      </c>
      <c r="AX329">
        <f t="shared" si="599"/>
        <v>0</v>
      </c>
      <c r="AY329">
        <f t="shared" si="599"/>
        <v>0</v>
      </c>
      <c r="AZ329" s="684" t="str">
        <f t="shared" si="599"/>
        <v>base</v>
      </c>
      <c r="BA329" s="445" t="str">
        <f t="shared" si="599"/>
        <v>low</v>
      </c>
      <c r="BB329" s="445" t="str">
        <f t="shared" si="599"/>
        <v>high</v>
      </c>
      <c r="BC329">
        <f t="shared" si="592"/>
        <v>0</v>
      </c>
      <c r="BD329">
        <f t="shared" si="593"/>
        <v>0</v>
      </c>
    </row>
    <row r="330" spans="1:56" x14ac:dyDescent="0.3">
      <c r="A330">
        <f t="shared" si="596"/>
        <v>0</v>
      </c>
      <c r="B330">
        <f t="shared" si="596"/>
        <v>0</v>
      </c>
      <c r="C330">
        <f t="shared" si="596"/>
        <v>0</v>
      </c>
      <c r="D330">
        <f t="shared" si="596"/>
        <v>0</v>
      </c>
      <c r="E330">
        <f t="shared" si="596"/>
        <v>0</v>
      </c>
      <c r="F330" s="28"/>
      <c r="G330">
        <f t="shared" ref="G330:S330" si="600">G146</f>
        <v>0</v>
      </c>
      <c r="H330" s="11">
        <f t="shared" si="600"/>
        <v>0</v>
      </c>
      <c r="I330">
        <f t="shared" si="600"/>
        <v>0</v>
      </c>
      <c r="J330">
        <f t="shared" si="600"/>
        <v>0</v>
      </c>
      <c r="K330">
        <f t="shared" si="600"/>
        <v>0</v>
      </c>
      <c r="L330" s="2">
        <f t="shared" si="600"/>
        <v>0</v>
      </c>
      <c r="M330" s="28">
        <f t="shared" si="600"/>
        <v>0</v>
      </c>
      <c r="N330" s="19">
        <f t="shared" si="600"/>
        <v>0</v>
      </c>
      <c r="O330">
        <f t="shared" si="600"/>
        <v>0</v>
      </c>
      <c r="P330" s="2">
        <f t="shared" si="600"/>
        <v>0</v>
      </c>
      <c r="Q330" s="21">
        <f t="shared" si="600"/>
        <v>0</v>
      </c>
      <c r="R330">
        <f t="shared" si="600"/>
        <v>0</v>
      </c>
      <c r="S330">
        <f t="shared" si="600"/>
        <v>0</v>
      </c>
      <c r="V330" s="2" t="str">
        <f>V146</f>
        <v>Outpatient visits prevented</v>
      </c>
      <c r="W330" s="33">
        <f>W146</f>
        <v>2458.3467121524104</v>
      </c>
      <c r="X330" s="446">
        <f>$L$341*$R$334*X331</f>
        <v>2737.7042930788211</v>
      </c>
      <c r="Y330" s="446">
        <f>$L$342*$R$334*Y331</f>
        <v>2178.9891312260002</v>
      </c>
      <c r="Z330">
        <f t="shared" si="589"/>
        <v>0</v>
      </c>
      <c r="AA330">
        <f t="shared" si="590"/>
        <v>0</v>
      </c>
      <c r="AD330">
        <f t="shared" ref="AD330:AH330" si="601">AD146</f>
        <v>0</v>
      </c>
      <c r="AE330">
        <f t="shared" si="601"/>
        <v>0</v>
      </c>
      <c r="AF330">
        <f t="shared" si="601"/>
        <v>0</v>
      </c>
      <c r="AG330">
        <f t="shared" si="601"/>
        <v>0</v>
      </c>
      <c r="AH330">
        <f t="shared" si="601"/>
        <v>0</v>
      </c>
      <c r="AI330" s="28"/>
      <c r="AJ330">
        <f t="shared" ref="AJ330:AV330" si="602">AJ146</f>
        <v>0</v>
      </c>
      <c r="AK330" s="11">
        <f t="shared" si="602"/>
        <v>0</v>
      </c>
      <c r="AL330">
        <f t="shared" si="602"/>
        <v>0</v>
      </c>
      <c r="AM330">
        <f t="shared" si="602"/>
        <v>0</v>
      </c>
      <c r="AN330">
        <f t="shared" si="602"/>
        <v>0</v>
      </c>
      <c r="AO330" s="2">
        <f t="shared" si="602"/>
        <v>0</v>
      </c>
      <c r="AP330" s="28">
        <f t="shared" si="602"/>
        <v>0</v>
      </c>
      <c r="AQ330" s="19">
        <f t="shared" si="602"/>
        <v>0</v>
      </c>
      <c r="AR330">
        <f t="shared" si="602"/>
        <v>0</v>
      </c>
      <c r="AS330" s="2">
        <f t="shared" si="602"/>
        <v>0</v>
      </c>
      <c r="AT330" s="21">
        <f t="shared" si="602"/>
        <v>0</v>
      </c>
      <c r="AU330">
        <f t="shared" si="602"/>
        <v>0</v>
      </c>
      <c r="AV330">
        <f t="shared" si="602"/>
        <v>0</v>
      </c>
      <c r="AY330" s="2" t="str">
        <f>AY146</f>
        <v>Outpatient visits prevented</v>
      </c>
      <c r="AZ330" s="33">
        <f>AZ146</f>
        <v>1262.6579269735651</v>
      </c>
      <c r="BA330" s="446">
        <f>$AO$341*$AU$334*BA331</f>
        <v>1406.1417823114705</v>
      </c>
      <c r="BB330" s="446">
        <f>$AO$342*$AU$334*BB331</f>
        <v>1119.1740716356601</v>
      </c>
      <c r="BC330">
        <f t="shared" si="592"/>
        <v>0</v>
      </c>
      <c r="BD330">
        <f t="shared" si="593"/>
        <v>0</v>
      </c>
    </row>
    <row r="331" spans="1:56" x14ac:dyDescent="0.3">
      <c r="A331">
        <f t="shared" si="596"/>
        <v>0</v>
      </c>
      <c r="B331">
        <f t="shared" si="596"/>
        <v>0</v>
      </c>
      <c r="C331">
        <f t="shared" si="596"/>
        <v>0</v>
      </c>
      <c r="D331">
        <f t="shared" si="596"/>
        <v>0</v>
      </c>
      <c r="E331">
        <f t="shared" si="596"/>
        <v>0</v>
      </c>
      <c r="F331" s="28"/>
      <c r="G331">
        <f t="shared" ref="G331:S331" si="603">G147</f>
        <v>0</v>
      </c>
      <c r="H331" s="11">
        <f t="shared" si="603"/>
        <v>0</v>
      </c>
      <c r="I331">
        <f t="shared" si="603"/>
        <v>0</v>
      </c>
      <c r="J331">
        <f t="shared" si="603"/>
        <v>0</v>
      </c>
      <c r="K331">
        <f t="shared" si="603"/>
        <v>0</v>
      </c>
      <c r="L331" s="2">
        <f t="shared" si="603"/>
        <v>0</v>
      </c>
      <c r="M331" s="28">
        <f t="shared" si="603"/>
        <v>0</v>
      </c>
      <c r="N331" s="19">
        <f t="shared" si="603"/>
        <v>0</v>
      </c>
      <c r="O331">
        <f t="shared" si="603"/>
        <v>0</v>
      </c>
      <c r="P331" s="2">
        <f t="shared" si="603"/>
        <v>0</v>
      </c>
      <c r="Q331" s="21">
        <f t="shared" si="603"/>
        <v>0</v>
      </c>
      <c r="R331">
        <f t="shared" si="603"/>
        <v>0</v>
      </c>
      <c r="S331">
        <f t="shared" si="603"/>
        <v>0</v>
      </c>
      <c r="T331" s="16">
        <f t="shared" ref="T331:V332" si="604">T147</f>
        <v>0</v>
      </c>
      <c r="U331" s="17">
        <f t="shared" si="604"/>
        <v>0</v>
      </c>
      <c r="V331" s="15" t="str">
        <f t="shared" si="604"/>
        <v>p4c</v>
      </c>
      <c r="W331" s="61">
        <f>$W$147</f>
        <v>1.4910674201012974</v>
      </c>
      <c r="X331" s="447">
        <f t="shared" ref="X331:Y331" si="605">$W$147</f>
        <v>1.4910674201012974</v>
      </c>
      <c r="Y331" s="447">
        <f t="shared" si="605"/>
        <v>1.4910674201012974</v>
      </c>
      <c r="Z331">
        <f t="shared" si="589"/>
        <v>0</v>
      </c>
      <c r="AA331">
        <f t="shared" si="590"/>
        <v>0</v>
      </c>
      <c r="AD331">
        <f t="shared" ref="AD331:AH331" si="606">AD147</f>
        <v>0</v>
      </c>
      <c r="AE331">
        <f t="shared" si="606"/>
        <v>0</v>
      </c>
      <c r="AF331">
        <f t="shared" si="606"/>
        <v>0</v>
      </c>
      <c r="AG331">
        <f t="shared" si="606"/>
        <v>0</v>
      </c>
      <c r="AH331">
        <f t="shared" si="606"/>
        <v>0</v>
      </c>
      <c r="AI331" s="28"/>
      <c r="AJ331">
        <f t="shared" ref="AJ331:AY331" si="607">AJ147</f>
        <v>0</v>
      </c>
      <c r="AK331" s="11">
        <f t="shared" si="607"/>
        <v>0</v>
      </c>
      <c r="AL331">
        <f t="shared" si="607"/>
        <v>0</v>
      </c>
      <c r="AM331">
        <f t="shared" si="607"/>
        <v>0</v>
      </c>
      <c r="AN331">
        <f t="shared" si="607"/>
        <v>0</v>
      </c>
      <c r="AO331" s="2">
        <f t="shared" si="607"/>
        <v>0</v>
      </c>
      <c r="AP331" s="28">
        <f t="shared" si="607"/>
        <v>0</v>
      </c>
      <c r="AQ331" s="19">
        <f t="shared" si="607"/>
        <v>0</v>
      </c>
      <c r="AR331">
        <f t="shared" si="607"/>
        <v>0</v>
      </c>
      <c r="AS331" s="2">
        <f t="shared" si="607"/>
        <v>0</v>
      </c>
      <c r="AT331" s="21">
        <f t="shared" si="607"/>
        <v>0</v>
      </c>
      <c r="AU331">
        <f t="shared" si="607"/>
        <v>0</v>
      </c>
      <c r="AV331">
        <f t="shared" si="607"/>
        <v>0</v>
      </c>
      <c r="AW331" s="16">
        <f t="shared" si="607"/>
        <v>0</v>
      </c>
      <c r="AX331" s="17">
        <f t="shared" si="607"/>
        <v>0</v>
      </c>
      <c r="AY331" s="15" t="str">
        <f t="shared" si="607"/>
        <v>p4c</v>
      </c>
      <c r="AZ331" s="61">
        <f>AZ244</f>
        <v>0.76584319385710953</v>
      </c>
      <c r="BA331" s="447">
        <f>AZ331</f>
        <v>0.76584319385710953</v>
      </c>
      <c r="BB331" s="447">
        <f>AZ331</f>
        <v>0.76584319385710953</v>
      </c>
      <c r="BC331">
        <f t="shared" si="592"/>
        <v>0</v>
      </c>
      <c r="BD331">
        <f t="shared" si="593"/>
        <v>0</v>
      </c>
    </row>
    <row r="332" spans="1:56" x14ac:dyDescent="0.3">
      <c r="A332">
        <f t="shared" si="596"/>
        <v>0</v>
      </c>
      <c r="B332">
        <f t="shared" si="596"/>
        <v>0</v>
      </c>
      <c r="C332">
        <f t="shared" si="596"/>
        <v>0</v>
      </c>
      <c r="D332">
        <f t="shared" si="596"/>
        <v>0</v>
      </c>
      <c r="E332">
        <f t="shared" si="596"/>
        <v>0</v>
      </c>
      <c r="F332" s="28"/>
      <c r="G332">
        <f t="shared" ref="G332:S332" si="608">G148</f>
        <v>0</v>
      </c>
      <c r="H332" s="11">
        <f t="shared" si="608"/>
        <v>0</v>
      </c>
      <c r="I332">
        <f t="shared" si="608"/>
        <v>0</v>
      </c>
      <c r="J332">
        <f t="shared" si="608"/>
        <v>0</v>
      </c>
      <c r="K332">
        <f t="shared" si="608"/>
        <v>0</v>
      </c>
      <c r="L332" s="2">
        <f t="shared" si="608"/>
        <v>0</v>
      </c>
      <c r="M332" s="28">
        <f t="shared" si="608"/>
        <v>0</v>
      </c>
      <c r="N332" s="19">
        <f t="shared" si="608"/>
        <v>0</v>
      </c>
      <c r="O332">
        <f t="shared" si="608"/>
        <v>0</v>
      </c>
      <c r="P332" s="2">
        <f t="shared" si="608"/>
        <v>0</v>
      </c>
      <c r="Q332" s="21">
        <f t="shared" si="608"/>
        <v>0</v>
      </c>
      <c r="R332">
        <f t="shared" si="608"/>
        <v>0</v>
      </c>
      <c r="S332">
        <f t="shared" si="608"/>
        <v>0</v>
      </c>
      <c r="T332" s="11">
        <f t="shared" si="604"/>
        <v>0</v>
      </c>
      <c r="U332" s="13">
        <f t="shared" si="604"/>
        <v>0</v>
      </c>
      <c r="V332" s="2">
        <f t="shared" si="604"/>
        <v>0</v>
      </c>
      <c r="W332">
        <f>W148</f>
        <v>0</v>
      </c>
      <c r="X332" s="76">
        <f>X148</f>
        <v>0</v>
      </c>
      <c r="Y332" s="76">
        <f>Y148</f>
        <v>0</v>
      </c>
      <c r="Z332">
        <f t="shared" si="589"/>
        <v>0</v>
      </c>
      <c r="AA332">
        <f t="shared" si="590"/>
        <v>0</v>
      </c>
      <c r="AD332">
        <f t="shared" ref="AD332:AH332" si="609">AD148</f>
        <v>0</v>
      </c>
      <c r="AE332">
        <f t="shared" si="609"/>
        <v>0</v>
      </c>
      <c r="AF332">
        <f t="shared" si="609"/>
        <v>0</v>
      </c>
      <c r="AG332">
        <f t="shared" si="609"/>
        <v>0</v>
      </c>
      <c r="AH332">
        <f t="shared" si="609"/>
        <v>0</v>
      </c>
      <c r="AI332" s="28"/>
      <c r="AJ332">
        <f t="shared" ref="AJ332:AY332" si="610">AJ148</f>
        <v>0</v>
      </c>
      <c r="AK332" s="11">
        <f t="shared" si="610"/>
        <v>0</v>
      </c>
      <c r="AL332">
        <f t="shared" si="610"/>
        <v>0</v>
      </c>
      <c r="AM332">
        <f t="shared" si="610"/>
        <v>0</v>
      </c>
      <c r="AN332">
        <f t="shared" si="610"/>
        <v>0</v>
      </c>
      <c r="AO332" s="2">
        <f t="shared" si="610"/>
        <v>0</v>
      </c>
      <c r="AP332" s="28">
        <f t="shared" si="610"/>
        <v>0</v>
      </c>
      <c r="AQ332" s="19">
        <f t="shared" si="610"/>
        <v>0</v>
      </c>
      <c r="AR332">
        <f t="shared" si="610"/>
        <v>0</v>
      </c>
      <c r="AS332" s="2">
        <f t="shared" si="610"/>
        <v>0</v>
      </c>
      <c r="AT332" s="21">
        <f t="shared" si="610"/>
        <v>0</v>
      </c>
      <c r="AU332">
        <f t="shared" si="610"/>
        <v>0</v>
      </c>
      <c r="AV332">
        <f t="shared" si="610"/>
        <v>0</v>
      </c>
      <c r="AW332" s="11">
        <f t="shared" si="610"/>
        <v>0</v>
      </c>
      <c r="AX332" s="13">
        <f t="shared" si="610"/>
        <v>0</v>
      </c>
      <c r="AY332" s="2">
        <f t="shared" si="610"/>
        <v>0</v>
      </c>
      <c r="AZ332">
        <f>AZ148</f>
        <v>0</v>
      </c>
      <c r="BA332" s="76">
        <f>BA148</f>
        <v>0</v>
      </c>
      <c r="BB332" s="76">
        <f>BB148</f>
        <v>0</v>
      </c>
      <c r="BC332">
        <f t="shared" si="592"/>
        <v>0</v>
      </c>
      <c r="BD332">
        <f t="shared" si="593"/>
        <v>0</v>
      </c>
    </row>
    <row r="333" spans="1:56" x14ac:dyDescent="0.3">
      <c r="A333">
        <f t="shared" si="596"/>
        <v>0</v>
      </c>
      <c r="B333">
        <f t="shared" si="596"/>
        <v>0</v>
      </c>
      <c r="C333">
        <f t="shared" si="596"/>
        <v>0</v>
      </c>
      <c r="D333">
        <f t="shared" si="596"/>
        <v>0</v>
      </c>
      <c r="E333">
        <f t="shared" si="596"/>
        <v>0</v>
      </c>
      <c r="G333">
        <f t="shared" ref="G333:O333" si="611">G149</f>
        <v>0</v>
      </c>
      <c r="H333" s="11">
        <f t="shared" si="611"/>
        <v>0</v>
      </c>
      <c r="I333">
        <f t="shared" si="611"/>
        <v>0</v>
      </c>
      <c r="J333">
        <f t="shared" si="611"/>
        <v>0</v>
      </c>
      <c r="K333">
        <f t="shared" si="611"/>
        <v>0</v>
      </c>
      <c r="L333" s="2">
        <f t="shared" si="611"/>
        <v>0</v>
      </c>
      <c r="M333" s="28">
        <f t="shared" si="611"/>
        <v>0</v>
      </c>
      <c r="N333" s="19">
        <f t="shared" si="611"/>
        <v>0</v>
      </c>
      <c r="O333">
        <f t="shared" si="611"/>
        <v>0</v>
      </c>
      <c r="P333" s="2"/>
      <c r="Q333" s="2" t="str">
        <f t="shared" ref="Q333:T334" si="612">Q149</f>
        <v>Vaccine Effective</v>
      </c>
      <c r="R333" s="33">
        <f t="shared" si="612"/>
        <v>3655.9714391042212</v>
      </c>
      <c r="S333">
        <f t="shared" si="612"/>
        <v>0</v>
      </c>
      <c r="T333" s="18">
        <f t="shared" si="612"/>
        <v>0</v>
      </c>
      <c r="U333" s="438"/>
      <c r="V333" s="12" t="str">
        <f>V149</f>
        <v>ED visits prevented</v>
      </c>
      <c r="W333" s="33">
        <f>W149</f>
        <v>923.25609430422901</v>
      </c>
      <c r="X333" s="446">
        <f>$L$341*$R$334*X334</f>
        <v>1028.1715595660735</v>
      </c>
      <c r="Y333" s="446">
        <f>$L$342*$R$334*Y334</f>
        <v>818.34062904238488</v>
      </c>
      <c r="Z333">
        <f t="shared" si="589"/>
        <v>0</v>
      </c>
      <c r="AA333">
        <f t="shared" si="590"/>
        <v>0</v>
      </c>
      <c r="AD333">
        <f t="shared" ref="AD333:AH333" si="613">AD149</f>
        <v>0</v>
      </c>
      <c r="AE333">
        <f t="shared" si="613"/>
        <v>0</v>
      </c>
      <c r="AF333">
        <f t="shared" si="613"/>
        <v>0</v>
      </c>
      <c r="AG333">
        <f t="shared" si="613"/>
        <v>0</v>
      </c>
      <c r="AH333">
        <f t="shared" si="613"/>
        <v>0</v>
      </c>
      <c r="AJ333">
        <f t="shared" ref="AJ333:AR333" si="614">AJ149</f>
        <v>0</v>
      </c>
      <c r="AK333" s="11">
        <f t="shared" si="614"/>
        <v>0</v>
      </c>
      <c r="AL333">
        <f t="shared" si="614"/>
        <v>0</v>
      </c>
      <c r="AM333">
        <f t="shared" si="614"/>
        <v>0</v>
      </c>
      <c r="AN333">
        <f t="shared" si="614"/>
        <v>0</v>
      </c>
      <c r="AO333" s="2">
        <f t="shared" si="614"/>
        <v>0</v>
      </c>
      <c r="AP333" s="28">
        <f t="shared" si="614"/>
        <v>0</v>
      </c>
      <c r="AQ333" s="19">
        <f t="shared" si="614"/>
        <v>0</v>
      </c>
      <c r="AR333">
        <f t="shared" si="614"/>
        <v>0</v>
      </c>
      <c r="AS333" s="2"/>
      <c r="AT333" s="2" t="str">
        <f t="shared" ref="AT333:AW333" si="615">AT149</f>
        <v>Vaccine Effective</v>
      </c>
      <c r="AU333" s="33">
        <f t="shared" si="615"/>
        <v>1833.7303613177905</v>
      </c>
      <c r="AV333">
        <f t="shared" si="615"/>
        <v>0</v>
      </c>
      <c r="AW333" s="18">
        <f t="shared" si="615"/>
        <v>0</v>
      </c>
      <c r="AX333" s="500"/>
      <c r="AY333" s="12" t="str">
        <f>AY149</f>
        <v>ED visits prevented</v>
      </c>
      <c r="AZ333" s="33">
        <f>AZ149</f>
        <v>501.85372873785138</v>
      </c>
      <c r="BA333" s="446">
        <f>$AO$341*$AU$334*BA334</f>
        <v>558.88256154897101</v>
      </c>
      <c r="BB333" s="446">
        <f>$AO$342*$AU$334*BB334</f>
        <v>444.82489592673193</v>
      </c>
      <c r="BC333">
        <f t="shared" si="592"/>
        <v>0</v>
      </c>
      <c r="BD333">
        <f t="shared" si="593"/>
        <v>0</v>
      </c>
    </row>
    <row r="334" spans="1:56" x14ac:dyDescent="0.3">
      <c r="A334">
        <f t="shared" si="596"/>
        <v>0</v>
      </c>
      <c r="B334">
        <f t="shared" si="596"/>
        <v>0</v>
      </c>
      <c r="C334">
        <f t="shared" si="596"/>
        <v>0</v>
      </c>
      <c r="D334">
        <f t="shared" si="596"/>
        <v>0</v>
      </c>
      <c r="E334">
        <f t="shared" si="596"/>
        <v>0</v>
      </c>
      <c r="G334">
        <f t="shared" ref="G334:O334" si="616">G150</f>
        <v>0</v>
      </c>
      <c r="H334" s="11">
        <f t="shared" si="616"/>
        <v>0</v>
      </c>
      <c r="I334">
        <f t="shared" si="616"/>
        <v>0</v>
      </c>
      <c r="J334">
        <f t="shared" si="616"/>
        <v>0</v>
      </c>
      <c r="K334">
        <f t="shared" si="616"/>
        <v>0</v>
      </c>
      <c r="L334" s="2">
        <f t="shared" si="616"/>
        <v>0</v>
      </c>
      <c r="M334" s="28">
        <f t="shared" si="616"/>
        <v>0</v>
      </c>
      <c r="N334" s="19">
        <f t="shared" si="616"/>
        <v>0</v>
      </c>
      <c r="O334">
        <f t="shared" si="616"/>
        <v>0</v>
      </c>
      <c r="P334" s="2">
        <f>P150</f>
        <v>0</v>
      </c>
      <c r="Q334" s="64" t="str">
        <f t="shared" si="612"/>
        <v>p6</v>
      </c>
      <c r="R334" s="66">
        <f t="shared" si="612"/>
        <v>0.51</v>
      </c>
      <c r="S334" s="17">
        <f t="shared" si="612"/>
        <v>0</v>
      </c>
      <c r="T334" s="11">
        <f t="shared" si="612"/>
        <v>0</v>
      </c>
      <c r="U334" s="13">
        <f>U150</f>
        <v>0</v>
      </c>
      <c r="V334" s="2" t="str">
        <f>V150</f>
        <v>p4b</v>
      </c>
      <c r="W334" s="61">
        <f>$W$150</f>
        <v>0.55998491824682028</v>
      </c>
      <c r="X334" s="447">
        <f t="shared" ref="X334:Y334" si="617">$W$150</f>
        <v>0.55998491824682028</v>
      </c>
      <c r="Y334" s="447">
        <f t="shared" si="617"/>
        <v>0.55998491824682028</v>
      </c>
      <c r="Z334">
        <f t="shared" si="589"/>
        <v>0</v>
      </c>
      <c r="AA334">
        <f t="shared" si="590"/>
        <v>0</v>
      </c>
      <c r="AD334">
        <f t="shared" ref="AD334:AH334" si="618">AD150</f>
        <v>0</v>
      </c>
      <c r="AE334">
        <f t="shared" si="618"/>
        <v>0</v>
      </c>
      <c r="AF334">
        <f t="shared" si="618"/>
        <v>0</v>
      </c>
      <c r="AG334">
        <f t="shared" si="618"/>
        <v>0</v>
      </c>
      <c r="AH334">
        <f t="shared" si="618"/>
        <v>0</v>
      </c>
      <c r="AJ334">
        <f t="shared" ref="AJ334:AR334" si="619">AJ150</f>
        <v>0</v>
      </c>
      <c r="AK334" s="11">
        <f t="shared" si="619"/>
        <v>0</v>
      </c>
      <c r="AL334">
        <f t="shared" si="619"/>
        <v>0</v>
      </c>
      <c r="AM334">
        <f t="shared" si="619"/>
        <v>0</v>
      </c>
      <c r="AN334">
        <f t="shared" si="619"/>
        <v>0</v>
      </c>
      <c r="AO334" s="2">
        <f t="shared" si="619"/>
        <v>0</v>
      </c>
      <c r="AP334" s="28">
        <f t="shared" si="619"/>
        <v>0</v>
      </c>
      <c r="AQ334" s="19">
        <f t="shared" si="619"/>
        <v>0</v>
      </c>
      <c r="AR334">
        <f t="shared" si="619"/>
        <v>0</v>
      </c>
      <c r="AS334" s="2">
        <f>AS150</f>
        <v>0</v>
      </c>
      <c r="AT334" s="64" t="str">
        <f t="shared" ref="AT334:AW334" si="620">AT150</f>
        <v>p6</v>
      </c>
      <c r="AU334" s="66">
        <f t="shared" si="620"/>
        <v>0.51</v>
      </c>
      <c r="AV334" s="17">
        <f t="shared" si="620"/>
        <v>0</v>
      </c>
      <c r="AW334" s="11">
        <f t="shared" si="620"/>
        <v>0</v>
      </c>
      <c r="AX334" s="13">
        <f>AX150</f>
        <v>0</v>
      </c>
      <c r="AY334" s="2" t="str">
        <f>AY150</f>
        <v>p4b</v>
      </c>
      <c r="AZ334" s="61">
        <f>AZ247</f>
        <v>0.30439064631456758</v>
      </c>
      <c r="BA334" s="447">
        <f>AZ334</f>
        <v>0.30439064631456758</v>
      </c>
      <c r="BB334" s="447">
        <f>AZ334</f>
        <v>0.30439064631456758</v>
      </c>
      <c r="BC334">
        <f t="shared" si="592"/>
        <v>0</v>
      </c>
      <c r="BD334">
        <f t="shared" si="593"/>
        <v>0</v>
      </c>
    </row>
    <row r="335" spans="1:56" x14ac:dyDescent="0.3">
      <c r="A335">
        <f t="shared" ref="A335:Y335" si="621">A151</f>
        <v>0</v>
      </c>
      <c r="B335">
        <f t="shared" si="621"/>
        <v>0</v>
      </c>
      <c r="C335">
        <f t="shared" si="621"/>
        <v>0</v>
      </c>
      <c r="D335">
        <f t="shared" si="621"/>
        <v>0</v>
      </c>
      <c r="E335">
        <f t="shared" si="621"/>
        <v>0</v>
      </c>
      <c r="F335" s="28">
        <f t="shared" si="621"/>
        <v>0</v>
      </c>
      <c r="G335">
        <f t="shared" si="621"/>
        <v>0</v>
      </c>
      <c r="H335" s="11">
        <f t="shared" si="621"/>
        <v>0</v>
      </c>
      <c r="I335">
        <f t="shared" si="621"/>
        <v>0</v>
      </c>
      <c r="J335">
        <f t="shared" si="621"/>
        <v>0</v>
      </c>
      <c r="K335">
        <f t="shared" si="621"/>
        <v>0</v>
      </c>
      <c r="L335" s="2">
        <f t="shared" si="621"/>
        <v>0</v>
      </c>
      <c r="M335" s="28">
        <f t="shared" si="621"/>
        <v>0</v>
      </c>
      <c r="N335">
        <f t="shared" si="621"/>
        <v>0</v>
      </c>
      <c r="O335">
        <f t="shared" si="621"/>
        <v>0</v>
      </c>
      <c r="P335" s="2">
        <f t="shared" si="621"/>
        <v>0</v>
      </c>
      <c r="Q335" s="94">
        <f t="shared" si="621"/>
        <v>0</v>
      </c>
      <c r="R335">
        <f t="shared" si="621"/>
        <v>0</v>
      </c>
      <c r="S335">
        <f t="shared" si="621"/>
        <v>0</v>
      </c>
      <c r="T335" s="11">
        <f t="shared" si="621"/>
        <v>0</v>
      </c>
      <c r="U335" s="13">
        <f t="shared" si="621"/>
        <v>0</v>
      </c>
      <c r="V335" s="2">
        <f t="shared" si="621"/>
        <v>0</v>
      </c>
      <c r="W335">
        <f t="shared" si="621"/>
        <v>0</v>
      </c>
      <c r="X335" s="76">
        <f t="shared" si="621"/>
        <v>0</v>
      </c>
      <c r="Y335" s="76">
        <f t="shared" si="621"/>
        <v>0</v>
      </c>
      <c r="Z335">
        <f t="shared" si="589"/>
        <v>0</v>
      </c>
      <c r="AA335">
        <f t="shared" si="590"/>
        <v>0</v>
      </c>
      <c r="AD335">
        <f t="shared" ref="AD335:BB335" si="622">AD151</f>
        <v>0</v>
      </c>
      <c r="AE335">
        <f t="shared" si="622"/>
        <v>0</v>
      </c>
      <c r="AF335">
        <f t="shared" si="622"/>
        <v>0</v>
      </c>
      <c r="AG335">
        <f t="shared" si="622"/>
        <v>0</v>
      </c>
      <c r="AH335">
        <f t="shared" si="622"/>
        <v>0</v>
      </c>
      <c r="AI335" s="28">
        <f t="shared" si="622"/>
        <v>0</v>
      </c>
      <c r="AJ335">
        <f t="shared" si="622"/>
        <v>0</v>
      </c>
      <c r="AK335" s="11">
        <f t="shared" si="622"/>
        <v>0</v>
      </c>
      <c r="AL335">
        <f t="shared" si="622"/>
        <v>0</v>
      </c>
      <c r="AM335">
        <f t="shared" si="622"/>
        <v>0</v>
      </c>
      <c r="AN335">
        <f t="shared" si="622"/>
        <v>0</v>
      </c>
      <c r="AO335" s="2">
        <f t="shared" si="622"/>
        <v>0</v>
      </c>
      <c r="AP335" s="28">
        <f t="shared" si="622"/>
        <v>0</v>
      </c>
      <c r="AQ335">
        <f t="shared" si="622"/>
        <v>0</v>
      </c>
      <c r="AR335">
        <f t="shared" si="622"/>
        <v>0</v>
      </c>
      <c r="AS335" s="2">
        <f t="shared" si="622"/>
        <v>0</v>
      </c>
      <c r="AT335" s="94">
        <f t="shared" si="622"/>
        <v>0</v>
      </c>
      <c r="AU335">
        <f t="shared" si="622"/>
        <v>0</v>
      </c>
      <c r="AV335">
        <f t="shared" si="622"/>
        <v>0</v>
      </c>
      <c r="AW335" s="11">
        <f t="shared" si="622"/>
        <v>0</v>
      </c>
      <c r="AX335" s="13">
        <f t="shared" si="622"/>
        <v>0</v>
      </c>
      <c r="AY335" s="2">
        <f t="shared" si="622"/>
        <v>0</v>
      </c>
      <c r="AZ335">
        <f t="shared" si="622"/>
        <v>0</v>
      </c>
      <c r="BA335" s="76">
        <f t="shared" si="622"/>
        <v>0</v>
      </c>
      <c r="BB335" s="76">
        <f t="shared" si="622"/>
        <v>0</v>
      </c>
      <c r="BC335">
        <f t="shared" si="592"/>
        <v>0</v>
      </c>
      <c r="BD335">
        <f t="shared" si="593"/>
        <v>0</v>
      </c>
    </row>
    <row r="336" spans="1:56" x14ac:dyDescent="0.3">
      <c r="A336">
        <f t="shared" ref="A336:W336" si="623">A152</f>
        <v>0</v>
      </c>
      <c r="B336">
        <f t="shared" si="623"/>
        <v>0</v>
      </c>
      <c r="C336" s="53">
        <f t="shared" si="623"/>
        <v>0</v>
      </c>
      <c r="D336">
        <f t="shared" si="623"/>
        <v>0</v>
      </c>
      <c r="E336">
        <f t="shared" si="623"/>
        <v>0</v>
      </c>
      <c r="F336">
        <f t="shared" si="623"/>
        <v>0</v>
      </c>
      <c r="G336">
        <f t="shared" si="623"/>
        <v>0</v>
      </c>
      <c r="H336" s="11">
        <f t="shared" si="623"/>
        <v>0</v>
      </c>
      <c r="I336">
        <f t="shared" si="623"/>
        <v>0</v>
      </c>
      <c r="J336">
        <f t="shared" si="623"/>
        <v>0</v>
      </c>
      <c r="K336">
        <f t="shared" si="623"/>
        <v>0</v>
      </c>
      <c r="L336">
        <f t="shared" si="623"/>
        <v>0</v>
      </c>
      <c r="N336" s="2" t="s">
        <v>263</v>
      </c>
      <c r="O336" s="28">
        <f>L341*O340</f>
        <v>7983.1818411812328</v>
      </c>
      <c r="P336">
        <f t="shared" si="623"/>
        <v>0</v>
      </c>
      <c r="Q336" s="11">
        <f t="shared" si="623"/>
        <v>0</v>
      </c>
      <c r="R336" s="13">
        <f t="shared" si="623"/>
        <v>0</v>
      </c>
      <c r="S336">
        <f t="shared" si="623"/>
        <v>0</v>
      </c>
      <c r="T336" s="18"/>
      <c r="U336" s="438"/>
      <c r="V336" s="12" t="str">
        <f t="shared" si="623"/>
        <v>Hospitalizations prevented</v>
      </c>
      <c r="W336" s="30">
        <f t="shared" si="623"/>
        <v>274.36863264758182</v>
      </c>
      <c r="X336" s="446">
        <f>$L$341*$R$334*X337</f>
        <v>305.54688635753433</v>
      </c>
      <c r="Y336" s="446">
        <f>$L$342*$R$334*Y337</f>
        <v>243.19037893762933</v>
      </c>
      <c r="Z336">
        <f t="shared" si="589"/>
        <v>0</v>
      </c>
      <c r="AA336">
        <f t="shared" si="590"/>
        <v>0</v>
      </c>
      <c r="AD336">
        <f t="shared" ref="AD336:AO336" si="624">AD152</f>
        <v>0</v>
      </c>
      <c r="AE336">
        <f t="shared" si="624"/>
        <v>0</v>
      </c>
      <c r="AF336" s="53">
        <f t="shared" si="624"/>
        <v>0</v>
      </c>
      <c r="AG336">
        <f t="shared" si="624"/>
        <v>0</v>
      </c>
      <c r="AH336">
        <f t="shared" si="624"/>
        <v>0</v>
      </c>
      <c r="AI336">
        <f t="shared" si="624"/>
        <v>0</v>
      </c>
      <c r="AJ336">
        <f t="shared" si="624"/>
        <v>0</v>
      </c>
      <c r="AK336" s="11">
        <f t="shared" si="624"/>
        <v>0</v>
      </c>
      <c r="AL336">
        <f t="shared" si="624"/>
        <v>0</v>
      </c>
      <c r="AM336">
        <f t="shared" si="624"/>
        <v>0</v>
      </c>
      <c r="AN336">
        <f t="shared" si="624"/>
        <v>0</v>
      </c>
      <c r="AO336">
        <f t="shared" si="624"/>
        <v>0</v>
      </c>
      <c r="AQ336" s="2" t="s">
        <v>263</v>
      </c>
      <c r="AR336" s="28">
        <f>AO341*AR340</f>
        <v>7983.1818411812328</v>
      </c>
      <c r="AS336">
        <f t="shared" ref="AS336:AV336" si="625">AS152</f>
        <v>0</v>
      </c>
      <c r="AT336" s="11">
        <f t="shared" si="625"/>
        <v>0</v>
      </c>
      <c r="AU336" s="13">
        <f t="shared" si="625"/>
        <v>0</v>
      </c>
      <c r="AV336">
        <f t="shared" si="625"/>
        <v>0</v>
      </c>
      <c r="AW336" s="18"/>
      <c r="AX336" s="500"/>
      <c r="AY336" s="12" t="str">
        <f t="shared" ref="AY336:AZ336" si="626">AY152</f>
        <v>Hospitalizations prevented</v>
      </c>
      <c r="AZ336" s="30">
        <f t="shared" si="626"/>
        <v>69.218705606373959</v>
      </c>
      <c r="BA336" s="446">
        <f>$AO$341*$AU$334*BA337</f>
        <v>77.08446760709829</v>
      </c>
      <c r="BB336" s="446">
        <f>$AO$342*$AU$334*BB337</f>
        <v>61.352943605649649</v>
      </c>
      <c r="BC336">
        <f t="shared" si="592"/>
        <v>0</v>
      </c>
      <c r="BD336">
        <f t="shared" si="593"/>
        <v>0</v>
      </c>
    </row>
    <row r="337" spans="1:56" x14ac:dyDescent="0.3">
      <c r="A337">
        <f t="shared" ref="A337:V337" si="627">A153</f>
        <v>0</v>
      </c>
      <c r="B337">
        <f t="shared" si="627"/>
        <v>0</v>
      </c>
      <c r="C337" s="22">
        <f t="shared" si="627"/>
        <v>0</v>
      </c>
      <c r="D337">
        <f t="shared" si="627"/>
        <v>0</v>
      </c>
      <c r="E337">
        <f t="shared" si="627"/>
        <v>0</v>
      </c>
      <c r="F337">
        <f t="shared" si="627"/>
        <v>0</v>
      </c>
      <c r="G337">
        <f t="shared" si="627"/>
        <v>0</v>
      </c>
      <c r="H337" s="11">
        <f t="shared" si="627"/>
        <v>0</v>
      </c>
      <c r="I337">
        <f t="shared" si="627"/>
        <v>0</v>
      </c>
      <c r="J337">
        <f t="shared" si="627"/>
        <v>0</v>
      </c>
      <c r="K337">
        <f t="shared" si="627"/>
        <v>0</v>
      </c>
      <c r="L337">
        <f t="shared" si="627"/>
        <v>0</v>
      </c>
      <c r="N337" s="2" t="s">
        <v>264</v>
      </c>
      <c r="O337" s="28">
        <f>L342*O341</f>
        <v>6353.9610572666943</v>
      </c>
      <c r="P337">
        <f t="shared" si="627"/>
        <v>0</v>
      </c>
      <c r="Q337" s="11">
        <f t="shared" si="627"/>
        <v>0</v>
      </c>
      <c r="R337">
        <f t="shared" si="627"/>
        <v>0</v>
      </c>
      <c r="S337">
        <f t="shared" si="627"/>
        <v>0</v>
      </c>
      <c r="T337">
        <f t="shared" si="627"/>
        <v>0</v>
      </c>
      <c r="U337">
        <f t="shared" si="627"/>
        <v>0</v>
      </c>
      <c r="V337" s="2" t="str">
        <f t="shared" si="627"/>
        <v>p4c</v>
      </c>
      <c r="W337" s="61">
        <f>$W$153</f>
        <v>0.16641351979207206</v>
      </c>
      <c r="X337" s="447">
        <f t="shared" ref="X337:Y337" si="628">$W$153</f>
        <v>0.16641351979207206</v>
      </c>
      <c r="Y337" s="447">
        <f t="shared" si="628"/>
        <v>0.16641351979207206</v>
      </c>
      <c r="Z337">
        <f t="shared" si="589"/>
        <v>0</v>
      </c>
      <c r="AA337">
        <f t="shared" si="590"/>
        <v>0</v>
      </c>
      <c r="AD337">
        <f t="shared" ref="AD337:AO337" si="629">AD153</f>
        <v>0</v>
      </c>
      <c r="AE337">
        <f t="shared" si="629"/>
        <v>0</v>
      </c>
      <c r="AF337" s="22">
        <f t="shared" si="629"/>
        <v>0</v>
      </c>
      <c r="AG337">
        <f t="shared" si="629"/>
        <v>0</v>
      </c>
      <c r="AH337">
        <f t="shared" si="629"/>
        <v>0</v>
      </c>
      <c r="AI337">
        <f t="shared" si="629"/>
        <v>0</v>
      </c>
      <c r="AJ337">
        <f t="shared" si="629"/>
        <v>0</v>
      </c>
      <c r="AK337" s="11">
        <f t="shared" si="629"/>
        <v>0</v>
      </c>
      <c r="AL337">
        <f t="shared" si="629"/>
        <v>0</v>
      </c>
      <c r="AM337">
        <f t="shared" si="629"/>
        <v>0</v>
      </c>
      <c r="AN337">
        <f t="shared" si="629"/>
        <v>0</v>
      </c>
      <c r="AO337">
        <f t="shared" si="629"/>
        <v>0</v>
      </c>
      <c r="AQ337" s="2" t="s">
        <v>264</v>
      </c>
      <c r="AR337" s="28">
        <f>AO342*AR341</f>
        <v>6353.9610572666943</v>
      </c>
      <c r="AS337">
        <f t="shared" ref="AS337:AY337" si="630">AS153</f>
        <v>0</v>
      </c>
      <c r="AT337" s="11">
        <f t="shared" si="630"/>
        <v>0</v>
      </c>
      <c r="AU337">
        <f t="shared" si="630"/>
        <v>0</v>
      </c>
      <c r="AV337">
        <f t="shared" si="630"/>
        <v>0</v>
      </c>
      <c r="AW337">
        <f t="shared" si="630"/>
        <v>0</v>
      </c>
      <c r="AX337">
        <f t="shared" si="630"/>
        <v>0</v>
      </c>
      <c r="AY337" s="2" t="str">
        <f t="shared" si="630"/>
        <v>p4c</v>
      </c>
      <c r="AZ337" s="61">
        <f>AZ250</f>
        <v>4.1983401397796216E-2</v>
      </c>
      <c r="BA337" s="447">
        <f>AZ337</f>
        <v>4.1983401397796216E-2</v>
      </c>
      <c r="BB337" s="447">
        <f>AZ337</f>
        <v>4.1983401397796216E-2</v>
      </c>
      <c r="BC337">
        <f t="shared" si="592"/>
        <v>0</v>
      </c>
      <c r="BD337">
        <f t="shared" si="593"/>
        <v>0</v>
      </c>
    </row>
    <row r="338" spans="1:56" x14ac:dyDescent="0.3">
      <c r="A338">
        <f t="shared" ref="A338:W338" si="631">A154</f>
        <v>0</v>
      </c>
      <c r="B338">
        <f t="shared" si="631"/>
        <v>0</v>
      </c>
      <c r="C338">
        <f t="shared" si="631"/>
        <v>0</v>
      </c>
      <c r="D338">
        <f t="shared" si="631"/>
        <v>0</v>
      </c>
      <c r="E338">
        <f t="shared" si="631"/>
        <v>0</v>
      </c>
      <c r="F338">
        <f t="shared" si="631"/>
        <v>0</v>
      </c>
      <c r="G338">
        <f t="shared" si="631"/>
        <v>0</v>
      </c>
      <c r="H338" s="11">
        <f t="shared" si="631"/>
        <v>0</v>
      </c>
      <c r="N338" s="2" t="str">
        <f t="shared" si="631"/>
        <v>Expected healthcare visits had palivizumab not been obtained</v>
      </c>
      <c r="O338" s="33">
        <f t="shared" si="631"/>
        <v>7168.5714492239631</v>
      </c>
      <c r="P338">
        <f t="shared" si="631"/>
        <v>0</v>
      </c>
      <c r="Q338" s="11">
        <f t="shared" si="631"/>
        <v>0</v>
      </c>
      <c r="R338">
        <f t="shared" si="631"/>
        <v>0</v>
      </c>
      <c r="S338">
        <f t="shared" si="631"/>
        <v>0</v>
      </c>
      <c r="T338">
        <f t="shared" si="631"/>
        <v>0</v>
      </c>
      <c r="U338">
        <f t="shared" si="631"/>
        <v>0</v>
      </c>
      <c r="V338">
        <f t="shared" si="631"/>
        <v>0</v>
      </c>
      <c r="W338" s="13">
        <f t="shared" si="631"/>
        <v>0</v>
      </c>
      <c r="X338" s="1118" t="s">
        <v>181</v>
      </c>
      <c r="Y338" s="1118"/>
      <c r="Z338">
        <f t="shared" si="589"/>
        <v>0</v>
      </c>
      <c r="AA338">
        <f t="shared" si="590"/>
        <v>0</v>
      </c>
      <c r="AD338">
        <f t="shared" ref="AD338:AK338" si="632">AD154</f>
        <v>0</v>
      </c>
      <c r="AE338">
        <f t="shared" si="632"/>
        <v>0</v>
      </c>
      <c r="AF338">
        <f t="shared" si="632"/>
        <v>0</v>
      </c>
      <c r="AG338">
        <f t="shared" si="632"/>
        <v>0</v>
      </c>
      <c r="AH338">
        <f t="shared" si="632"/>
        <v>0</v>
      </c>
      <c r="AI338">
        <f t="shared" si="632"/>
        <v>0</v>
      </c>
      <c r="AJ338">
        <f t="shared" si="632"/>
        <v>0</v>
      </c>
      <c r="AK338" s="11">
        <f t="shared" si="632"/>
        <v>0</v>
      </c>
      <c r="AQ338" s="2" t="str">
        <f t="shared" ref="AQ338:AZ338" si="633">AQ154</f>
        <v>Expected healthcare visits had palivizumab not been obtained</v>
      </c>
      <c r="AR338" s="33">
        <f t="shared" si="633"/>
        <v>3595.5497280740992</v>
      </c>
      <c r="AS338">
        <f t="shared" si="633"/>
        <v>0</v>
      </c>
      <c r="AT338" s="11">
        <f t="shared" si="633"/>
        <v>0</v>
      </c>
      <c r="AU338">
        <f t="shared" si="633"/>
        <v>0</v>
      </c>
      <c r="AV338">
        <f t="shared" si="633"/>
        <v>0</v>
      </c>
      <c r="AW338">
        <f t="shared" si="633"/>
        <v>0</v>
      </c>
      <c r="AX338">
        <f t="shared" si="633"/>
        <v>0</v>
      </c>
      <c r="AY338">
        <f t="shared" si="633"/>
        <v>0</v>
      </c>
      <c r="AZ338" s="13">
        <f t="shared" si="633"/>
        <v>0</v>
      </c>
      <c r="BA338" s="1118" t="s">
        <v>181</v>
      </c>
      <c r="BB338" s="1118"/>
      <c r="BC338">
        <f t="shared" si="592"/>
        <v>0</v>
      </c>
      <c r="BD338">
        <f t="shared" si="593"/>
        <v>0</v>
      </c>
    </row>
    <row r="339" spans="1:56" x14ac:dyDescent="0.3">
      <c r="A339">
        <f t="shared" ref="A339:Y339" si="634">A155</f>
        <v>0</v>
      </c>
      <c r="B339">
        <f t="shared" si="634"/>
        <v>0</v>
      </c>
      <c r="C339">
        <f t="shared" si="634"/>
        <v>0</v>
      </c>
      <c r="D339">
        <f t="shared" si="634"/>
        <v>0</v>
      </c>
      <c r="E339">
        <f t="shared" si="634"/>
        <v>0</v>
      </c>
      <c r="F339">
        <f t="shared" si="634"/>
        <v>0</v>
      </c>
      <c r="G339">
        <f t="shared" si="634"/>
        <v>0</v>
      </c>
      <c r="H339" s="11">
        <f t="shared" si="634"/>
        <v>0</v>
      </c>
      <c r="I339">
        <f t="shared" si="634"/>
        <v>0</v>
      </c>
      <c r="J339">
        <f t="shared" si="634"/>
        <v>0</v>
      </c>
      <c r="K339">
        <f t="shared" si="634"/>
        <v>0</v>
      </c>
      <c r="L339">
        <f t="shared" si="634"/>
        <v>0</v>
      </c>
      <c r="M339">
        <f t="shared" si="634"/>
        <v>0</v>
      </c>
      <c r="N339" s="16" t="str">
        <f t="shared" si="634"/>
        <v>sum p4a-c</v>
      </c>
      <c r="O339" s="68">
        <f>$O$155</f>
        <v>2.2174658581401898</v>
      </c>
      <c r="P339" s="17">
        <f t="shared" si="634"/>
        <v>0</v>
      </c>
      <c r="Q339" s="11">
        <f t="shared" si="634"/>
        <v>0</v>
      </c>
      <c r="R339" s="13">
        <f t="shared" si="634"/>
        <v>0</v>
      </c>
      <c r="S339" s="13">
        <f t="shared" si="634"/>
        <v>0</v>
      </c>
      <c r="T339">
        <f t="shared" si="634"/>
        <v>0</v>
      </c>
      <c r="U339">
        <f t="shared" si="634"/>
        <v>0</v>
      </c>
      <c r="V339">
        <f t="shared" si="634"/>
        <v>0</v>
      </c>
      <c r="W339" s="437" t="str">
        <f t="shared" si="634"/>
        <v>base</v>
      </c>
      <c r="X339" s="445" t="str">
        <f t="shared" si="634"/>
        <v>low</v>
      </c>
      <c r="Y339" s="445" t="str">
        <f t="shared" si="634"/>
        <v>high</v>
      </c>
      <c r="Z339">
        <f t="shared" si="589"/>
        <v>0</v>
      </c>
      <c r="AA339">
        <f t="shared" si="590"/>
        <v>0</v>
      </c>
      <c r="AD339">
        <f t="shared" ref="AD339:AQ339" si="635">AD155</f>
        <v>0</v>
      </c>
      <c r="AE339">
        <f t="shared" si="635"/>
        <v>0</v>
      </c>
      <c r="AF339">
        <f t="shared" si="635"/>
        <v>0</v>
      </c>
      <c r="AG339">
        <f t="shared" si="635"/>
        <v>0</v>
      </c>
      <c r="AH339">
        <f t="shared" si="635"/>
        <v>0</v>
      </c>
      <c r="AI339">
        <f t="shared" si="635"/>
        <v>0</v>
      </c>
      <c r="AJ339">
        <f t="shared" si="635"/>
        <v>0</v>
      </c>
      <c r="AK339" s="11">
        <f t="shared" si="635"/>
        <v>0</v>
      </c>
      <c r="AL339">
        <f t="shared" si="635"/>
        <v>0</v>
      </c>
      <c r="AM339">
        <f t="shared" si="635"/>
        <v>0</v>
      </c>
      <c r="AN339">
        <f t="shared" si="635"/>
        <v>0</v>
      </c>
      <c r="AO339">
        <f t="shared" si="635"/>
        <v>0</v>
      </c>
      <c r="AP339">
        <f t="shared" si="635"/>
        <v>0</v>
      </c>
      <c r="AQ339" s="16" t="str">
        <f t="shared" si="635"/>
        <v>sum p4a-c</v>
      </c>
      <c r="AR339" s="68">
        <f>$O$155</f>
        <v>2.2174658581401898</v>
      </c>
      <c r="AS339" s="17">
        <f t="shared" ref="AS339:BB339" si="636">AS155</f>
        <v>0</v>
      </c>
      <c r="AT339" s="11">
        <f t="shared" si="636"/>
        <v>0</v>
      </c>
      <c r="AU339" s="13">
        <f t="shared" si="636"/>
        <v>0</v>
      </c>
      <c r="AV339" s="13">
        <f t="shared" si="636"/>
        <v>0</v>
      </c>
      <c r="AW339">
        <f t="shared" si="636"/>
        <v>0</v>
      </c>
      <c r="AX339">
        <f t="shared" si="636"/>
        <v>0</v>
      </c>
      <c r="AY339">
        <f t="shared" si="636"/>
        <v>0</v>
      </c>
      <c r="AZ339" s="684" t="str">
        <f t="shared" si="636"/>
        <v>base</v>
      </c>
      <c r="BA339" s="445" t="str">
        <f t="shared" si="636"/>
        <v>low</v>
      </c>
      <c r="BB339" s="445" t="str">
        <f t="shared" si="636"/>
        <v>high</v>
      </c>
      <c r="BC339">
        <f t="shared" si="592"/>
        <v>0</v>
      </c>
      <c r="BD339">
        <f t="shared" si="593"/>
        <v>0</v>
      </c>
    </row>
    <row r="340" spans="1:56" x14ac:dyDescent="0.3">
      <c r="A340">
        <f t="shared" ref="A340:W340" si="637">A156</f>
        <v>0</v>
      </c>
      <c r="B340">
        <f t="shared" si="637"/>
        <v>0</v>
      </c>
      <c r="C340">
        <f t="shared" si="637"/>
        <v>0</v>
      </c>
      <c r="D340">
        <f t="shared" si="637"/>
        <v>0</v>
      </c>
      <c r="E340">
        <f t="shared" si="637"/>
        <v>0</v>
      </c>
      <c r="F340">
        <f t="shared" si="637"/>
        <v>0</v>
      </c>
      <c r="G340">
        <f t="shared" si="637"/>
        <v>0</v>
      </c>
      <c r="H340" s="11">
        <f t="shared" si="637"/>
        <v>0</v>
      </c>
      <c r="I340">
        <f t="shared" si="637"/>
        <v>0</v>
      </c>
      <c r="J340">
        <f t="shared" si="637"/>
        <v>0</v>
      </c>
      <c r="K340">
        <f t="shared" si="637"/>
        <v>0</v>
      </c>
      <c r="L340">
        <f t="shared" si="637"/>
        <v>0</v>
      </c>
      <c r="M340">
        <f t="shared" si="637"/>
        <v>0</v>
      </c>
      <c r="N340" s="59" t="str">
        <f t="shared" si="637"/>
        <v>low:</v>
      </c>
      <c r="O340" s="68">
        <f t="shared" ref="O340:O341" si="638">$O$155</f>
        <v>2.2174658581401898</v>
      </c>
      <c r="P340">
        <f t="shared" si="637"/>
        <v>0</v>
      </c>
      <c r="Q340" s="11">
        <f t="shared" si="637"/>
        <v>0</v>
      </c>
      <c r="R340" s="13">
        <f t="shared" si="637"/>
        <v>0</v>
      </c>
      <c r="S340">
        <f t="shared" si="637"/>
        <v>0</v>
      </c>
      <c r="T340">
        <f t="shared" si="637"/>
        <v>0</v>
      </c>
      <c r="V340" s="2" t="str">
        <f t="shared" si="637"/>
        <v>Outpatient</v>
      </c>
      <c r="W340" s="33">
        <f t="shared" si="637"/>
        <v>3749.1707272892941</v>
      </c>
      <c r="X340" s="446">
        <f>($L$341*$R$343*X341)+($L$341*X342)</f>
        <v>4175.2128553903503</v>
      </c>
      <c r="Y340" s="446">
        <f>($L$342*$R$343*Y341)+($L$342*Y342)</f>
        <v>3323.1285991882382</v>
      </c>
      <c r="Z340">
        <f t="shared" si="589"/>
        <v>0</v>
      </c>
      <c r="AA340">
        <f t="shared" si="590"/>
        <v>0</v>
      </c>
      <c r="AD340">
        <f t="shared" ref="AD340:AQ340" si="639">AD156</f>
        <v>0</v>
      </c>
      <c r="AE340">
        <f t="shared" si="639"/>
        <v>0</v>
      </c>
      <c r="AF340">
        <f t="shared" si="639"/>
        <v>0</v>
      </c>
      <c r="AG340">
        <f t="shared" si="639"/>
        <v>0</v>
      </c>
      <c r="AH340">
        <f t="shared" si="639"/>
        <v>0</v>
      </c>
      <c r="AI340">
        <f t="shared" si="639"/>
        <v>0</v>
      </c>
      <c r="AJ340">
        <f t="shared" si="639"/>
        <v>0</v>
      </c>
      <c r="AK340" s="11">
        <f t="shared" si="639"/>
        <v>0</v>
      </c>
      <c r="AL340">
        <f t="shared" si="639"/>
        <v>0</v>
      </c>
      <c r="AM340">
        <f t="shared" si="639"/>
        <v>0</v>
      </c>
      <c r="AN340">
        <f t="shared" si="639"/>
        <v>0</v>
      </c>
      <c r="AO340">
        <f t="shared" si="639"/>
        <v>0</v>
      </c>
      <c r="AP340">
        <f t="shared" si="639"/>
        <v>0</v>
      </c>
      <c r="AQ340" s="59" t="str">
        <f t="shared" si="639"/>
        <v>low:</v>
      </c>
      <c r="AR340" s="68">
        <f t="shared" ref="AR340:AR341" si="640">$O$155</f>
        <v>2.2174658581401898</v>
      </c>
      <c r="AS340">
        <f t="shared" ref="AS340:AW340" si="641">AS156</f>
        <v>0</v>
      </c>
      <c r="AT340" s="11">
        <f t="shared" si="641"/>
        <v>0</v>
      </c>
      <c r="AU340" s="13">
        <f t="shared" si="641"/>
        <v>0</v>
      </c>
      <c r="AV340">
        <f t="shared" si="641"/>
        <v>0</v>
      </c>
      <c r="AW340">
        <f t="shared" si="641"/>
        <v>0</v>
      </c>
      <c r="AY340" s="2" t="str">
        <f t="shared" ref="AY340:AZ340" si="642">AY156</f>
        <v>Outpatient</v>
      </c>
      <c r="AZ340" s="33">
        <f t="shared" si="642"/>
        <v>1261.7163976223628</v>
      </c>
      <c r="BA340" s="446">
        <f>($AO$341*$AU$343*BA341)+($AO$341*BA342)</f>
        <v>1405.0932609885406</v>
      </c>
      <c r="BB340" s="446">
        <f>($AO$342*$AU$343*BB341)+($AO$342*BB342)</f>
        <v>1118.3395342561853</v>
      </c>
      <c r="BC340">
        <f t="shared" si="592"/>
        <v>0</v>
      </c>
      <c r="BD340">
        <f t="shared" si="593"/>
        <v>0</v>
      </c>
    </row>
    <row r="341" spans="1:56" x14ac:dyDescent="0.3">
      <c r="A341">
        <f t="shared" ref="A341:V341" si="643">A157</f>
        <v>0</v>
      </c>
      <c r="B341">
        <f t="shared" si="643"/>
        <v>0</v>
      </c>
      <c r="C341">
        <f t="shared" si="643"/>
        <v>0</v>
      </c>
      <c r="D341">
        <f t="shared" si="643"/>
        <v>0</v>
      </c>
      <c r="E341">
        <f t="shared" si="643"/>
        <v>0</v>
      </c>
      <c r="F341">
        <f t="shared" si="643"/>
        <v>0</v>
      </c>
      <c r="G341">
        <f t="shared" si="643"/>
        <v>0</v>
      </c>
      <c r="H341" s="11">
        <f t="shared" si="643"/>
        <v>0</v>
      </c>
      <c r="I341">
        <f t="shared" si="643"/>
        <v>0</v>
      </c>
      <c r="J341">
        <f t="shared" si="643"/>
        <v>0</v>
      </c>
      <c r="K341" s="2" t="s">
        <v>263</v>
      </c>
      <c r="L341" s="28">
        <f>I351*$L$344</f>
        <v>3600.1374325000002</v>
      </c>
      <c r="M341">
        <f t="shared" si="643"/>
        <v>0</v>
      </c>
      <c r="N341" s="59" t="str">
        <f t="shared" si="643"/>
        <v>high:</v>
      </c>
      <c r="O341" s="68">
        <f t="shared" si="638"/>
        <v>2.2174658581401898</v>
      </c>
      <c r="P341">
        <f t="shared" si="643"/>
        <v>0</v>
      </c>
      <c r="Q341" s="11">
        <f t="shared" si="643"/>
        <v>0</v>
      </c>
      <c r="R341" s="13">
        <f t="shared" si="643"/>
        <v>0</v>
      </c>
      <c r="S341">
        <f t="shared" si="643"/>
        <v>0</v>
      </c>
      <c r="T341" s="16">
        <f t="shared" si="643"/>
        <v>0</v>
      </c>
      <c r="U341" s="17">
        <f t="shared" si="643"/>
        <v>0</v>
      </c>
      <c r="V341" s="15" t="str">
        <f t="shared" si="643"/>
        <v>p4c</v>
      </c>
      <c r="W341" s="61">
        <f>$W$157</f>
        <v>1.4910674201012974</v>
      </c>
      <c r="X341" s="447">
        <f t="shared" ref="X341:Y341" si="644">$W$157</f>
        <v>1.4910674201012974</v>
      </c>
      <c r="Y341" s="447">
        <f t="shared" si="644"/>
        <v>1.4910674201012974</v>
      </c>
      <c r="Z341">
        <f t="shared" si="589"/>
        <v>0</v>
      </c>
      <c r="AA341">
        <f t="shared" si="590"/>
        <v>0</v>
      </c>
      <c r="AD341">
        <f t="shared" ref="AD341:AM341" si="645">AD157</f>
        <v>0</v>
      </c>
      <c r="AE341">
        <f t="shared" si="645"/>
        <v>0</v>
      </c>
      <c r="AF341">
        <f t="shared" si="645"/>
        <v>0</v>
      </c>
      <c r="AG341">
        <f t="shared" si="645"/>
        <v>0</v>
      </c>
      <c r="AH341">
        <f t="shared" si="645"/>
        <v>0</v>
      </c>
      <c r="AI341">
        <f t="shared" si="645"/>
        <v>0</v>
      </c>
      <c r="AJ341">
        <f t="shared" si="645"/>
        <v>0</v>
      </c>
      <c r="AK341" s="11">
        <f t="shared" si="645"/>
        <v>0</v>
      </c>
      <c r="AL341">
        <f t="shared" si="645"/>
        <v>0</v>
      </c>
      <c r="AM341">
        <f t="shared" si="645"/>
        <v>0</v>
      </c>
      <c r="AN341" s="2" t="s">
        <v>263</v>
      </c>
      <c r="AO341" s="28">
        <f>AL351*$L$344</f>
        <v>3600.1374325000002</v>
      </c>
      <c r="AP341">
        <f t="shared" ref="AP341:AQ341" si="646">AP157</f>
        <v>0</v>
      </c>
      <c r="AQ341" s="59" t="str">
        <f t="shared" si="646"/>
        <v>high:</v>
      </c>
      <c r="AR341" s="68">
        <f t="shared" si="640"/>
        <v>2.2174658581401898</v>
      </c>
      <c r="AS341">
        <f t="shared" ref="AS341:AY341" si="647">AS157</f>
        <v>0</v>
      </c>
      <c r="AT341" s="11">
        <f t="shared" si="647"/>
        <v>0</v>
      </c>
      <c r="AU341" s="13">
        <f t="shared" si="647"/>
        <v>0</v>
      </c>
      <c r="AV341">
        <f t="shared" si="647"/>
        <v>0</v>
      </c>
      <c r="AW341" s="16">
        <f t="shared" si="647"/>
        <v>0</v>
      </c>
      <c r="AX341" s="17">
        <f t="shared" si="647"/>
        <v>0</v>
      </c>
      <c r="AY341" s="15" t="str">
        <f t="shared" si="647"/>
        <v>p4c</v>
      </c>
      <c r="AZ341" s="61">
        <f>AZ255</f>
        <v>0.76584319385710953</v>
      </c>
      <c r="BA341" s="447">
        <f>AZ341</f>
        <v>0.76584319385710953</v>
      </c>
      <c r="BB341" s="447">
        <f>AZ341</f>
        <v>0.76584319385710953</v>
      </c>
      <c r="BC341">
        <f t="shared" si="592"/>
        <v>0</v>
      </c>
      <c r="BD341">
        <f t="shared" si="593"/>
        <v>0</v>
      </c>
    </row>
    <row r="342" spans="1:56" x14ac:dyDescent="0.3">
      <c r="A342">
        <f t="shared" ref="A342:V342" si="648">A158</f>
        <v>0</v>
      </c>
      <c r="B342">
        <f t="shared" si="648"/>
        <v>0</v>
      </c>
      <c r="C342">
        <f t="shared" si="648"/>
        <v>0</v>
      </c>
      <c r="D342">
        <f t="shared" si="648"/>
        <v>0</v>
      </c>
      <c r="E342">
        <f t="shared" si="648"/>
        <v>0</v>
      </c>
      <c r="F342">
        <f t="shared" si="648"/>
        <v>0</v>
      </c>
      <c r="G342">
        <f t="shared" si="648"/>
        <v>0</v>
      </c>
      <c r="H342" s="11">
        <f t="shared" si="648"/>
        <v>0</v>
      </c>
      <c r="I342">
        <f t="shared" si="648"/>
        <v>0</v>
      </c>
      <c r="J342">
        <f t="shared" si="648"/>
        <v>0</v>
      </c>
      <c r="K342" s="2" t="s">
        <v>264</v>
      </c>
      <c r="L342" s="28">
        <f>I352*$L$344</f>
        <v>2865.4155074999999</v>
      </c>
      <c r="M342">
        <f t="shared" si="648"/>
        <v>0</v>
      </c>
      <c r="N342" s="11">
        <f t="shared" si="648"/>
        <v>0</v>
      </c>
      <c r="O342" s="13">
        <f t="shared" si="648"/>
        <v>0</v>
      </c>
      <c r="P342" s="13">
        <f t="shared" si="648"/>
        <v>0</v>
      </c>
      <c r="Q342" s="11">
        <f t="shared" si="648"/>
        <v>0</v>
      </c>
      <c r="R342" s="13">
        <f t="shared" si="648"/>
        <v>0</v>
      </c>
      <c r="S342">
        <f t="shared" si="648"/>
        <v>0</v>
      </c>
      <c r="T342" s="11">
        <f t="shared" si="648"/>
        <v>0</v>
      </c>
      <c r="U342" s="13">
        <f t="shared" si="648"/>
        <v>0</v>
      </c>
      <c r="V342" s="2">
        <f t="shared" si="648"/>
        <v>0</v>
      </c>
      <c r="W342" s="61">
        <f>$W$158</f>
        <v>0.42911403910169688</v>
      </c>
      <c r="X342" s="61">
        <f t="shared" ref="X342:Y342" si="649">$W$158</f>
        <v>0.42911403910169688</v>
      </c>
      <c r="Y342" s="61">
        <f t="shared" si="649"/>
        <v>0.42911403910169688</v>
      </c>
      <c r="Z342">
        <f t="shared" si="589"/>
        <v>0</v>
      </c>
      <c r="AA342">
        <f t="shared" si="590"/>
        <v>0</v>
      </c>
      <c r="AD342">
        <f t="shared" ref="AD342:AM342" si="650">AD158</f>
        <v>0</v>
      </c>
      <c r="AE342">
        <f t="shared" si="650"/>
        <v>0</v>
      </c>
      <c r="AF342">
        <f t="shared" si="650"/>
        <v>0</v>
      </c>
      <c r="AG342">
        <f t="shared" si="650"/>
        <v>0</v>
      </c>
      <c r="AH342">
        <f t="shared" si="650"/>
        <v>0</v>
      </c>
      <c r="AI342">
        <f t="shared" si="650"/>
        <v>0</v>
      </c>
      <c r="AJ342">
        <f t="shared" si="650"/>
        <v>0</v>
      </c>
      <c r="AK342" s="11">
        <f t="shared" si="650"/>
        <v>0</v>
      </c>
      <c r="AL342">
        <f t="shared" si="650"/>
        <v>0</v>
      </c>
      <c r="AM342">
        <f t="shared" si="650"/>
        <v>0</v>
      </c>
      <c r="AN342" s="2" t="s">
        <v>264</v>
      </c>
      <c r="AO342" s="28">
        <f>AL352*$L$344</f>
        <v>2865.4155074999999</v>
      </c>
      <c r="AP342">
        <f t="shared" ref="AP342:AY342" si="651">AP158</f>
        <v>0</v>
      </c>
      <c r="AQ342" s="11">
        <f t="shared" si="651"/>
        <v>0</v>
      </c>
      <c r="AR342" s="13">
        <f t="shared" si="651"/>
        <v>0</v>
      </c>
      <c r="AS342" s="13">
        <f t="shared" si="651"/>
        <v>0</v>
      </c>
      <c r="AT342" s="11">
        <f t="shared" si="651"/>
        <v>0</v>
      </c>
      <c r="AU342" s="13">
        <f t="shared" si="651"/>
        <v>0</v>
      </c>
      <c r="AV342">
        <f t="shared" si="651"/>
        <v>0</v>
      </c>
      <c r="AW342" s="11">
        <f t="shared" si="651"/>
        <v>0</v>
      </c>
      <c r="AX342" s="13">
        <f t="shared" si="651"/>
        <v>0</v>
      </c>
      <c r="AY342" s="2">
        <f t="shared" si="651"/>
        <v>0</v>
      </c>
      <c r="AZ342" s="61">
        <f>AZ256</f>
        <v>1.5025619072578801E-2</v>
      </c>
      <c r="BA342" s="61">
        <f>AZ342</f>
        <v>1.5025619072578801E-2</v>
      </c>
      <c r="BB342" s="61">
        <f>AZ342</f>
        <v>1.5025619072578801E-2</v>
      </c>
      <c r="BC342">
        <f t="shared" si="592"/>
        <v>0</v>
      </c>
      <c r="BD342">
        <f t="shared" si="593"/>
        <v>0</v>
      </c>
    </row>
    <row r="343" spans="1:56" x14ac:dyDescent="0.3">
      <c r="A343">
        <f t="shared" ref="A343:W343" si="652">A159</f>
        <v>0</v>
      </c>
      <c r="B343">
        <f t="shared" si="652"/>
        <v>0</v>
      </c>
      <c r="C343">
        <f t="shared" si="652"/>
        <v>0</v>
      </c>
      <c r="D343">
        <f t="shared" si="652"/>
        <v>0</v>
      </c>
      <c r="E343">
        <f t="shared" si="652"/>
        <v>0</v>
      </c>
      <c r="F343">
        <f t="shared" si="652"/>
        <v>0</v>
      </c>
      <c r="G343">
        <f t="shared" si="652"/>
        <v>0</v>
      </c>
      <c r="H343" s="11">
        <f t="shared" si="652"/>
        <v>0</v>
      </c>
      <c r="K343" s="12" t="str">
        <f t="shared" si="652"/>
        <v>obtain palivizumab product</v>
      </c>
      <c r="L343" s="30">
        <f t="shared" si="652"/>
        <v>3232.7764699999998</v>
      </c>
      <c r="M343" s="438">
        <f t="shared" si="652"/>
        <v>0</v>
      </c>
      <c r="N343" s="11">
        <f t="shared" si="652"/>
        <v>0</v>
      </c>
      <c r="O343" s="13">
        <f t="shared" si="652"/>
        <v>0</v>
      </c>
      <c r="P343">
        <f t="shared" si="652"/>
        <v>0</v>
      </c>
      <c r="Q343" s="65" t="str">
        <f t="shared" si="652"/>
        <v>1-p6</v>
      </c>
      <c r="R343" s="67">
        <f t="shared" si="652"/>
        <v>0.49</v>
      </c>
      <c r="S343" s="438">
        <f t="shared" si="652"/>
        <v>0</v>
      </c>
      <c r="T343" s="18">
        <f t="shared" si="652"/>
        <v>0</v>
      </c>
      <c r="U343" s="438">
        <f t="shared" si="652"/>
        <v>0</v>
      </c>
      <c r="V343" s="12" t="str">
        <f t="shared" si="652"/>
        <v>ED</v>
      </c>
      <c r="W343" s="33">
        <f t="shared" si="652"/>
        <v>1229.0606316655517</v>
      </c>
      <c r="X343" s="446">
        <f>($L$341*$R$343*X344)+($L$341*X345)</f>
        <v>1368.726612536637</v>
      </c>
      <c r="Y343" s="446">
        <f>($L$342*$R$343*Y344)+($L$342*Y345)</f>
        <v>1089.3946507944663</v>
      </c>
      <c r="Z343">
        <f t="shared" si="589"/>
        <v>0</v>
      </c>
      <c r="AA343">
        <f t="shared" si="590"/>
        <v>0</v>
      </c>
      <c r="AD343">
        <f t="shared" ref="AD343:AK343" si="653">AD159</f>
        <v>0</v>
      </c>
      <c r="AE343">
        <f t="shared" si="653"/>
        <v>0</v>
      </c>
      <c r="AF343">
        <f t="shared" si="653"/>
        <v>0</v>
      </c>
      <c r="AG343">
        <f t="shared" si="653"/>
        <v>0</v>
      </c>
      <c r="AH343">
        <f t="shared" si="653"/>
        <v>0</v>
      </c>
      <c r="AI343">
        <f t="shared" si="653"/>
        <v>0</v>
      </c>
      <c r="AJ343">
        <f t="shared" si="653"/>
        <v>0</v>
      </c>
      <c r="AK343" s="11">
        <f t="shared" si="653"/>
        <v>0</v>
      </c>
      <c r="AN343" s="12" t="str">
        <f t="shared" ref="AN343:AZ343" si="654">AN159</f>
        <v>obtain palivizumab product</v>
      </c>
      <c r="AO343" s="30">
        <f t="shared" si="654"/>
        <v>3232.7764699999998</v>
      </c>
      <c r="AP343" s="500">
        <f t="shared" si="654"/>
        <v>0</v>
      </c>
      <c r="AQ343" s="11">
        <f t="shared" si="654"/>
        <v>0</v>
      </c>
      <c r="AR343" s="13">
        <f t="shared" si="654"/>
        <v>0</v>
      </c>
      <c r="AS343">
        <f t="shared" si="654"/>
        <v>0</v>
      </c>
      <c r="AT343" s="65" t="str">
        <f t="shared" si="654"/>
        <v>1-p6</v>
      </c>
      <c r="AU343" s="67">
        <f t="shared" si="654"/>
        <v>0.49</v>
      </c>
      <c r="AV343" s="500">
        <f t="shared" si="654"/>
        <v>0</v>
      </c>
      <c r="AW343" s="18">
        <f t="shared" si="654"/>
        <v>0</v>
      </c>
      <c r="AX343" s="500">
        <f t="shared" si="654"/>
        <v>0</v>
      </c>
      <c r="AY343" s="12" t="str">
        <f t="shared" si="654"/>
        <v>ED</v>
      </c>
      <c r="AZ343" s="33">
        <f t="shared" si="654"/>
        <v>502.04021667967771</v>
      </c>
      <c r="BA343" s="446">
        <f>($AO$341*$AU$343*BA344)+($AO$341*BA345)</f>
        <v>559.09024130236833</v>
      </c>
      <c r="BB343" s="446">
        <f>($AO$342*$AU$343*BB344)+($AO$342*BB345)</f>
        <v>444.9901920569871</v>
      </c>
      <c r="BC343">
        <f t="shared" si="592"/>
        <v>0</v>
      </c>
      <c r="BD343">
        <f t="shared" si="593"/>
        <v>0</v>
      </c>
    </row>
    <row r="344" spans="1:56" x14ac:dyDescent="0.3">
      <c r="A344">
        <f t="shared" ref="A344:V344" si="655">A160</f>
        <v>0</v>
      </c>
      <c r="B344">
        <f t="shared" si="655"/>
        <v>0</v>
      </c>
      <c r="C344">
        <f t="shared" si="655"/>
        <v>0</v>
      </c>
      <c r="D344">
        <f t="shared" si="655"/>
        <v>0</v>
      </c>
      <c r="E344">
        <f t="shared" si="655"/>
        <v>0</v>
      </c>
      <c r="F344">
        <f t="shared" si="655"/>
        <v>0</v>
      </c>
      <c r="G344">
        <f t="shared" si="655"/>
        <v>0</v>
      </c>
      <c r="H344" s="11">
        <f t="shared" si="655"/>
        <v>0</v>
      </c>
      <c r="I344">
        <f t="shared" si="655"/>
        <v>0</v>
      </c>
      <c r="J344">
        <f t="shared" si="655"/>
        <v>0</v>
      </c>
      <c r="K344" s="59" t="str">
        <f t="shared" si="655"/>
        <v>p2</v>
      </c>
      <c r="L344" s="60">
        <f t="shared" si="655"/>
        <v>0.38</v>
      </c>
      <c r="N344" s="11"/>
      <c r="O344" s="13"/>
      <c r="Q344" s="2" t="str">
        <f t="shared" si="655"/>
        <v>MA attended for RSV due to Vaccine Failure &amp;</v>
      </c>
      <c r="R344" s="71">
        <f t="shared" si="655"/>
        <v>3512.6000101197419</v>
      </c>
      <c r="S344">
        <f t="shared" si="655"/>
        <v>0</v>
      </c>
      <c r="T344" s="11">
        <f t="shared" si="655"/>
        <v>0</v>
      </c>
      <c r="U344" s="13">
        <f t="shared" si="655"/>
        <v>0</v>
      </c>
      <c r="V344" s="2" t="str">
        <f t="shared" si="655"/>
        <v>p4b</v>
      </c>
      <c r="W344" s="61">
        <f>$W$160</f>
        <v>0.55998491824682028</v>
      </c>
      <c r="X344" s="447">
        <f t="shared" ref="X344:Y344" si="656">$W$160</f>
        <v>0.55998491824682028</v>
      </c>
      <c r="Y344" s="447">
        <f t="shared" si="656"/>
        <v>0.55998491824682028</v>
      </c>
      <c r="Z344">
        <f t="shared" si="589"/>
        <v>0</v>
      </c>
      <c r="AA344">
        <f t="shared" si="590"/>
        <v>0</v>
      </c>
      <c r="AD344">
        <f t="shared" ref="AD344:AO344" si="657">AD160</f>
        <v>0</v>
      </c>
      <c r="AE344">
        <f t="shared" si="657"/>
        <v>0</v>
      </c>
      <c r="AF344">
        <f t="shared" si="657"/>
        <v>0</v>
      </c>
      <c r="AG344">
        <f t="shared" si="657"/>
        <v>0</v>
      </c>
      <c r="AH344">
        <f t="shared" si="657"/>
        <v>0</v>
      </c>
      <c r="AI344">
        <f t="shared" si="657"/>
        <v>0</v>
      </c>
      <c r="AJ344">
        <f t="shared" si="657"/>
        <v>0</v>
      </c>
      <c r="AK344" s="11">
        <f t="shared" si="657"/>
        <v>0</v>
      </c>
      <c r="AL344">
        <f t="shared" si="657"/>
        <v>0</v>
      </c>
      <c r="AM344">
        <f t="shared" si="657"/>
        <v>0</v>
      </c>
      <c r="AN344" s="59" t="str">
        <f t="shared" si="657"/>
        <v>p2</v>
      </c>
      <c r="AO344" s="60">
        <f t="shared" si="657"/>
        <v>0.38</v>
      </c>
      <c r="AQ344" s="11"/>
      <c r="AR344" s="13"/>
      <c r="AT344" s="2" t="str">
        <f t="shared" ref="AT344:AY344" si="658">AT160</f>
        <v>MA attended for RSV due to Vaccine Failure &amp;</v>
      </c>
      <c r="AU344" s="71">
        <f t="shared" si="658"/>
        <v>1761.8193667563087</v>
      </c>
      <c r="AV344">
        <f t="shared" si="658"/>
        <v>0</v>
      </c>
      <c r="AW344" s="11">
        <f t="shared" si="658"/>
        <v>0</v>
      </c>
      <c r="AX344" s="13">
        <f t="shared" si="658"/>
        <v>0</v>
      </c>
      <c r="AY344" s="2" t="str">
        <f t="shared" si="658"/>
        <v>p4b</v>
      </c>
      <c r="AZ344" s="61">
        <f>AZ258</f>
        <v>0.30439064631456758</v>
      </c>
      <c r="BA344" s="447">
        <f>AZ344</f>
        <v>0.30439064631456758</v>
      </c>
      <c r="BB344" s="447">
        <f>AZ344</f>
        <v>0.30439064631456758</v>
      </c>
      <c r="BC344">
        <f t="shared" si="592"/>
        <v>0</v>
      </c>
      <c r="BD344">
        <f t="shared" si="593"/>
        <v>0</v>
      </c>
    </row>
    <row r="345" spans="1:56" x14ac:dyDescent="0.3">
      <c r="A345">
        <f t="shared" ref="A345:V345" si="659">A161</f>
        <v>0</v>
      </c>
      <c r="B345">
        <f t="shared" si="659"/>
        <v>0</v>
      </c>
      <c r="C345">
        <f t="shared" si="659"/>
        <v>0</v>
      </c>
      <c r="D345">
        <f t="shared" si="659"/>
        <v>0</v>
      </c>
      <c r="E345">
        <f t="shared" si="659"/>
        <v>0</v>
      </c>
      <c r="F345">
        <f t="shared" si="659"/>
        <v>0</v>
      </c>
      <c r="G345">
        <f t="shared" si="659"/>
        <v>0</v>
      </c>
      <c r="H345" s="11">
        <f t="shared" si="659"/>
        <v>0</v>
      </c>
      <c r="I345">
        <f t="shared" si="659"/>
        <v>0</v>
      </c>
      <c r="J345">
        <f t="shared" si="659"/>
        <v>0</v>
      </c>
      <c r="K345" s="11">
        <f t="shared" si="659"/>
        <v>0</v>
      </c>
      <c r="L345">
        <f t="shared" si="659"/>
        <v>0</v>
      </c>
      <c r="M345">
        <f t="shared" si="659"/>
        <v>0</v>
      </c>
      <c r="N345" s="11">
        <f t="shared" si="659"/>
        <v>0</v>
      </c>
      <c r="O345" s="13"/>
      <c r="Q345" s="2" t="str">
        <f t="shared" si="659"/>
        <v>post-immun. protection period</v>
      </c>
      <c r="R345" s="13">
        <f t="shared" si="659"/>
        <v>0</v>
      </c>
      <c r="S345">
        <f t="shared" si="659"/>
        <v>0</v>
      </c>
      <c r="T345" s="11">
        <f t="shared" si="659"/>
        <v>0</v>
      </c>
      <c r="U345" s="13">
        <f t="shared" si="659"/>
        <v>0</v>
      </c>
      <c r="V345" s="2">
        <f t="shared" si="659"/>
        <v>0</v>
      </c>
      <c r="W345" s="61">
        <f>$W$161</f>
        <v>0.10579471295971989</v>
      </c>
      <c r="X345" s="61">
        <f t="shared" ref="X345:Y345" si="660">$W$161</f>
        <v>0.10579471295971989</v>
      </c>
      <c r="Y345" s="61">
        <f t="shared" si="660"/>
        <v>0.10579471295971989</v>
      </c>
      <c r="Z345">
        <f t="shared" si="589"/>
        <v>0</v>
      </c>
      <c r="AA345">
        <f t="shared" si="590"/>
        <v>0</v>
      </c>
      <c r="AD345">
        <f t="shared" ref="AD345:AQ345" si="661">AD161</f>
        <v>0</v>
      </c>
      <c r="AE345">
        <f t="shared" si="661"/>
        <v>0</v>
      </c>
      <c r="AF345">
        <f t="shared" si="661"/>
        <v>0</v>
      </c>
      <c r="AG345">
        <f t="shared" si="661"/>
        <v>0</v>
      </c>
      <c r="AH345">
        <f t="shared" si="661"/>
        <v>0</v>
      </c>
      <c r="AI345">
        <f t="shared" si="661"/>
        <v>0</v>
      </c>
      <c r="AJ345">
        <f t="shared" si="661"/>
        <v>0</v>
      </c>
      <c r="AK345" s="11">
        <f t="shared" si="661"/>
        <v>0</v>
      </c>
      <c r="AL345">
        <f t="shared" si="661"/>
        <v>0</v>
      </c>
      <c r="AM345">
        <f t="shared" si="661"/>
        <v>0</v>
      </c>
      <c r="AN345" s="11">
        <f t="shared" si="661"/>
        <v>0</v>
      </c>
      <c r="AO345">
        <f t="shared" si="661"/>
        <v>0</v>
      </c>
      <c r="AP345">
        <f t="shared" si="661"/>
        <v>0</v>
      </c>
      <c r="AQ345" s="11">
        <f t="shared" si="661"/>
        <v>0</v>
      </c>
      <c r="AR345" s="13"/>
      <c r="AT345" s="2" t="str">
        <f t="shared" ref="AT345:AY345" si="662">AT161</f>
        <v>post-immun. protection period</v>
      </c>
      <c r="AU345" s="13">
        <f t="shared" si="662"/>
        <v>0</v>
      </c>
      <c r="AV345">
        <f t="shared" si="662"/>
        <v>0</v>
      </c>
      <c r="AW345" s="11">
        <f t="shared" si="662"/>
        <v>0</v>
      </c>
      <c r="AX345" s="13">
        <f t="shared" si="662"/>
        <v>0</v>
      </c>
      <c r="AY345" s="2">
        <f t="shared" si="662"/>
        <v>0</v>
      </c>
      <c r="AZ345" s="61">
        <f>AZ259</f>
        <v>6.1454995444528478E-3</v>
      </c>
      <c r="BA345" s="61">
        <f>AZ345</f>
        <v>6.1454995444528478E-3</v>
      </c>
      <c r="BB345" s="61">
        <f>AZ345</f>
        <v>6.1454995444528478E-3</v>
      </c>
      <c r="BC345">
        <f t="shared" si="592"/>
        <v>0</v>
      </c>
      <c r="BD345">
        <f t="shared" si="593"/>
        <v>0</v>
      </c>
    </row>
    <row r="346" spans="1:56" x14ac:dyDescent="0.3">
      <c r="A346">
        <f t="shared" ref="A346:W346" si="663">A162</f>
        <v>0</v>
      </c>
      <c r="B346">
        <f t="shared" si="663"/>
        <v>0</v>
      </c>
      <c r="C346">
        <f t="shared" si="663"/>
        <v>0</v>
      </c>
      <c r="D346">
        <f t="shared" si="663"/>
        <v>0</v>
      </c>
      <c r="E346">
        <f t="shared" si="663"/>
        <v>0</v>
      </c>
      <c r="F346">
        <f t="shared" si="663"/>
        <v>0</v>
      </c>
      <c r="G346">
        <f t="shared" si="663"/>
        <v>0</v>
      </c>
      <c r="H346" s="11">
        <f t="shared" si="663"/>
        <v>0</v>
      </c>
      <c r="I346">
        <f t="shared" si="663"/>
        <v>0</v>
      </c>
      <c r="J346">
        <f t="shared" si="663"/>
        <v>0</v>
      </c>
      <c r="K346" s="11">
        <f t="shared" si="663"/>
        <v>0</v>
      </c>
      <c r="L346">
        <f t="shared" si="663"/>
        <v>0</v>
      </c>
      <c r="M346">
        <f t="shared" si="663"/>
        <v>0</v>
      </c>
      <c r="N346" s="11">
        <f t="shared" si="663"/>
        <v>0</v>
      </c>
      <c r="O346">
        <f t="shared" si="663"/>
        <v>0</v>
      </c>
      <c r="P346">
        <f t="shared" si="663"/>
        <v>0</v>
      </c>
      <c r="Q346">
        <f t="shared" si="663"/>
        <v>0</v>
      </c>
      <c r="R346">
        <f t="shared" si="663"/>
        <v>0</v>
      </c>
      <c r="S346">
        <f t="shared" si="663"/>
        <v>0</v>
      </c>
      <c r="T346" s="18">
        <f t="shared" si="663"/>
        <v>0</v>
      </c>
      <c r="U346" s="438"/>
      <c r="V346" s="12" t="str">
        <f t="shared" si="663"/>
        <v>Hospitalized</v>
      </c>
      <c r="W346" s="30">
        <f t="shared" si="663"/>
        <v>299.03147915523982</v>
      </c>
      <c r="X346" s="446">
        <f>($L$341*$R$343*X347)+($L$341*X348)</f>
        <v>333.01232905924439</v>
      </c>
      <c r="Y346" s="446">
        <f>($L$342*$R$343*Y347)+($L$342*Y348)</f>
        <v>265.05062925123531</v>
      </c>
      <c r="Z346">
        <f t="shared" si="589"/>
        <v>0</v>
      </c>
      <c r="AA346">
        <f t="shared" si="590"/>
        <v>0</v>
      </c>
      <c r="AD346">
        <f t="shared" ref="AD346:AW346" si="664">AD162</f>
        <v>0</v>
      </c>
      <c r="AE346">
        <f t="shared" si="664"/>
        <v>0</v>
      </c>
      <c r="AF346">
        <f t="shared" si="664"/>
        <v>0</v>
      </c>
      <c r="AG346">
        <f t="shared" si="664"/>
        <v>0</v>
      </c>
      <c r="AH346">
        <f t="shared" si="664"/>
        <v>0</v>
      </c>
      <c r="AI346">
        <f t="shared" si="664"/>
        <v>0</v>
      </c>
      <c r="AJ346">
        <f t="shared" si="664"/>
        <v>0</v>
      </c>
      <c r="AK346" s="11">
        <f t="shared" si="664"/>
        <v>0</v>
      </c>
      <c r="AL346">
        <f t="shared" si="664"/>
        <v>0</v>
      </c>
      <c r="AM346">
        <f t="shared" si="664"/>
        <v>0</v>
      </c>
      <c r="AN346" s="11">
        <f t="shared" si="664"/>
        <v>0</v>
      </c>
      <c r="AO346">
        <f t="shared" si="664"/>
        <v>0</v>
      </c>
      <c r="AP346">
        <f t="shared" si="664"/>
        <v>0</v>
      </c>
      <c r="AQ346" s="11">
        <f t="shared" si="664"/>
        <v>0</v>
      </c>
      <c r="AR346">
        <f t="shared" si="664"/>
        <v>0</v>
      </c>
      <c r="AS346">
        <f t="shared" si="664"/>
        <v>0</v>
      </c>
      <c r="AT346">
        <f t="shared" si="664"/>
        <v>0</v>
      </c>
      <c r="AU346">
        <f t="shared" si="664"/>
        <v>0</v>
      </c>
      <c r="AV346">
        <f t="shared" si="664"/>
        <v>0</v>
      </c>
      <c r="AW346" s="18">
        <f t="shared" si="664"/>
        <v>0</v>
      </c>
      <c r="AX346" s="500"/>
      <c r="AY346" s="12" t="str">
        <f t="shared" ref="AY346:AZ346" si="665">AY162</f>
        <v>Hospitalized</v>
      </c>
      <c r="AZ346" s="30">
        <f t="shared" si="665"/>
        <v>69.097674235069277</v>
      </c>
      <c r="BA346" s="446">
        <f>($AO$341*$AU$343*BA347)+($AO$341*BA348)</f>
        <v>76.949682670872619</v>
      </c>
      <c r="BB346" s="446">
        <f>($AO$342*$AU$343*BB347)+($AO$342*BB348)</f>
        <v>61.24566579926595</v>
      </c>
      <c r="BC346">
        <f t="shared" si="592"/>
        <v>0</v>
      </c>
      <c r="BD346">
        <f t="shared" si="593"/>
        <v>0</v>
      </c>
    </row>
    <row r="347" spans="1:56" x14ac:dyDescent="0.3">
      <c r="A347">
        <f t="shared" ref="A347:V347" si="666">A163</f>
        <v>0</v>
      </c>
      <c r="B347">
        <f t="shared" si="666"/>
        <v>0</v>
      </c>
      <c r="C347">
        <f t="shared" si="666"/>
        <v>0</v>
      </c>
      <c r="D347">
        <f t="shared" si="666"/>
        <v>0</v>
      </c>
      <c r="E347">
        <f t="shared" si="666"/>
        <v>0</v>
      </c>
      <c r="F347">
        <f t="shared" si="666"/>
        <v>0</v>
      </c>
      <c r="G347">
        <f t="shared" si="666"/>
        <v>0</v>
      </c>
      <c r="H347" s="11">
        <f t="shared" si="666"/>
        <v>0</v>
      </c>
      <c r="I347">
        <f t="shared" si="666"/>
        <v>0</v>
      </c>
      <c r="J347">
        <f t="shared" si="666"/>
        <v>0</v>
      </c>
      <c r="K347" s="11">
        <f t="shared" si="666"/>
        <v>0</v>
      </c>
      <c r="L347">
        <f t="shared" si="666"/>
        <v>0</v>
      </c>
      <c r="M347">
        <f t="shared" si="666"/>
        <v>0</v>
      </c>
      <c r="N347" s="18">
        <f t="shared" si="666"/>
        <v>0</v>
      </c>
      <c r="O347" s="438">
        <f t="shared" si="666"/>
        <v>0</v>
      </c>
      <c r="P347" s="438">
        <f t="shared" si="666"/>
        <v>0</v>
      </c>
      <c r="Q347">
        <f t="shared" si="666"/>
        <v>0</v>
      </c>
      <c r="R347">
        <f t="shared" si="666"/>
        <v>0</v>
      </c>
      <c r="S347">
        <f t="shared" si="666"/>
        <v>0</v>
      </c>
      <c r="T347">
        <f t="shared" si="666"/>
        <v>0</v>
      </c>
      <c r="U347">
        <f t="shared" si="666"/>
        <v>0</v>
      </c>
      <c r="V347" s="2" t="str">
        <f t="shared" si="666"/>
        <v>p4c</v>
      </c>
      <c r="W347" s="61">
        <f>$W$163</f>
        <v>0.16641351979207206</v>
      </c>
      <c r="X347" s="447">
        <f t="shared" ref="X347:Y347" si="667">$W$163</f>
        <v>0.16641351979207206</v>
      </c>
      <c r="Y347" s="447">
        <f t="shared" si="667"/>
        <v>0.16641351979207206</v>
      </c>
      <c r="Z347">
        <f t="shared" si="589"/>
        <v>0</v>
      </c>
      <c r="AA347">
        <f t="shared" si="590"/>
        <v>0</v>
      </c>
      <c r="AD347">
        <f t="shared" ref="AD347:AY347" si="668">AD163</f>
        <v>0</v>
      </c>
      <c r="AE347">
        <f t="shared" si="668"/>
        <v>0</v>
      </c>
      <c r="AF347">
        <f t="shared" si="668"/>
        <v>0</v>
      </c>
      <c r="AG347">
        <f t="shared" si="668"/>
        <v>0</v>
      </c>
      <c r="AH347">
        <f t="shared" si="668"/>
        <v>0</v>
      </c>
      <c r="AI347">
        <f t="shared" si="668"/>
        <v>0</v>
      </c>
      <c r="AJ347">
        <f t="shared" si="668"/>
        <v>0</v>
      </c>
      <c r="AK347" s="11">
        <f t="shared" si="668"/>
        <v>0</v>
      </c>
      <c r="AL347">
        <f t="shared" si="668"/>
        <v>0</v>
      </c>
      <c r="AM347">
        <f t="shared" si="668"/>
        <v>0</v>
      </c>
      <c r="AN347" s="11">
        <f t="shared" si="668"/>
        <v>0</v>
      </c>
      <c r="AO347">
        <f t="shared" si="668"/>
        <v>0</v>
      </c>
      <c r="AP347">
        <f t="shared" si="668"/>
        <v>0</v>
      </c>
      <c r="AQ347" s="18">
        <f t="shared" si="668"/>
        <v>0</v>
      </c>
      <c r="AR347" s="500">
        <f t="shared" si="668"/>
        <v>0</v>
      </c>
      <c r="AS347" s="500">
        <f t="shared" si="668"/>
        <v>0</v>
      </c>
      <c r="AT347">
        <f t="shared" si="668"/>
        <v>0</v>
      </c>
      <c r="AU347">
        <f t="shared" si="668"/>
        <v>0</v>
      </c>
      <c r="AV347">
        <f t="shared" si="668"/>
        <v>0</v>
      </c>
      <c r="AW347">
        <f t="shared" si="668"/>
        <v>0</v>
      </c>
      <c r="AX347">
        <f t="shared" si="668"/>
        <v>0</v>
      </c>
      <c r="AY347" s="2" t="str">
        <f t="shared" si="668"/>
        <v>p4c</v>
      </c>
      <c r="AZ347" s="61">
        <f>AZ261</f>
        <v>4.1983401397796216E-2</v>
      </c>
      <c r="BA347" s="447">
        <f>AZ347</f>
        <v>4.1983401397796216E-2</v>
      </c>
      <c r="BB347" s="447">
        <f>AZ347</f>
        <v>4.1983401397796216E-2</v>
      </c>
      <c r="BC347">
        <f t="shared" si="592"/>
        <v>0</v>
      </c>
      <c r="BD347">
        <f t="shared" si="593"/>
        <v>0</v>
      </c>
    </row>
    <row r="348" spans="1:56" x14ac:dyDescent="0.3">
      <c r="A348">
        <f t="shared" ref="A348:V348" si="669">A164</f>
        <v>0</v>
      </c>
      <c r="B348">
        <f t="shared" si="669"/>
        <v>0</v>
      </c>
      <c r="C348">
        <f t="shared" si="669"/>
        <v>0</v>
      </c>
      <c r="D348">
        <f t="shared" si="669"/>
        <v>0</v>
      </c>
      <c r="E348">
        <f t="shared" si="669"/>
        <v>0</v>
      </c>
      <c r="F348">
        <f t="shared" si="669"/>
        <v>0</v>
      </c>
      <c r="G348">
        <f t="shared" si="669"/>
        <v>0</v>
      </c>
      <c r="H348" s="11">
        <f t="shared" si="669"/>
        <v>0</v>
      </c>
      <c r="I348">
        <f t="shared" si="669"/>
        <v>0</v>
      </c>
      <c r="J348">
        <f t="shared" si="669"/>
        <v>0</v>
      </c>
      <c r="K348" s="11">
        <f t="shared" si="669"/>
        <v>0</v>
      </c>
      <c r="L348">
        <f t="shared" si="669"/>
        <v>0</v>
      </c>
      <c r="N348" s="2" t="str">
        <f t="shared" si="669"/>
        <v>Not MA for RSV</v>
      </c>
      <c r="O348" s="63" t="str">
        <f t="shared" si="669"/>
        <v>unknown</v>
      </c>
      <c r="P348" s="13">
        <f t="shared" si="669"/>
        <v>0</v>
      </c>
      <c r="Q348">
        <f t="shared" si="669"/>
        <v>0</v>
      </c>
      <c r="R348">
        <f t="shared" si="669"/>
        <v>0</v>
      </c>
      <c r="S348">
        <f t="shared" si="669"/>
        <v>0</v>
      </c>
      <c r="T348">
        <f t="shared" si="669"/>
        <v>0</v>
      </c>
      <c r="U348">
        <f t="shared" si="669"/>
        <v>0</v>
      </c>
      <c r="V348">
        <f t="shared" si="669"/>
        <v>0</v>
      </c>
      <c r="W348" s="61">
        <f>$W$164</f>
        <v>1.095726879289363E-2</v>
      </c>
      <c r="X348" s="61">
        <f t="shared" ref="X348:Y348" si="670">$W$164</f>
        <v>1.095726879289363E-2</v>
      </c>
      <c r="Y348" s="61">
        <f t="shared" si="670"/>
        <v>1.095726879289363E-2</v>
      </c>
      <c r="Z348">
        <f t="shared" si="589"/>
        <v>0</v>
      </c>
      <c r="AA348">
        <f t="shared" si="590"/>
        <v>0</v>
      </c>
      <c r="AD348">
        <f t="shared" ref="AD348:AO348" si="671">AD164</f>
        <v>0</v>
      </c>
      <c r="AE348">
        <f t="shared" si="671"/>
        <v>0</v>
      </c>
      <c r="AF348">
        <f t="shared" si="671"/>
        <v>0</v>
      </c>
      <c r="AG348">
        <f t="shared" si="671"/>
        <v>0</v>
      </c>
      <c r="AH348">
        <f t="shared" si="671"/>
        <v>0</v>
      </c>
      <c r="AI348">
        <f t="shared" si="671"/>
        <v>0</v>
      </c>
      <c r="AJ348">
        <f t="shared" si="671"/>
        <v>0</v>
      </c>
      <c r="AK348" s="11">
        <f t="shared" si="671"/>
        <v>0</v>
      </c>
      <c r="AL348">
        <f t="shared" si="671"/>
        <v>0</v>
      </c>
      <c r="AM348">
        <f t="shared" si="671"/>
        <v>0</v>
      </c>
      <c r="AN348" s="11">
        <f t="shared" si="671"/>
        <v>0</v>
      </c>
      <c r="AO348">
        <f t="shared" si="671"/>
        <v>0</v>
      </c>
      <c r="AQ348" s="2" t="str">
        <f t="shared" ref="AQ348:AY348" si="672">AQ164</f>
        <v>Not MA for RSV</v>
      </c>
      <c r="AR348" s="63" t="str">
        <f t="shared" si="672"/>
        <v>unknown</v>
      </c>
      <c r="AS348" s="13">
        <f t="shared" si="672"/>
        <v>0</v>
      </c>
      <c r="AT348">
        <f t="shared" si="672"/>
        <v>0</v>
      </c>
      <c r="AU348">
        <f t="shared" si="672"/>
        <v>0</v>
      </c>
      <c r="AV348">
        <f t="shared" si="672"/>
        <v>0</v>
      </c>
      <c r="AW348">
        <f t="shared" si="672"/>
        <v>0</v>
      </c>
      <c r="AX348">
        <f t="shared" si="672"/>
        <v>0</v>
      </c>
      <c r="AY348">
        <f t="shared" si="672"/>
        <v>0</v>
      </c>
      <c r="AZ348" s="61">
        <f>AZ262</f>
        <v>8.0222919714660352E-4</v>
      </c>
      <c r="BA348" s="61">
        <f>AZ348</f>
        <v>8.0222919714660352E-4</v>
      </c>
      <c r="BB348" s="61">
        <f>AZ348</f>
        <v>8.0222919714660352E-4</v>
      </c>
      <c r="BC348">
        <f t="shared" si="592"/>
        <v>0</v>
      </c>
      <c r="BD348">
        <f t="shared" si="593"/>
        <v>0</v>
      </c>
    </row>
    <row r="349" spans="1:56" x14ac:dyDescent="0.3">
      <c r="A349">
        <f t="shared" ref="A349:Y349" si="673">A165</f>
        <v>0</v>
      </c>
      <c r="B349">
        <f t="shared" si="673"/>
        <v>0</v>
      </c>
      <c r="C349">
        <f t="shared" si="673"/>
        <v>0</v>
      </c>
      <c r="D349">
        <f t="shared" si="673"/>
        <v>0</v>
      </c>
      <c r="E349">
        <f t="shared" si="673"/>
        <v>0</v>
      </c>
      <c r="F349">
        <f t="shared" si="673"/>
        <v>0</v>
      </c>
      <c r="G349">
        <f t="shared" si="673"/>
        <v>0</v>
      </c>
      <c r="H349" s="59" t="str">
        <f t="shared" si="673"/>
        <v>p1</v>
      </c>
      <c r="I349" s="281">
        <f t="shared" si="673"/>
        <v>9.7999999999999997E-3</v>
      </c>
      <c r="J349" s="438">
        <f t="shared" si="673"/>
        <v>0</v>
      </c>
      <c r="K349" s="11">
        <f t="shared" si="673"/>
        <v>0</v>
      </c>
      <c r="L349">
        <f t="shared" si="673"/>
        <v>0</v>
      </c>
      <c r="M349">
        <f t="shared" si="673"/>
        <v>0</v>
      </c>
      <c r="N349">
        <f t="shared" si="673"/>
        <v>0</v>
      </c>
      <c r="O349">
        <f t="shared" si="673"/>
        <v>0</v>
      </c>
      <c r="P349">
        <f t="shared" si="673"/>
        <v>0</v>
      </c>
      <c r="Q349">
        <f t="shared" si="673"/>
        <v>0</v>
      </c>
      <c r="R349">
        <f t="shared" si="673"/>
        <v>0</v>
      </c>
      <c r="S349">
        <f t="shared" si="673"/>
        <v>0</v>
      </c>
      <c r="T349">
        <f t="shared" si="673"/>
        <v>0</v>
      </c>
      <c r="U349">
        <f t="shared" si="673"/>
        <v>0</v>
      </c>
      <c r="V349">
        <f t="shared" si="673"/>
        <v>0</v>
      </c>
      <c r="W349">
        <f t="shared" si="673"/>
        <v>0</v>
      </c>
      <c r="X349">
        <f t="shared" si="673"/>
        <v>0</v>
      </c>
      <c r="Y349">
        <f t="shared" si="673"/>
        <v>0</v>
      </c>
      <c r="Z349">
        <f t="shared" si="589"/>
        <v>0</v>
      </c>
      <c r="AA349">
        <f t="shared" si="590"/>
        <v>0</v>
      </c>
      <c r="AD349">
        <f t="shared" ref="AD349:BB349" si="674">AD165</f>
        <v>0</v>
      </c>
      <c r="AE349">
        <f t="shared" si="674"/>
        <v>0</v>
      </c>
      <c r="AF349">
        <f t="shared" si="674"/>
        <v>0</v>
      </c>
      <c r="AG349">
        <f t="shared" si="674"/>
        <v>0</v>
      </c>
      <c r="AH349">
        <f t="shared" si="674"/>
        <v>0</v>
      </c>
      <c r="AI349">
        <f t="shared" si="674"/>
        <v>0</v>
      </c>
      <c r="AJ349">
        <f t="shared" si="674"/>
        <v>0</v>
      </c>
      <c r="AK349" s="59" t="str">
        <f t="shared" si="674"/>
        <v>p1</v>
      </c>
      <c r="AL349" s="281">
        <f>I349</f>
        <v>9.7999999999999997E-3</v>
      </c>
      <c r="AM349" s="500">
        <f t="shared" si="674"/>
        <v>0</v>
      </c>
      <c r="AN349" s="11">
        <f t="shared" si="674"/>
        <v>0</v>
      </c>
      <c r="AO349">
        <f t="shared" si="674"/>
        <v>0</v>
      </c>
      <c r="AP349">
        <f t="shared" si="674"/>
        <v>0</v>
      </c>
      <c r="AQ349">
        <f t="shared" si="674"/>
        <v>0</v>
      </c>
      <c r="AR349">
        <f t="shared" si="674"/>
        <v>0</v>
      </c>
      <c r="AS349">
        <f t="shared" si="674"/>
        <v>0</v>
      </c>
      <c r="AT349">
        <f t="shared" si="674"/>
        <v>0</v>
      </c>
      <c r="AU349">
        <f t="shared" si="674"/>
        <v>0</v>
      </c>
      <c r="AV349">
        <f t="shared" si="674"/>
        <v>0</v>
      </c>
      <c r="AW349">
        <f t="shared" si="674"/>
        <v>0</v>
      </c>
      <c r="AX349">
        <f t="shared" si="674"/>
        <v>0</v>
      </c>
      <c r="AY349">
        <f t="shared" si="674"/>
        <v>0</v>
      </c>
      <c r="AZ349">
        <f t="shared" si="674"/>
        <v>0</v>
      </c>
      <c r="BA349">
        <f t="shared" si="674"/>
        <v>0</v>
      </c>
      <c r="BB349">
        <f t="shared" si="674"/>
        <v>0</v>
      </c>
      <c r="BC349">
        <f t="shared" si="592"/>
        <v>0</v>
      </c>
      <c r="BD349">
        <f t="shared" si="593"/>
        <v>0</v>
      </c>
    </row>
    <row r="350" spans="1:56" x14ac:dyDescent="0.3">
      <c r="A350">
        <f t="shared" ref="A350:Y350" si="675">A166</f>
        <v>0</v>
      </c>
      <c r="B350">
        <f t="shared" si="675"/>
        <v>0</v>
      </c>
      <c r="C350">
        <f t="shared" si="675"/>
        <v>0</v>
      </c>
      <c r="D350">
        <f t="shared" si="675"/>
        <v>0</v>
      </c>
      <c r="E350">
        <f t="shared" si="675"/>
        <v>0</v>
      </c>
      <c r="F350">
        <f t="shared" si="675"/>
        <v>0</v>
      </c>
      <c r="H350" s="15" t="str">
        <f t="shared" si="675"/>
        <v>WiS high-risk births</v>
      </c>
      <c r="I350" s="28">
        <f t="shared" si="675"/>
        <v>8507.3064999999988</v>
      </c>
      <c r="J350">
        <f t="shared" si="675"/>
        <v>0</v>
      </c>
      <c r="K350" s="11">
        <f t="shared" si="675"/>
        <v>0</v>
      </c>
      <c r="L350">
        <f t="shared" si="675"/>
        <v>0</v>
      </c>
      <c r="M350">
        <f t="shared" si="675"/>
        <v>0</v>
      </c>
      <c r="N350">
        <f t="shared" si="675"/>
        <v>0</v>
      </c>
      <c r="O350">
        <f t="shared" si="675"/>
        <v>0</v>
      </c>
      <c r="P350">
        <f t="shared" si="675"/>
        <v>0</v>
      </c>
      <c r="Q350">
        <f t="shared" si="675"/>
        <v>0</v>
      </c>
      <c r="R350">
        <f t="shared" si="675"/>
        <v>0</v>
      </c>
      <c r="S350">
        <f t="shared" si="675"/>
        <v>0</v>
      </c>
      <c r="T350">
        <f t="shared" si="675"/>
        <v>0</v>
      </c>
      <c r="U350">
        <f t="shared" si="675"/>
        <v>0</v>
      </c>
      <c r="V350">
        <f t="shared" si="675"/>
        <v>0</v>
      </c>
      <c r="W350">
        <f t="shared" si="675"/>
        <v>0</v>
      </c>
      <c r="X350">
        <f t="shared" si="675"/>
        <v>0</v>
      </c>
      <c r="Y350">
        <f t="shared" si="675"/>
        <v>0</v>
      </c>
      <c r="Z350">
        <f t="shared" si="589"/>
        <v>0</v>
      </c>
      <c r="AA350">
        <f t="shared" si="590"/>
        <v>0</v>
      </c>
      <c r="AD350">
        <f t="shared" ref="AD350:AG350" si="676">AD166</f>
        <v>0</v>
      </c>
      <c r="AE350">
        <f t="shared" si="676"/>
        <v>0</v>
      </c>
      <c r="AF350">
        <f t="shared" si="676"/>
        <v>0</v>
      </c>
      <c r="AG350">
        <f t="shared" si="676"/>
        <v>0</v>
      </c>
      <c r="AK350" s="15" t="str">
        <f t="shared" ref="AK350:BB350" si="677">AK166</f>
        <v>OoS high-risk births that don't obtain Mat Cand.</v>
      </c>
      <c r="AL350" s="28">
        <f t="shared" si="677"/>
        <v>8507.3064999999988</v>
      </c>
      <c r="AM350">
        <f t="shared" si="677"/>
        <v>0</v>
      </c>
      <c r="AN350" s="11">
        <f t="shared" si="677"/>
        <v>0</v>
      </c>
      <c r="AO350">
        <f t="shared" si="677"/>
        <v>0</v>
      </c>
      <c r="AP350">
        <f t="shared" si="677"/>
        <v>0</v>
      </c>
      <c r="AQ350">
        <f t="shared" si="677"/>
        <v>0</v>
      </c>
      <c r="AR350">
        <f t="shared" si="677"/>
        <v>0</v>
      </c>
      <c r="AS350">
        <f t="shared" si="677"/>
        <v>0</v>
      </c>
      <c r="AT350">
        <f t="shared" si="677"/>
        <v>0</v>
      </c>
      <c r="AU350">
        <f t="shared" si="677"/>
        <v>0</v>
      </c>
      <c r="AV350">
        <f t="shared" si="677"/>
        <v>0</v>
      </c>
      <c r="AW350">
        <f t="shared" si="677"/>
        <v>0</v>
      </c>
      <c r="AX350">
        <f t="shared" si="677"/>
        <v>0</v>
      </c>
      <c r="AY350">
        <f t="shared" si="677"/>
        <v>0</v>
      </c>
      <c r="AZ350">
        <f t="shared" si="677"/>
        <v>0</v>
      </c>
      <c r="BA350">
        <f t="shared" si="677"/>
        <v>0</v>
      </c>
      <c r="BB350">
        <f t="shared" si="677"/>
        <v>0</v>
      </c>
      <c r="BC350">
        <f t="shared" si="592"/>
        <v>0</v>
      </c>
      <c r="BD350">
        <f t="shared" si="593"/>
        <v>0</v>
      </c>
    </row>
    <row r="351" spans="1:56" x14ac:dyDescent="0.3">
      <c r="A351">
        <f t="shared" ref="A351:Y351" si="678">A167</f>
        <v>0</v>
      </c>
      <c r="B351">
        <f t="shared" si="678"/>
        <v>0</v>
      </c>
      <c r="C351">
        <f t="shared" si="678"/>
        <v>0</v>
      </c>
      <c r="D351">
        <f t="shared" si="678"/>
        <v>0</v>
      </c>
      <c r="E351">
        <f t="shared" si="678"/>
        <v>0</v>
      </c>
      <c r="F351">
        <f t="shared" si="678"/>
        <v>0</v>
      </c>
      <c r="G351">
        <f t="shared" si="678"/>
        <v>0</v>
      </c>
      <c r="H351" s="2" t="s">
        <v>263</v>
      </c>
      <c r="I351" s="28">
        <f>(F324/12*'Input 4_RSV Season'!$AG$27)*$I$349</f>
        <v>9474.0458749999998</v>
      </c>
      <c r="J351">
        <f t="shared" si="678"/>
        <v>0</v>
      </c>
      <c r="K351" s="11">
        <f t="shared" si="678"/>
        <v>0</v>
      </c>
      <c r="L351">
        <f t="shared" si="678"/>
        <v>0</v>
      </c>
      <c r="N351" s="2" t="str">
        <f t="shared" si="678"/>
        <v>Not MA for RSV</v>
      </c>
      <c r="O351" s="62" t="str">
        <f t="shared" si="678"/>
        <v>unknown</v>
      </c>
      <c r="P351">
        <f t="shared" si="678"/>
        <v>0</v>
      </c>
      <c r="Q351">
        <f t="shared" si="678"/>
        <v>0</v>
      </c>
      <c r="R351">
        <f t="shared" si="678"/>
        <v>0</v>
      </c>
      <c r="S351">
        <f t="shared" si="678"/>
        <v>0</v>
      </c>
      <c r="T351">
        <f t="shared" si="678"/>
        <v>0</v>
      </c>
      <c r="U351">
        <f t="shared" si="678"/>
        <v>0</v>
      </c>
      <c r="V351">
        <f t="shared" si="678"/>
        <v>0</v>
      </c>
      <c r="W351">
        <f t="shared" si="678"/>
        <v>0</v>
      </c>
      <c r="X351">
        <f t="shared" si="678"/>
        <v>0</v>
      </c>
      <c r="Y351">
        <f t="shared" si="678"/>
        <v>0</v>
      </c>
      <c r="Z351">
        <f t="shared" si="589"/>
        <v>0</v>
      </c>
      <c r="AA351">
        <f t="shared" si="590"/>
        <v>0</v>
      </c>
      <c r="AD351">
        <f t="shared" ref="AD351:AI351" si="679">AD167</f>
        <v>0</v>
      </c>
      <c r="AE351">
        <f t="shared" si="679"/>
        <v>0</v>
      </c>
      <c r="AF351">
        <f t="shared" si="679"/>
        <v>0</v>
      </c>
      <c r="AG351">
        <f t="shared" si="679"/>
        <v>0</v>
      </c>
      <c r="AH351">
        <f t="shared" si="679"/>
        <v>0</v>
      </c>
      <c r="AI351">
        <f t="shared" si="679"/>
        <v>0</v>
      </c>
      <c r="AK351" s="2" t="s">
        <v>361</v>
      </c>
      <c r="AL351" s="28">
        <f>(AI324/12*(12-'Input 4_RSV Season'!$AG$27))*$AL$349</f>
        <v>9474.0458749999998</v>
      </c>
      <c r="AM351">
        <f t="shared" ref="AM351:AO351" si="680">AM167</f>
        <v>0</v>
      </c>
      <c r="AN351" s="11">
        <f t="shared" si="680"/>
        <v>0</v>
      </c>
      <c r="AO351">
        <f t="shared" si="680"/>
        <v>0</v>
      </c>
      <c r="AQ351" s="2" t="str">
        <f t="shared" ref="AQ351:BB351" si="681">AQ167</f>
        <v>Not MA for RSV</v>
      </c>
      <c r="AR351" s="62" t="str">
        <f t="shared" si="681"/>
        <v>unknown</v>
      </c>
      <c r="AS351">
        <f t="shared" si="681"/>
        <v>0</v>
      </c>
      <c r="AT351">
        <f t="shared" si="681"/>
        <v>0</v>
      </c>
      <c r="AU351">
        <f t="shared" si="681"/>
        <v>0</v>
      </c>
      <c r="AV351">
        <f t="shared" si="681"/>
        <v>0</v>
      </c>
      <c r="AW351">
        <f t="shared" si="681"/>
        <v>0</v>
      </c>
      <c r="AX351">
        <f t="shared" si="681"/>
        <v>0</v>
      </c>
      <c r="AY351">
        <f t="shared" si="681"/>
        <v>0</v>
      </c>
      <c r="AZ351">
        <f t="shared" si="681"/>
        <v>0</v>
      </c>
      <c r="BA351">
        <f t="shared" si="681"/>
        <v>0</v>
      </c>
      <c r="BB351">
        <f t="shared" si="681"/>
        <v>0</v>
      </c>
      <c r="BC351">
        <f t="shared" si="592"/>
        <v>0</v>
      </c>
      <c r="BD351">
        <f t="shared" si="593"/>
        <v>0</v>
      </c>
    </row>
    <row r="352" spans="1:56" x14ac:dyDescent="0.3">
      <c r="A352">
        <f t="shared" ref="A352:Y352" si="682">A168</f>
        <v>0</v>
      </c>
      <c r="B352">
        <f t="shared" si="682"/>
        <v>0</v>
      </c>
      <c r="C352">
        <f t="shared" si="682"/>
        <v>0</v>
      </c>
      <c r="D352">
        <f t="shared" si="682"/>
        <v>0</v>
      </c>
      <c r="E352">
        <f t="shared" si="682"/>
        <v>0</v>
      </c>
      <c r="F352">
        <f t="shared" si="682"/>
        <v>0</v>
      </c>
      <c r="G352">
        <f t="shared" si="682"/>
        <v>0</v>
      </c>
      <c r="H352" s="2" t="s">
        <v>264</v>
      </c>
      <c r="I352" s="28">
        <f>(F325/12*'Input 4_RSV Season'!$AG$27)*$I$349</f>
        <v>7540.5671249999996</v>
      </c>
      <c r="J352">
        <f t="shared" si="682"/>
        <v>0</v>
      </c>
      <c r="K352" s="11">
        <f t="shared" si="682"/>
        <v>0</v>
      </c>
      <c r="L352">
        <f t="shared" si="682"/>
        <v>0</v>
      </c>
      <c r="M352">
        <f t="shared" si="682"/>
        <v>0</v>
      </c>
      <c r="N352" s="16">
        <f t="shared" si="682"/>
        <v>0</v>
      </c>
      <c r="O352">
        <f t="shared" si="682"/>
        <v>0</v>
      </c>
      <c r="P352" s="17">
        <f t="shared" si="682"/>
        <v>0</v>
      </c>
      <c r="Q352">
        <f t="shared" si="682"/>
        <v>0</v>
      </c>
      <c r="R352">
        <f t="shared" si="682"/>
        <v>0</v>
      </c>
      <c r="S352">
        <f t="shared" si="682"/>
        <v>0</v>
      </c>
      <c r="T352" s="1118" t="s">
        <v>181</v>
      </c>
      <c r="U352" s="1118"/>
      <c r="V352">
        <f t="shared" si="682"/>
        <v>0</v>
      </c>
      <c r="W352">
        <f t="shared" si="682"/>
        <v>0</v>
      </c>
      <c r="X352" s="29">
        <f t="shared" si="682"/>
        <v>0</v>
      </c>
      <c r="Y352">
        <f t="shared" si="682"/>
        <v>0</v>
      </c>
      <c r="Z352">
        <f t="shared" si="589"/>
        <v>0</v>
      </c>
      <c r="AA352">
        <f t="shared" si="590"/>
        <v>0</v>
      </c>
      <c r="AD352">
        <f t="shared" ref="AD352:AI352" si="683">AD168</f>
        <v>0</v>
      </c>
      <c r="AE352">
        <f t="shared" si="683"/>
        <v>0</v>
      </c>
      <c r="AF352">
        <f t="shared" si="683"/>
        <v>0</v>
      </c>
      <c r="AG352">
        <f t="shared" si="683"/>
        <v>0</v>
      </c>
      <c r="AH352">
        <f t="shared" si="683"/>
        <v>0</v>
      </c>
      <c r="AI352">
        <f t="shared" si="683"/>
        <v>0</v>
      </c>
      <c r="AK352" s="2" t="s">
        <v>362</v>
      </c>
      <c r="AL352" s="28">
        <f>(AI325/12*(12-'Input 4_RSV Season'!$AG$27))*$AL$349</f>
        <v>7540.5671249999996</v>
      </c>
      <c r="AM352">
        <f t="shared" ref="AM352:AV352" si="684">AM168</f>
        <v>0</v>
      </c>
      <c r="AN352" s="11">
        <f t="shared" si="684"/>
        <v>0</v>
      </c>
      <c r="AO352">
        <f t="shared" si="684"/>
        <v>0</v>
      </c>
      <c r="AP352">
        <f t="shared" si="684"/>
        <v>0</v>
      </c>
      <c r="AQ352" s="16">
        <f t="shared" si="684"/>
        <v>0</v>
      </c>
      <c r="AR352">
        <f t="shared" si="684"/>
        <v>0</v>
      </c>
      <c r="AS352" s="17">
        <f t="shared" si="684"/>
        <v>0</v>
      </c>
      <c r="AT352">
        <f t="shared" si="684"/>
        <v>0</v>
      </c>
      <c r="AU352">
        <f t="shared" si="684"/>
        <v>0</v>
      </c>
      <c r="AV352">
        <f t="shared" si="684"/>
        <v>0</v>
      </c>
      <c r="AW352" s="1118" t="s">
        <v>181</v>
      </c>
      <c r="AX352" s="1118"/>
      <c r="AY352">
        <f t="shared" ref="AY352:BB352" si="685">AY168</f>
        <v>0</v>
      </c>
      <c r="AZ352">
        <f t="shared" si="685"/>
        <v>0</v>
      </c>
      <c r="BA352" s="29">
        <f t="shared" si="685"/>
        <v>0</v>
      </c>
      <c r="BB352">
        <f t="shared" si="685"/>
        <v>0</v>
      </c>
      <c r="BC352">
        <f t="shared" si="592"/>
        <v>0</v>
      </c>
      <c r="BD352">
        <f t="shared" si="593"/>
        <v>0</v>
      </c>
    </row>
    <row r="353" spans="1:56" x14ac:dyDescent="0.3">
      <c r="A353">
        <f t="shared" ref="A353:Y353" si="686">A169</f>
        <v>0</v>
      </c>
      <c r="B353">
        <f t="shared" si="686"/>
        <v>0</v>
      </c>
      <c r="C353">
        <f t="shared" si="686"/>
        <v>0</v>
      </c>
      <c r="D353">
        <f t="shared" si="686"/>
        <v>0</v>
      </c>
      <c r="E353">
        <f t="shared" si="686"/>
        <v>0</v>
      </c>
      <c r="F353">
        <f t="shared" si="686"/>
        <v>0</v>
      </c>
      <c r="G353">
        <f t="shared" si="686"/>
        <v>0</v>
      </c>
      <c r="H353">
        <f t="shared" si="686"/>
        <v>0</v>
      </c>
      <c r="I353">
        <f t="shared" si="686"/>
        <v>0</v>
      </c>
      <c r="J353">
        <f t="shared" si="686"/>
        <v>0</v>
      </c>
      <c r="K353" s="59">
        <f t="shared" si="686"/>
        <v>0</v>
      </c>
      <c r="L353">
        <f t="shared" si="686"/>
        <v>0</v>
      </c>
      <c r="M353">
        <f t="shared" si="686"/>
        <v>0</v>
      </c>
      <c r="N353" s="11">
        <f t="shared" si="686"/>
        <v>0</v>
      </c>
      <c r="O353" s="13">
        <f t="shared" si="686"/>
        <v>0</v>
      </c>
      <c r="P353" s="13">
        <f t="shared" si="686"/>
        <v>0</v>
      </c>
      <c r="Q353">
        <f t="shared" si="686"/>
        <v>0</v>
      </c>
      <c r="R353">
        <f t="shared" si="686"/>
        <v>0</v>
      </c>
      <c r="S353" s="437" t="str">
        <f t="shared" si="686"/>
        <v>base</v>
      </c>
      <c r="T353" s="445" t="str">
        <f t="shared" si="686"/>
        <v>low</v>
      </c>
      <c r="U353" s="445" t="str">
        <f t="shared" si="686"/>
        <v>high</v>
      </c>
      <c r="V353">
        <f t="shared" si="686"/>
        <v>0</v>
      </c>
      <c r="W353" s="37">
        <f t="shared" si="686"/>
        <v>0</v>
      </c>
      <c r="X353" s="20">
        <f t="shared" si="686"/>
        <v>0</v>
      </c>
      <c r="Y353">
        <f t="shared" si="686"/>
        <v>0</v>
      </c>
      <c r="Z353">
        <f t="shared" si="589"/>
        <v>0</v>
      </c>
      <c r="AA353">
        <f t="shared" si="590"/>
        <v>0</v>
      </c>
      <c r="AD353">
        <f t="shared" ref="AD353:BB353" si="687">AD169</f>
        <v>0</v>
      </c>
      <c r="AE353">
        <f t="shared" si="687"/>
        <v>0</v>
      </c>
      <c r="AF353">
        <f t="shared" si="687"/>
        <v>0</v>
      </c>
      <c r="AG353">
        <f t="shared" si="687"/>
        <v>0</v>
      </c>
      <c r="AH353">
        <f t="shared" si="687"/>
        <v>0</v>
      </c>
      <c r="AI353">
        <f t="shared" si="687"/>
        <v>0</v>
      </c>
      <c r="AJ353">
        <f t="shared" si="687"/>
        <v>0</v>
      </c>
      <c r="AK353">
        <f t="shared" si="687"/>
        <v>0</v>
      </c>
      <c r="AL353">
        <f t="shared" si="687"/>
        <v>0</v>
      </c>
      <c r="AM353">
        <f t="shared" si="687"/>
        <v>0</v>
      </c>
      <c r="AN353" s="59">
        <f t="shared" si="687"/>
        <v>0</v>
      </c>
      <c r="AO353">
        <f t="shared" si="687"/>
        <v>0</v>
      </c>
      <c r="AP353">
        <f t="shared" si="687"/>
        <v>0</v>
      </c>
      <c r="AQ353" s="11">
        <f t="shared" si="687"/>
        <v>0</v>
      </c>
      <c r="AR353" s="13">
        <f t="shared" si="687"/>
        <v>0</v>
      </c>
      <c r="AS353" s="13">
        <f t="shared" si="687"/>
        <v>0</v>
      </c>
      <c r="AT353">
        <f t="shared" si="687"/>
        <v>0</v>
      </c>
      <c r="AU353">
        <f t="shared" si="687"/>
        <v>0</v>
      </c>
      <c r="AV353" s="684" t="str">
        <f t="shared" si="687"/>
        <v>base</v>
      </c>
      <c r="AW353" s="445" t="str">
        <f t="shared" si="687"/>
        <v>low</v>
      </c>
      <c r="AX353" s="445" t="str">
        <f t="shared" si="687"/>
        <v>high</v>
      </c>
      <c r="AY353">
        <f t="shared" si="687"/>
        <v>0</v>
      </c>
      <c r="AZ353" s="37">
        <f t="shared" si="687"/>
        <v>0</v>
      </c>
      <c r="BA353" s="20">
        <f t="shared" si="687"/>
        <v>0</v>
      </c>
      <c r="BB353">
        <f t="shared" si="687"/>
        <v>0</v>
      </c>
      <c r="BC353">
        <f t="shared" si="592"/>
        <v>0</v>
      </c>
      <c r="BD353">
        <f t="shared" si="593"/>
        <v>0</v>
      </c>
    </row>
    <row r="354" spans="1:56" x14ac:dyDescent="0.3">
      <c r="A354">
        <f t="shared" ref="A354:Y354" si="688">A170</f>
        <v>0</v>
      </c>
      <c r="B354">
        <f t="shared" si="688"/>
        <v>0</v>
      </c>
      <c r="C354">
        <f t="shared" si="688"/>
        <v>0</v>
      </c>
      <c r="D354">
        <f t="shared" si="688"/>
        <v>0</v>
      </c>
      <c r="E354">
        <f t="shared" si="688"/>
        <v>0</v>
      </c>
      <c r="F354">
        <f t="shared" si="688"/>
        <v>0</v>
      </c>
      <c r="G354">
        <f t="shared" si="688"/>
        <v>0</v>
      </c>
      <c r="H354">
        <f t="shared" si="688"/>
        <v>0</v>
      </c>
      <c r="I354">
        <f t="shared" si="688"/>
        <v>0</v>
      </c>
      <c r="J354">
        <f t="shared" si="688"/>
        <v>0</v>
      </c>
      <c r="K354" s="59" t="str">
        <f t="shared" si="688"/>
        <v>1-p2</v>
      </c>
      <c r="L354" s="67">
        <f t="shared" si="688"/>
        <v>0.62</v>
      </c>
      <c r="M354" s="438">
        <f t="shared" si="688"/>
        <v>0</v>
      </c>
      <c r="N354" s="11">
        <f t="shared" si="688"/>
        <v>0</v>
      </c>
      <c r="O354">
        <f t="shared" si="688"/>
        <v>0</v>
      </c>
      <c r="P354">
        <f t="shared" si="688"/>
        <v>0</v>
      </c>
      <c r="Q354">
        <f t="shared" si="688"/>
        <v>0</v>
      </c>
      <c r="R354" s="12" t="str">
        <f t="shared" si="688"/>
        <v>Outpatient</v>
      </c>
      <c r="S354" s="30">
        <f t="shared" si="688"/>
        <v>10128.054769615412</v>
      </c>
      <c r="T354" s="448">
        <f>$L$356*T355</f>
        <v>11278.970084344437</v>
      </c>
      <c r="U354" s="448">
        <f>$L$357*U355</f>
        <v>8977.1394548863882</v>
      </c>
      <c r="V354">
        <f t="shared" si="688"/>
        <v>0</v>
      </c>
      <c r="W354" s="69">
        <f t="shared" si="688"/>
        <v>0</v>
      </c>
      <c r="X354">
        <f t="shared" si="688"/>
        <v>0</v>
      </c>
      <c r="Y354">
        <f t="shared" si="688"/>
        <v>0</v>
      </c>
      <c r="Z354">
        <f t="shared" si="589"/>
        <v>0</v>
      </c>
      <c r="AA354">
        <f t="shared" si="590"/>
        <v>0</v>
      </c>
      <c r="AD354">
        <f t="shared" ref="AD354:AV354" si="689">AD170</f>
        <v>0</v>
      </c>
      <c r="AE354">
        <f t="shared" si="689"/>
        <v>0</v>
      </c>
      <c r="AF354">
        <f t="shared" si="689"/>
        <v>0</v>
      </c>
      <c r="AG354">
        <f t="shared" si="689"/>
        <v>0</v>
      </c>
      <c r="AH354">
        <f t="shared" si="689"/>
        <v>0</v>
      </c>
      <c r="AI354">
        <f t="shared" si="689"/>
        <v>0</v>
      </c>
      <c r="AJ354">
        <f t="shared" si="689"/>
        <v>0</v>
      </c>
      <c r="AK354">
        <f t="shared" si="689"/>
        <v>0</v>
      </c>
      <c r="AL354">
        <f t="shared" si="689"/>
        <v>0</v>
      </c>
      <c r="AM354">
        <f t="shared" si="689"/>
        <v>0</v>
      </c>
      <c r="AN354" s="59" t="str">
        <f t="shared" si="689"/>
        <v>1-p2</v>
      </c>
      <c r="AO354" s="67">
        <f t="shared" si="689"/>
        <v>0.62</v>
      </c>
      <c r="AP354" s="500">
        <f t="shared" si="689"/>
        <v>0</v>
      </c>
      <c r="AQ354" s="11">
        <f t="shared" si="689"/>
        <v>0</v>
      </c>
      <c r="AR354">
        <f t="shared" si="689"/>
        <v>0</v>
      </c>
      <c r="AS354">
        <f t="shared" si="689"/>
        <v>0</v>
      </c>
      <c r="AT354">
        <f t="shared" si="689"/>
        <v>0</v>
      </c>
      <c r="AU354" s="12" t="str">
        <f t="shared" si="689"/>
        <v>Outpatient</v>
      </c>
      <c r="AV354" s="30">
        <f t="shared" si="689"/>
        <v>4118.7160032880929</v>
      </c>
      <c r="AW354" s="448">
        <f>$AO$356*AW355</f>
        <v>4586.7519127526493</v>
      </c>
      <c r="AX354" s="448">
        <f>$AO$357*AX355</f>
        <v>3650.6800938235374</v>
      </c>
      <c r="AY354">
        <f t="shared" ref="AY354:BB354" si="690">AY170</f>
        <v>0</v>
      </c>
      <c r="AZ354" s="69">
        <f t="shared" si="690"/>
        <v>0</v>
      </c>
      <c r="BA354">
        <f t="shared" si="690"/>
        <v>0</v>
      </c>
      <c r="BB354">
        <f t="shared" si="690"/>
        <v>0</v>
      </c>
      <c r="BC354">
        <f t="shared" si="592"/>
        <v>0</v>
      </c>
      <c r="BD354">
        <f t="shared" si="593"/>
        <v>0</v>
      </c>
    </row>
    <row r="355" spans="1:56" x14ac:dyDescent="0.3">
      <c r="A355">
        <f t="shared" ref="A355:Y355" si="691">A171</f>
        <v>0</v>
      </c>
      <c r="B355">
        <f t="shared" si="691"/>
        <v>0</v>
      </c>
      <c r="C355">
        <f t="shared" si="691"/>
        <v>0</v>
      </c>
      <c r="D355">
        <f t="shared" si="691"/>
        <v>0</v>
      </c>
      <c r="E355">
        <f t="shared" si="691"/>
        <v>0</v>
      </c>
      <c r="F355">
        <f t="shared" si="691"/>
        <v>0</v>
      </c>
      <c r="G355">
        <f t="shared" si="691"/>
        <v>0</v>
      </c>
      <c r="K355" s="15" t="str">
        <f t="shared" si="691"/>
        <v>do not obtain palivizumab product</v>
      </c>
      <c r="L355" s="28">
        <f t="shared" si="691"/>
        <v>5274.530029999999</v>
      </c>
      <c r="M355">
        <f t="shared" si="691"/>
        <v>0</v>
      </c>
      <c r="N355" s="59" t="str">
        <f t="shared" si="691"/>
        <v>low:</v>
      </c>
      <c r="O355" s="50">
        <f t="shared" ref="O355:O356" si="692">$O$173</f>
        <v>2.7633318789944998</v>
      </c>
      <c r="P355">
        <f t="shared" si="691"/>
        <v>0</v>
      </c>
      <c r="Q355" s="16">
        <f t="shared" si="691"/>
        <v>0</v>
      </c>
      <c r="R355" s="2" t="str">
        <f t="shared" si="691"/>
        <v>p4c</v>
      </c>
      <c r="S355" s="61">
        <f>$S$171</f>
        <v>1.9201814592029942</v>
      </c>
      <c r="T355" s="447">
        <f t="shared" ref="T355:U355" si="693">$S$171</f>
        <v>1.9201814592029942</v>
      </c>
      <c r="U355" s="447">
        <f t="shared" si="693"/>
        <v>1.9201814592029942</v>
      </c>
      <c r="V355">
        <f t="shared" si="691"/>
        <v>0</v>
      </c>
      <c r="W355">
        <f t="shared" si="691"/>
        <v>0</v>
      </c>
      <c r="X355">
        <f t="shared" si="691"/>
        <v>0</v>
      </c>
      <c r="Y355">
        <f t="shared" si="691"/>
        <v>0</v>
      </c>
      <c r="Z355">
        <f t="shared" si="589"/>
        <v>0</v>
      </c>
      <c r="AA355">
        <f t="shared" si="590"/>
        <v>0</v>
      </c>
      <c r="AD355">
        <f t="shared" ref="AD355:AJ355" si="694">AD171</f>
        <v>0</v>
      </c>
      <c r="AE355">
        <f t="shared" si="694"/>
        <v>0</v>
      </c>
      <c r="AF355">
        <f t="shared" si="694"/>
        <v>0</v>
      </c>
      <c r="AG355">
        <f t="shared" si="694"/>
        <v>0</v>
      </c>
      <c r="AH355">
        <f t="shared" si="694"/>
        <v>0</v>
      </c>
      <c r="AI355">
        <f t="shared" si="694"/>
        <v>0</v>
      </c>
      <c r="AJ355">
        <f t="shared" si="694"/>
        <v>0</v>
      </c>
      <c r="AN355" s="15" t="str">
        <f t="shared" ref="AN355:AQ355" si="695">AN171</f>
        <v>do not obtain palivizumab product</v>
      </c>
      <c r="AO355" s="28">
        <f t="shared" si="695"/>
        <v>5274.530029999999</v>
      </c>
      <c r="AP355">
        <f t="shared" si="695"/>
        <v>0</v>
      </c>
      <c r="AQ355" s="59" t="str">
        <f t="shared" si="695"/>
        <v>low:</v>
      </c>
      <c r="AR355" s="50">
        <f t="shared" ref="AR355:AR356" si="696">$O$173</f>
        <v>2.7633318789944998</v>
      </c>
      <c r="AS355">
        <f t="shared" ref="AS355:AU355" si="697">AS171</f>
        <v>0</v>
      </c>
      <c r="AT355" s="16">
        <f t="shared" si="697"/>
        <v>0</v>
      </c>
      <c r="AU355" s="2" t="str">
        <f t="shared" si="697"/>
        <v>p4c</v>
      </c>
      <c r="AV355" s="61">
        <f>AV269</f>
        <v>0.78086881292968835</v>
      </c>
      <c r="AW355" s="447">
        <f>AV355</f>
        <v>0.78086881292968835</v>
      </c>
      <c r="AX355" s="447">
        <f>AV355</f>
        <v>0.78086881292968835</v>
      </c>
      <c r="AY355">
        <f t="shared" ref="AY355:BB355" si="698">AY171</f>
        <v>0</v>
      </c>
      <c r="AZ355">
        <f t="shared" si="698"/>
        <v>0</v>
      </c>
      <c r="BA355">
        <f t="shared" si="698"/>
        <v>0</v>
      </c>
      <c r="BB355">
        <f t="shared" si="698"/>
        <v>0</v>
      </c>
      <c r="BC355">
        <f t="shared" si="592"/>
        <v>0</v>
      </c>
      <c r="BD355">
        <f t="shared" si="593"/>
        <v>0</v>
      </c>
    </row>
    <row r="356" spans="1:56" x14ac:dyDescent="0.3">
      <c r="A356">
        <f t="shared" ref="A356:Y356" si="699">A172</f>
        <v>0</v>
      </c>
      <c r="B356">
        <f t="shared" si="699"/>
        <v>0</v>
      </c>
      <c r="C356">
        <f t="shared" si="699"/>
        <v>0</v>
      </c>
      <c r="D356">
        <f t="shared" si="699"/>
        <v>0</v>
      </c>
      <c r="E356">
        <f t="shared" si="699"/>
        <v>0</v>
      </c>
      <c r="F356">
        <f t="shared" si="699"/>
        <v>0</v>
      </c>
      <c r="G356">
        <f t="shared" si="699"/>
        <v>0</v>
      </c>
      <c r="H356">
        <f t="shared" si="699"/>
        <v>0</v>
      </c>
      <c r="I356">
        <f t="shared" si="699"/>
        <v>0</v>
      </c>
      <c r="J356">
        <f t="shared" si="699"/>
        <v>0</v>
      </c>
      <c r="K356" s="2" t="s">
        <v>263</v>
      </c>
      <c r="L356" s="28">
        <f>I351*$L$354</f>
        <v>5873.9084425000001</v>
      </c>
      <c r="M356">
        <f t="shared" si="699"/>
        <v>0</v>
      </c>
      <c r="N356" s="59" t="str">
        <f t="shared" si="699"/>
        <v>high:</v>
      </c>
      <c r="O356" s="50">
        <f t="shared" si="692"/>
        <v>2.7633318789944998</v>
      </c>
      <c r="P356">
        <f t="shared" si="699"/>
        <v>0</v>
      </c>
      <c r="Q356" s="11">
        <f t="shared" si="699"/>
        <v>0</v>
      </c>
      <c r="R356" s="2">
        <f t="shared" si="699"/>
        <v>0</v>
      </c>
      <c r="S356">
        <f>$S$172</f>
        <v>0</v>
      </c>
      <c r="T356" s="76">
        <f t="shared" si="699"/>
        <v>0</v>
      </c>
      <c r="U356" s="76">
        <f t="shared" si="699"/>
        <v>0</v>
      </c>
      <c r="V356">
        <f t="shared" si="699"/>
        <v>0</v>
      </c>
      <c r="W356">
        <f t="shared" si="699"/>
        <v>0</v>
      </c>
      <c r="X356">
        <f t="shared" si="699"/>
        <v>0</v>
      </c>
      <c r="Y356">
        <f t="shared" si="699"/>
        <v>0</v>
      </c>
      <c r="Z356">
        <f t="shared" si="589"/>
        <v>0</v>
      </c>
      <c r="AA356">
        <f t="shared" si="590"/>
        <v>0</v>
      </c>
      <c r="AD356">
        <f t="shared" ref="AD356:AM356" si="700">AD172</f>
        <v>0</v>
      </c>
      <c r="AE356">
        <f t="shared" si="700"/>
        <v>0</v>
      </c>
      <c r="AF356">
        <f t="shared" si="700"/>
        <v>0</v>
      </c>
      <c r="AG356">
        <f t="shared" si="700"/>
        <v>0</v>
      </c>
      <c r="AH356">
        <f t="shared" si="700"/>
        <v>0</v>
      </c>
      <c r="AI356">
        <f t="shared" si="700"/>
        <v>0</v>
      </c>
      <c r="AJ356">
        <f t="shared" si="700"/>
        <v>0</v>
      </c>
      <c r="AK356">
        <f t="shared" si="700"/>
        <v>0</v>
      </c>
      <c r="AL356">
        <f t="shared" si="700"/>
        <v>0</v>
      </c>
      <c r="AM356">
        <f t="shared" si="700"/>
        <v>0</v>
      </c>
      <c r="AN356" s="2" t="s">
        <v>263</v>
      </c>
      <c r="AO356" s="28">
        <f>AL351*$L$354</f>
        <v>5873.9084425000001</v>
      </c>
      <c r="AP356">
        <f t="shared" ref="AP356:AQ356" si="701">AP172</f>
        <v>0</v>
      </c>
      <c r="AQ356" s="59" t="str">
        <f t="shared" si="701"/>
        <v>high:</v>
      </c>
      <c r="AR356" s="50">
        <f t="shared" si="696"/>
        <v>2.7633318789944998</v>
      </c>
      <c r="AS356">
        <f t="shared" ref="AS356:AU356" si="702">AS172</f>
        <v>0</v>
      </c>
      <c r="AT356" s="11">
        <f t="shared" si="702"/>
        <v>0</v>
      </c>
      <c r="AU356" s="2">
        <f t="shared" si="702"/>
        <v>0</v>
      </c>
      <c r="AV356">
        <f>$S$172</f>
        <v>0</v>
      </c>
      <c r="AW356" s="76">
        <f t="shared" ref="AW356:BB356" si="703">AW172</f>
        <v>0</v>
      </c>
      <c r="AX356" s="76">
        <f t="shared" si="703"/>
        <v>0</v>
      </c>
      <c r="AY356">
        <f t="shared" si="703"/>
        <v>0</v>
      </c>
      <c r="AZ356">
        <f t="shared" si="703"/>
        <v>0</v>
      </c>
      <c r="BA356">
        <f t="shared" si="703"/>
        <v>0</v>
      </c>
      <c r="BB356">
        <f t="shared" si="703"/>
        <v>0</v>
      </c>
      <c r="BC356">
        <f t="shared" si="592"/>
        <v>0</v>
      </c>
      <c r="BD356">
        <f t="shared" si="593"/>
        <v>0</v>
      </c>
    </row>
    <row r="357" spans="1:56" x14ac:dyDescent="0.3">
      <c r="A357">
        <f t="shared" ref="A357:Y357" si="704">A173</f>
        <v>0</v>
      </c>
      <c r="B357">
        <f t="shared" si="704"/>
        <v>0</v>
      </c>
      <c r="C357">
        <f t="shared" si="704"/>
        <v>0</v>
      </c>
      <c r="D357">
        <f t="shared" si="704"/>
        <v>0</v>
      </c>
      <c r="E357">
        <f t="shared" si="704"/>
        <v>0</v>
      </c>
      <c r="F357">
        <f t="shared" si="704"/>
        <v>0</v>
      </c>
      <c r="G357">
        <f t="shared" si="704"/>
        <v>0</v>
      </c>
      <c r="H357">
        <f t="shared" si="704"/>
        <v>0</v>
      </c>
      <c r="I357">
        <f t="shared" si="704"/>
        <v>0</v>
      </c>
      <c r="J357">
        <f t="shared" si="704"/>
        <v>0</v>
      </c>
      <c r="K357" s="2" t="s">
        <v>264</v>
      </c>
      <c r="L357" s="28">
        <f>I352*$L$354</f>
        <v>4675.1516174999997</v>
      </c>
      <c r="M357">
        <f t="shared" si="704"/>
        <v>0</v>
      </c>
      <c r="N357" s="18" t="str">
        <f t="shared" si="704"/>
        <v>sum p4a-c</v>
      </c>
      <c r="O357" s="50">
        <f>$O$173</f>
        <v>2.7633318789944998</v>
      </c>
      <c r="P357" s="438">
        <f t="shared" si="704"/>
        <v>0</v>
      </c>
      <c r="Q357" s="18">
        <f t="shared" si="704"/>
        <v>0</v>
      </c>
      <c r="R357" s="12" t="str">
        <f t="shared" si="704"/>
        <v>ED</v>
      </c>
      <c r="S357" s="30">
        <f t="shared" si="704"/>
        <v>3511.6746581612206</v>
      </c>
      <c r="T357" s="448">
        <f>$L$356*T358</f>
        <v>3910.7285965886326</v>
      </c>
      <c r="U357" s="448">
        <f>$L$357*U358</f>
        <v>3112.6207197338094</v>
      </c>
      <c r="V357">
        <f t="shared" si="704"/>
        <v>0</v>
      </c>
      <c r="W357">
        <f t="shared" si="704"/>
        <v>0</v>
      </c>
      <c r="X357">
        <f t="shared" si="704"/>
        <v>0</v>
      </c>
      <c r="Y357">
        <f t="shared" si="704"/>
        <v>0</v>
      </c>
      <c r="Z357">
        <f t="shared" si="589"/>
        <v>0</v>
      </c>
      <c r="AA357">
        <f t="shared" si="590"/>
        <v>0</v>
      </c>
      <c r="AD357">
        <f t="shared" ref="AD357:AM357" si="705">AD173</f>
        <v>0</v>
      </c>
      <c r="AE357">
        <f t="shared" si="705"/>
        <v>0</v>
      </c>
      <c r="AF357">
        <f t="shared" si="705"/>
        <v>0</v>
      </c>
      <c r="AG357">
        <f t="shared" si="705"/>
        <v>0</v>
      </c>
      <c r="AH357">
        <f t="shared" si="705"/>
        <v>0</v>
      </c>
      <c r="AI357">
        <f t="shared" si="705"/>
        <v>0</v>
      </c>
      <c r="AJ357">
        <f t="shared" si="705"/>
        <v>0</v>
      </c>
      <c r="AK357">
        <f t="shared" si="705"/>
        <v>0</v>
      </c>
      <c r="AL357">
        <f t="shared" si="705"/>
        <v>0</v>
      </c>
      <c r="AM357">
        <f t="shared" si="705"/>
        <v>0</v>
      </c>
      <c r="AN357" s="2" t="s">
        <v>264</v>
      </c>
      <c r="AO357" s="28">
        <f>AL352*$L$354</f>
        <v>4675.1516174999997</v>
      </c>
      <c r="AP357">
        <f t="shared" ref="AP357:AQ357" si="706">AP173</f>
        <v>0</v>
      </c>
      <c r="AQ357" s="18" t="str">
        <f t="shared" si="706"/>
        <v>sum p4a-c</v>
      </c>
      <c r="AR357" s="50">
        <f>$O$173</f>
        <v>2.7633318789944998</v>
      </c>
      <c r="AS357" s="500">
        <f t="shared" ref="AS357:AV357" si="707">AS173</f>
        <v>0</v>
      </c>
      <c r="AT357" s="18">
        <f t="shared" si="707"/>
        <v>0</v>
      </c>
      <c r="AU357" s="12" t="str">
        <f t="shared" si="707"/>
        <v>ED</v>
      </c>
      <c r="AV357" s="30">
        <f t="shared" si="707"/>
        <v>1637.9322267338632</v>
      </c>
      <c r="AW357" s="448">
        <f>$AO$356*AW358</f>
        <v>1824.0608888627116</v>
      </c>
      <c r="AX357" s="448">
        <f>$AO$357*AX358</f>
        <v>1451.8035646050153</v>
      </c>
      <c r="AY357">
        <f t="shared" ref="AY357:BB357" si="708">AY173</f>
        <v>0</v>
      </c>
      <c r="AZ357">
        <f t="shared" si="708"/>
        <v>0</v>
      </c>
      <c r="BA357">
        <f t="shared" si="708"/>
        <v>0</v>
      </c>
      <c r="BB357">
        <f t="shared" si="708"/>
        <v>0</v>
      </c>
      <c r="BC357">
        <f t="shared" si="592"/>
        <v>0</v>
      </c>
      <c r="BD357">
        <f t="shared" si="593"/>
        <v>0</v>
      </c>
    </row>
    <row r="358" spans="1:56" x14ac:dyDescent="0.3">
      <c r="A358">
        <f t="shared" ref="A358:Y359" si="709">A174</f>
        <v>0</v>
      </c>
      <c r="B358">
        <f t="shared" si="709"/>
        <v>0</v>
      </c>
      <c r="C358">
        <f t="shared" si="709"/>
        <v>0</v>
      </c>
      <c r="D358">
        <f t="shared" si="709"/>
        <v>0</v>
      </c>
      <c r="E358">
        <f t="shared" si="709"/>
        <v>0</v>
      </c>
      <c r="F358">
        <f t="shared" si="709"/>
        <v>0</v>
      </c>
      <c r="G358">
        <f t="shared" si="709"/>
        <v>0</v>
      </c>
      <c r="H358">
        <f t="shared" si="709"/>
        <v>0</v>
      </c>
      <c r="I358">
        <f t="shared" si="709"/>
        <v>0</v>
      </c>
      <c r="J358">
        <f t="shared" si="709"/>
        <v>0</v>
      </c>
      <c r="K358">
        <f t="shared" si="709"/>
        <v>0</v>
      </c>
      <c r="N358" s="2" t="str">
        <f t="shared" si="709"/>
        <v>Medically Attended for RSV</v>
      </c>
      <c r="O358" s="54">
        <f t="shared" si="709"/>
        <v>14575.276978612812</v>
      </c>
      <c r="P358">
        <f t="shared" si="709"/>
        <v>0</v>
      </c>
      <c r="Q358" s="11">
        <f t="shared" si="709"/>
        <v>0</v>
      </c>
      <c r="R358" s="2" t="str">
        <f t="shared" si="709"/>
        <v>p4b</v>
      </c>
      <c r="S358" s="61">
        <f>$S$174</f>
        <v>0.66577963120654016</v>
      </c>
      <c r="T358" s="447">
        <f t="shared" ref="T358:U358" si="710">$S$174</f>
        <v>0.66577963120654016</v>
      </c>
      <c r="U358" s="447">
        <f t="shared" si="710"/>
        <v>0.66577963120654016</v>
      </c>
      <c r="V358">
        <f t="shared" si="709"/>
        <v>0</v>
      </c>
      <c r="W358">
        <f t="shared" si="709"/>
        <v>0</v>
      </c>
      <c r="X358">
        <f t="shared" si="709"/>
        <v>0</v>
      </c>
      <c r="Y358">
        <f t="shared" si="709"/>
        <v>0</v>
      </c>
      <c r="Z358">
        <f t="shared" si="589"/>
        <v>0</v>
      </c>
      <c r="AA358">
        <f t="shared" si="590"/>
        <v>0</v>
      </c>
      <c r="AD358">
        <f t="shared" ref="AD358:AN358" si="711">AD174</f>
        <v>0</v>
      </c>
      <c r="AE358">
        <f t="shared" si="711"/>
        <v>0</v>
      </c>
      <c r="AF358">
        <f t="shared" si="711"/>
        <v>0</v>
      </c>
      <c r="AG358">
        <f t="shared" si="711"/>
        <v>0</v>
      </c>
      <c r="AH358">
        <f t="shared" si="711"/>
        <v>0</v>
      </c>
      <c r="AI358">
        <f t="shared" si="711"/>
        <v>0</v>
      </c>
      <c r="AJ358">
        <f t="shared" si="711"/>
        <v>0</v>
      </c>
      <c r="AK358">
        <f t="shared" si="711"/>
        <v>0</v>
      </c>
      <c r="AL358">
        <f t="shared" si="711"/>
        <v>0</v>
      </c>
      <c r="AM358">
        <f t="shared" si="711"/>
        <v>0</v>
      </c>
      <c r="AN358">
        <f t="shared" si="711"/>
        <v>0</v>
      </c>
      <c r="AQ358" s="2" t="str">
        <f t="shared" ref="AQ358:AU358" si="712">AQ174</f>
        <v>Medically Attended for RSV</v>
      </c>
      <c r="AR358" s="54">
        <f t="shared" si="712"/>
        <v>5982.3223234474681</v>
      </c>
      <c r="AS358">
        <f t="shared" si="712"/>
        <v>0</v>
      </c>
      <c r="AT358" s="11">
        <f t="shared" si="712"/>
        <v>0</v>
      </c>
      <c r="AU358" s="2" t="str">
        <f t="shared" si="712"/>
        <v>p4b</v>
      </c>
      <c r="AV358" s="61">
        <f>AV272</f>
        <v>0.31053614585902045</v>
      </c>
      <c r="AW358" s="447">
        <f>AV358</f>
        <v>0.31053614585902045</v>
      </c>
      <c r="AX358" s="447">
        <f>AV358</f>
        <v>0.31053614585902045</v>
      </c>
      <c r="AY358">
        <f t="shared" ref="AY358:BB358" si="713">AY174</f>
        <v>0</v>
      </c>
      <c r="AZ358">
        <f t="shared" si="713"/>
        <v>0</v>
      </c>
      <c r="BA358">
        <f t="shared" si="713"/>
        <v>0</v>
      </c>
      <c r="BB358">
        <f t="shared" si="713"/>
        <v>0</v>
      </c>
      <c r="BC358">
        <f t="shared" si="592"/>
        <v>0</v>
      </c>
      <c r="BD358">
        <f t="shared" si="593"/>
        <v>0</v>
      </c>
    </row>
    <row r="359" spans="1:56" x14ac:dyDescent="0.3">
      <c r="A359">
        <f t="shared" ref="A359:Y359" si="714">A175</f>
        <v>0</v>
      </c>
      <c r="B359">
        <f t="shared" si="714"/>
        <v>0</v>
      </c>
      <c r="C359">
        <f t="shared" si="714"/>
        <v>0</v>
      </c>
      <c r="D359">
        <f t="shared" si="714"/>
        <v>0</v>
      </c>
      <c r="E359">
        <f t="shared" si="714"/>
        <v>0</v>
      </c>
      <c r="F359">
        <f t="shared" si="714"/>
        <v>0</v>
      </c>
      <c r="G359">
        <f t="shared" si="714"/>
        <v>0</v>
      </c>
      <c r="H359">
        <f t="shared" si="714"/>
        <v>0</v>
      </c>
      <c r="I359">
        <f t="shared" si="714"/>
        <v>0</v>
      </c>
      <c r="J359">
        <f t="shared" si="714"/>
        <v>0</v>
      </c>
      <c r="K359">
        <f t="shared" si="714"/>
        <v>0</v>
      </c>
      <c r="L359">
        <f t="shared" si="714"/>
        <v>0</v>
      </c>
      <c r="M359">
        <f t="shared" si="714"/>
        <v>0</v>
      </c>
      <c r="N359" s="2" t="s">
        <v>263</v>
      </c>
      <c r="O359" s="28">
        <f>L356*O355</f>
        <v>16231.558453455182</v>
      </c>
      <c r="P359">
        <f t="shared" si="714"/>
        <v>0</v>
      </c>
      <c r="Q359" s="11">
        <f t="shared" si="714"/>
        <v>0</v>
      </c>
      <c r="R359" s="2">
        <f t="shared" si="714"/>
        <v>0</v>
      </c>
      <c r="S359" s="61">
        <f t="shared" si="709"/>
        <v>0</v>
      </c>
      <c r="T359" s="76">
        <f t="shared" si="714"/>
        <v>0</v>
      </c>
      <c r="U359" s="76">
        <f t="shared" si="714"/>
        <v>0</v>
      </c>
      <c r="V359">
        <f t="shared" si="714"/>
        <v>0</v>
      </c>
      <c r="W359">
        <f t="shared" si="714"/>
        <v>0</v>
      </c>
      <c r="X359">
        <f t="shared" si="714"/>
        <v>0</v>
      </c>
      <c r="Y359">
        <f t="shared" si="714"/>
        <v>0</v>
      </c>
      <c r="Z359">
        <f t="shared" si="589"/>
        <v>0</v>
      </c>
      <c r="AA359">
        <f t="shared" si="590"/>
        <v>0</v>
      </c>
      <c r="AD359">
        <f t="shared" ref="AD359:AP359" si="715">AD175</f>
        <v>0</v>
      </c>
      <c r="AE359">
        <f t="shared" si="715"/>
        <v>0</v>
      </c>
      <c r="AF359">
        <f t="shared" si="715"/>
        <v>0</v>
      </c>
      <c r="AG359">
        <f t="shared" si="715"/>
        <v>0</v>
      </c>
      <c r="AH359">
        <f t="shared" si="715"/>
        <v>0</v>
      </c>
      <c r="AI359">
        <f t="shared" si="715"/>
        <v>0</v>
      </c>
      <c r="AJ359">
        <f t="shared" si="715"/>
        <v>0</v>
      </c>
      <c r="AK359">
        <f t="shared" si="715"/>
        <v>0</v>
      </c>
      <c r="AL359">
        <f t="shared" si="715"/>
        <v>0</v>
      </c>
      <c r="AM359">
        <f t="shared" si="715"/>
        <v>0</v>
      </c>
      <c r="AN359">
        <f t="shared" si="715"/>
        <v>0</v>
      </c>
      <c r="AO359">
        <f t="shared" si="715"/>
        <v>0</v>
      </c>
      <c r="AP359">
        <f t="shared" si="715"/>
        <v>0</v>
      </c>
      <c r="AQ359" s="2" t="s">
        <v>263</v>
      </c>
      <c r="AR359" s="28">
        <f>AO356*AR355</f>
        <v>16231.558453455182</v>
      </c>
      <c r="AS359">
        <f t="shared" ref="AS359:BB359" si="716">AS175</f>
        <v>0</v>
      </c>
      <c r="AT359" s="11">
        <f t="shared" si="716"/>
        <v>0</v>
      </c>
      <c r="AU359" s="2">
        <f t="shared" si="716"/>
        <v>0</v>
      </c>
      <c r="AV359" s="61">
        <f t="shared" si="716"/>
        <v>0</v>
      </c>
      <c r="AW359" s="76">
        <f t="shared" si="716"/>
        <v>0</v>
      </c>
      <c r="AX359" s="76">
        <f t="shared" si="716"/>
        <v>0</v>
      </c>
      <c r="AY359">
        <f t="shared" si="716"/>
        <v>0</v>
      </c>
      <c r="AZ359">
        <f t="shared" si="716"/>
        <v>0</v>
      </c>
      <c r="BA359">
        <f t="shared" si="716"/>
        <v>0</v>
      </c>
      <c r="BB359">
        <f t="shared" si="716"/>
        <v>0</v>
      </c>
      <c r="BC359">
        <f t="shared" si="592"/>
        <v>0</v>
      </c>
      <c r="BD359">
        <f t="shared" si="593"/>
        <v>0</v>
      </c>
    </row>
    <row r="360" spans="1:56" x14ac:dyDescent="0.3">
      <c r="A360">
        <f t="shared" ref="A360:Y360" si="717">A176</f>
        <v>0</v>
      </c>
      <c r="B360">
        <f t="shared" si="717"/>
        <v>0</v>
      </c>
      <c r="C360">
        <f t="shared" si="717"/>
        <v>0</v>
      </c>
      <c r="D360">
        <f t="shared" si="717"/>
        <v>0</v>
      </c>
      <c r="E360">
        <f t="shared" si="717"/>
        <v>0</v>
      </c>
      <c r="F360">
        <f t="shared" si="717"/>
        <v>0</v>
      </c>
      <c r="G360">
        <f t="shared" si="717"/>
        <v>0</v>
      </c>
      <c r="H360">
        <f t="shared" si="717"/>
        <v>0</v>
      </c>
      <c r="I360">
        <f t="shared" si="717"/>
        <v>0</v>
      </c>
      <c r="J360" s="28">
        <f t="shared" si="717"/>
        <v>0</v>
      </c>
      <c r="K360">
        <f t="shared" si="717"/>
        <v>0</v>
      </c>
      <c r="L360">
        <f t="shared" si="717"/>
        <v>0</v>
      </c>
      <c r="N360" s="2" t="s">
        <v>264</v>
      </c>
      <c r="O360" s="28">
        <f>L357*O356</f>
        <v>12918.995503770449</v>
      </c>
      <c r="P360">
        <f t="shared" si="717"/>
        <v>0</v>
      </c>
      <c r="Q360" s="18">
        <f t="shared" si="717"/>
        <v>0</v>
      </c>
      <c r="R360" s="12" t="str">
        <f t="shared" si="717"/>
        <v>Hospitalized</v>
      </c>
      <c r="S360" s="30">
        <f t="shared" si="717"/>
        <v>935.5475508361825</v>
      </c>
      <c r="T360" s="448">
        <f>$L$356*T361</f>
        <v>1041.8597725221125</v>
      </c>
      <c r="U360" s="448">
        <f>$L$357*U361</f>
        <v>829.23532915025282</v>
      </c>
      <c r="V360">
        <f t="shared" si="717"/>
        <v>0</v>
      </c>
      <c r="W360">
        <f t="shared" si="717"/>
        <v>0</v>
      </c>
      <c r="X360">
        <f t="shared" si="717"/>
        <v>0</v>
      </c>
      <c r="Y360">
        <f t="shared" si="717"/>
        <v>0</v>
      </c>
      <c r="Z360">
        <f t="shared" si="589"/>
        <v>0</v>
      </c>
      <c r="AA360">
        <f t="shared" si="590"/>
        <v>0</v>
      </c>
      <c r="AD360">
        <f t="shared" ref="AD360:AO360" si="718">AD176</f>
        <v>0</v>
      </c>
      <c r="AE360">
        <f t="shared" si="718"/>
        <v>0</v>
      </c>
      <c r="AF360">
        <f t="shared" si="718"/>
        <v>0</v>
      </c>
      <c r="AG360">
        <f t="shared" si="718"/>
        <v>0</v>
      </c>
      <c r="AH360">
        <f t="shared" si="718"/>
        <v>0</v>
      </c>
      <c r="AI360">
        <f t="shared" si="718"/>
        <v>0</v>
      </c>
      <c r="AJ360">
        <f t="shared" si="718"/>
        <v>0</v>
      </c>
      <c r="AK360">
        <f t="shared" si="718"/>
        <v>0</v>
      </c>
      <c r="AL360">
        <f t="shared" si="718"/>
        <v>0</v>
      </c>
      <c r="AM360" s="28">
        <f t="shared" si="718"/>
        <v>0</v>
      </c>
      <c r="AN360">
        <f t="shared" si="718"/>
        <v>0</v>
      </c>
      <c r="AO360">
        <f t="shared" si="718"/>
        <v>0</v>
      </c>
      <c r="AQ360" s="2" t="s">
        <v>264</v>
      </c>
      <c r="AR360" s="28">
        <f>AO357*AR356</f>
        <v>12918.995503770449</v>
      </c>
      <c r="AS360">
        <f t="shared" ref="AS360:AV360" si="719">AS176</f>
        <v>0</v>
      </c>
      <c r="AT360" s="18">
        <f t="shared" si="719"/>
        <v>0</v>
      </c>
      <c r="AU360" s="12" t="str">
        <f t="shared" si="719"/>
        <v>Hospitalized</v>
      </c>
      <c r="AV360" s="30">
        <f t="shared" si="719"/>
        <v>225.67409342551264</v>
      </c>
      <c r="AW360" s="448">
        <f>$AO$356*AW361</f>
        <v>251.31887676932095</v>
      </c>
      <c r="AX360" s="448">
        <f>$AO$357*AX361</f>
        <v>200.02931008170441</v>
      </c>
      <c r="AY360">
        <f t="shared" ref="AY360:BB360" si="720">AY176</f>
        <v>0</v>
      </c>
      <c r="AZ360">
        <f t="shared" si="720"/>
        <v>0</v>
      </c>
      <c r="BA360">
        <f t="shared" si="720"/>
        <v>0</v>
      </c>
      <c r="BB360">
        <f t="shared" si="720"/>
        <v>0</v>
      </c>
      <c r="BC360">
        <f t="shared" si="592"/>
        <v>0</v>
      </c>
      <c r="BD360">
        <f t="shared" si="593"/>
        <v>0</v>
      </c>
    </row>
    <row r="361" spans="1:56" x14ac:dyDescent="0.3">
      <c r="A361">
        <f t="shared" ref="A361:Y361" si="721">A177</f>
        <v>0</v>
      </c>
      <c r="B361">
        <f t="shared" si="721"/>
        <v>0</v>
      </c>
      <c r="C361">
        <f t="shared" si="721"/>
        <v>0</v>
      </c>
      <c r="D361">
        <f t="shared" si="721"/>
        <v>0</v>
      </c>
      <c r="E361">
        <f t="shared" si="721"/>
        <v>0</v>
      </c>
      <c r="F361">
        <f t="shared" si="721"/>
        <v>0</v>
      </c>
      <c r="G361">
        <f t="shared" si="721"/>
        <v>0</v>
      </c>
      <c r="H361">
        <f t="shared" si="721"/>
        <v>0</v>
      </c>
      <c r="I361">
        <f t="shared" si="721"/>
        <v>0</v>
      </c>
      <c r="J361">
        <f t="shared" si="721"/>
        <v>0</v>
      </c>
      <c r="K361">
        <f t="shared" si="721"/>
        <v>0</v>
      </c>
      <c r="L361" s="22">
        <f t="shared" si="721"/>
        <v>0</v>
      </c>
      <c r="M361">
        <f t="shared" si="721"/>
        <v>0</v>
      </c>
      <c r="N361">
        <f t="shared" si="721"/>
        <v>0</v>
      </c>
      <c r="O361">
        <f t="shared" si="721"/>
        <v>0</v>
      </c>
      <c r="P361">
        <f t="shared" si="721"/>
        <v>0</v>
      </c>
      <c r="Q361">
        <f t="shared" si="721"/>
        <v>0</v>
      </c>
      <c r="R361" s="2" t="str">
        <f t="shared" si="721"/>
        <v>p4c</v>
      </c>
      <c r="S361" s="61">
        <f>$S$177</f>
        <v>0.17737078858496569</v>
      </c>
      <c r="T361" s="447">
        <f t="shared" ref="T361:U361" si="722">$S$177</f>
        <v>0.17737078858496569</v>
      </c>
      <c r="U361" s="447">
        <f t="shared" si="722"/>
        <v>0.17737078858496569</v>
      </c>
      <c r="V361">
        <f t="shared" si="721"/>
        <v>0</v>
      </c>
      <c r="W361">
        <f t="shared" si="721"/>
        <v>0</v>
      </c>
      <c r="X361">
        <f t="shared" si="721"/>
        <v>0</v>
      </c>
      <c r="Y361">
        <f t="shared" si="721"/>
        <v>0</v>
      </c>
      <c r="Z361">
        <f t="shared" si="589"/>
        <v>0</v>
      </c>
      <c r="AA361">
        <f t="shared" si="590"/>
        <v>0</v>
      </c>
      <c r="AD361">
        <f t="shared" ref="AD361:AU361" si="723">AD177</f>
        <v>0</v>
      </c>
      <c r="AE361">
        <f t="shared" si="723"/>
        <v>0</v>
      </c>
      <c r="AF361">
        <f t="shared" si="723"/>
        <v>0</v>
      </c>
      <c r="AG361">
        <f t="shared" si="723"/>
        <v>0</v>
      </c>
      <c r="AH361">
        <f t="shared" si="723"/>
        <v>0</v>
      </c>
      <c r="AI361">
        <f t="shared" si="723"/>
        <v>0</v>
      </c>
      <c r="AJ361">
        <f t="shared" si="723"/>
        <v>0</v>
      </c>
      <c r="AK361">
        <f t="shared" si="723"/>
        <v>0</v>
      </c>
      <c r="AL361">
        <f t="shared" si="723"/>
        <v>0</v>
      </c>
      <c r="AM361">
        <f t="shared" si="723"/>
        <v>0</v>
      </c>
      <c r="AN361">
        <f t="shared" si="723"/>
        <v>0</v>
      </c>
      <c r="AO361" s="22">
        <f t="shared" si="723"/>
        <v>0</v>
      </c>
      <c r="AP361">
        <f t="shared" si="723"/>
        <v>0</v>
      </c>
      <c r="AQ361">
        <f t="shared" si="723"/>
        <v>0</v>
      </c>
      <c r="AR361">
        <f t="shared" si="723"/>
        <v>0</v>
      </c>
      <c r="AS361">
        <f t="shared" si="723"/>
        <v>0</v>
      </c>
      <c r="AT361">
        <f t="shared" si="723"/>
        <v>0</v>
      </c>
      <c r="AU361" s="2" t="str">
        <f t="shared" si="723"/>
        <v>p4c</v>
      </c>
      <c r="AV361" s="61">
        <f>AV275</f>
        <v>4.2785630594942822E-2</v>
      </c>
      <c r="AW361" s="447">
        <f>AV361</f>
        <v>4.2785630594942822E-2</v>
      </c>
      <c r="AX361" s="447">
        <f>AV361</f>
        <v>4.2785630594942822E-2</v>
      </c>
      <c r="AY361">
        <f t="shared" ref="AY361:BB361" si="724">AY177</f>
        <v>0</v>
      </c>
      <c r="AZ361">
        <f t="shared" si="724"/>
        <v>0</v>
      </c>
      <c r="BA361">
        <f t="shared" si="724"/>
        <v>0</v>
      </c>
      <c r="BB361">
        <f t="shared" si="724"/>
        <v>0</v>
      </c>
      <c r="BC361">
        <f t="shared" si="592"/>
        <v>0</v>
      </c>
      <c r="BD361">
        <f t="shared" si="593"/>
        <v>0</v>
      </c>
    </row>
    <row r="362" spans="1:56" x14ac:dyDescent="0.3">
      <c r="A362">
        <f t="shared" ref="A362:Y362" si="725">A178</f>
        <v>0</v>
      </c>
      <c r="B362">
        <f t="shared" si="725"/>
        <v>0</v>
      </c>
      <c r="C362">
        <f t="shared" si="725"/>
        <v>0</v>
      </c>
      <c r="D362">
        <f t="shared" si="725"/>
        <v>0</v>
      </c>
      <c r="E362">
        <f t="shared" si="725"/>
        <v>0</v>
      </c>
      <c r="F362">
        <f t="shared" si="725"/>
        <v>0</v>
      </c>
      <c r="G362">
        <f t="shared" si="725"/>
        <v>0</v>
      </c>
      <c r="H362">
        <f t="shared" si="725"/>
        <v>0</v>
      </c>
      <c r="I362">
        <f t="shared" si="725"/>
        <v>0</v>
      </c>
      <c r="J362">
        <f t="shared" si="725"/>
        <v>0</v>
      </c>
      <c r="K362">
        <f t="shared" si="725"/>
        <v>0</v>
      </c>
      <c r="L362">
        <f t="shared" si="725"/>
        <v>0</v>
      </c>
      <c r="M362">
        <f t="shared" si="725"/>
        <v>0</v>
      </c>
      <c r="N362">
        <f t="shared" si="725"/>
        <v>0</v>
      </c>
      <c r="O362">
        <f t="shared" si="725"/>
        <v>0</v>
      </c>
      <c r="P362">
        <f t="shared" si="725"/>
        <v>0</v>
      </c>
      <c r="Q362">
        <f t="shared" si="725"/>
        <v>0</v>
      </c>
      <c r="R362">
        <f t="shared" si="725"/>
        <v>0</v>
      </c>
      <c r="S362">
        <f t="shared" si="725"/>
        <v>0</v>
      </c>
      <c r="T362">
        <f t="shared" si="725"/>
        <v>0</v>
      </c>
      <c r="U362">
        <f t="shared" si="725"/>
        <v>0</v>
      </c>
      <c r="V362">
        <f t="shared" si="725"/>
        <v>0</v>
      </c>
      <c r="W362">
        <f t="shared" si="725"/>
        <v>0</v>
      </c>
      <c r="X362">
        <f t="shared" si="725"/>
        <v>0</v>
      </c>
      <c r="Y362">
        <f t="shared" si="725"/>
        <v>0</v>
      </c>
      <c r="Z362">
        <f t="shared" si="589"/>
        <v>0</v>
      </c>
      <c r="AA362">
        <f t="shared" si="590"/>
        <v>0</v>
      </c>
      <c r="AD362">
        <f t="shared" ref="AD362:BB362" si="726">AD178</f>
        <v>0</v>
      </c>
      <c r="AE362">
        <f t="shared" si="726"/>
        <v>0</v>
      </c>
      <c r="AF362">
        <f t="shared" si="726"/>
        <v>0</v>
      </c>
      <c r="AG362">
        <f t="shared" si="726"/>
        <v>0</v>
      </c>
      <c r="AH362">
        <f t="shared" si="726"/>
        <v>0</v>
      </c>
      <c r="AI362">
        <f t="shared" si="726"/>
        <v>0</v>
      </c>
      <c r="AJ362">
        <f t="shared" si="726"/>
        <v>0</v>
      </c>
      <c r="AK362">
        <f t="shared" si="726"/>
        <v>0</v>
      </c>
      <c r="AL362">
        <f t="shared" si="726"/>
        <v>0</v>
      </c>
      <c r="AM362">
        <f t="shared" si="726"/>
        <v>0</v>
      </c>
      <c r="AN362">
        <f t="shared" si="726"/>
        <v>0</v>
      </c>
      <c r="AO362">
        <f t="shared" si="726"/>
        <v>0</v>
      </c>
      <c r="AP362">
        <f t="shared" si="726"/>
        <v>0</v>
      </c>
      <c r="AQ362">
        <f t="shared" si="726"/>
        <v>0</v>
      </c>
      <c r="AR362">
        <f t="shared" si="726"/>
        <v>0</v>
      </c>
      <c r="AS362">
        <f t="shared" si="726"/>
        <v>0</v>
      </c>
      <c r="AT362">
        <f t="shared" si="726"/>
        <v>0</v>
      </c>
      <c r="AU362">
        <f t="shared" si="726"/>
        <v>0</v>
      </c>
      <c r="AV362">
        <f t="shared" si="726"/>
        <v>0</v>
      </c>
      <c r="AW362">
        <f t="shared" si="726"/>
        <v>0</v>
      </c>
      <c r="AX362">
        <f t="shared" si="726"/>
        <v>0</v>
      </c>
      <c r="AY362">
        <f t="shared" si="726"/>
        <v>0</v>
      </c>
      <c r="AZ362">
        <f t="shared" si="726"/>
        <v>0</v>
      </c>
      <c r="BA362">
        <f t="shared" si="726"/>
        <v>0</v>
      </c>
      <c r="BB362">
        <f t="shared" si="726"/>
        <v>0</v>
      </c>
      <c r="BC362">
        <f t="shared" si="592"/>
        <v>0</v>
      </c>
      <c r="BD362">
        <f t="shared" si="593"/>
        <v>0</v>
      </c>
    </row>
    <row r="363" spans="1:56" x14ac:dyDescent="0.3">
      <c r="A363">
        <f t="shared" ref="A363:Y363" si="727">A179</f>
        <v>0</v>
      </c>
      <c r="B363">
        <f t="shared" si="727"/>
        <v>0</v>
      </c>
      <c r="C363">
        <f t="shared" si="727"/>
        <v>0</v>
      </c>
      <c r="D363">
        <f t="shared" si="727"/>
        <v>0</v>
      </c>
      <c r="E363">
        <f t="shared" si="727"/>
        <v>0</v>
      </c>
      <c r="F363">
        <f t="shared" si="727"/>
        <v>0</v>
      </c>
      <c r="G363">
        <f t="shared" si="727"/>
        <v>0</v>
      </c>
      <c r="H363">
        <f t="shared" si="727"/>
        <v>0</v>
      </c>
      <c r="I363">
        <f t="shared" si="727"/>
        <v>0</v>
      </c>
      <c r="J363">
        <f t="shared" si="727"/>
        <v>0</v>
      </c>
      <c r="K363">
        <f t="shared" si="727"/>
        <v>0</v>
      </c>
      <c r="L363">
        <f t="shared" si="727"/>
        <v>0</v>
      </c>
      <c r="M363">
        <f t="shared" si="727"/>
        <v>0</v>
      </c>
      <c r="N363">
        <f t="shared" si="727"/>
        <v>0</v>
      </c>
      <c r="O363">
        <f t="shared" si="727"/>
        <v>0</v>
      </c>
      <c r="P363">
        <f t="shared" si="727"/>
        <v>0</v>
      </c>
      <c r="Q363">
        <f t="shared" si="727"/>
        <v>0</v>
      </c>
      <c r="R363">
        <f t="shared" si="727"/>
        <v>0</v>
      </c>
      <c r="S363">
        <f t="shared" si="727"/>
        <v>0</v>
      </c>
      <c r="T363">
        <f t="shared" si="727"/>
        <v>0</v>
      </c>
      <c r="U363">
        <f t="shared" si="727"/>
        <v>0</v>
      </c>
      <c r="V363">
        <f t="shared" si="727"/>
        <v>0</v>
      </c>
      <c r="W363">
        <f t="shared" si="727"/>
        <v>0</v>
      </c>
      <c r="X363">
        <f t="shared" si="727"/>
        <v>0</v>
      </c>
      <c r="Y363">
        <f t="shared" si="727"/>
        <v>0</v>
      </c>
      <c r="Z363">
        <f t="shared" si="589"/>
        <v>0</v>
      </c>
      <c r="AA363">
        <f t="shared" si="590"/>
        <v>0</v>
      </c>
      <c r="AD363">
        <f t="shared" ref="AD363:BB363" si="728">AD179</f>
        <v>0</v>
      </c>
      <c r="AE363">
        <f t="shared" si="728"/>
        <v>0</v>
      </c>
      <c r="AF363">
        <f t="shared" si="728"/>
        <v>0</v>
      </c>
      <c r="AG363">
        <f t="shared" si="728"/>
        <v>0</v>
      </c>
      <c r="AH363">
        <f t="shared" si="728"/>
        <v>0</v>
      </c>
      <c r="AI363">
        <f t="shared" si="728"/>
        <v>0</v>
      </c>
      <c r="AJ363">
        <f t="shared" si="728"/>
        <v>0</v>
      </c>
      <c r="AK363">
        <f t="shared" si="728"/>
        <v>0</v>
      </c>
      <c r="AL363">
        <f t="shared" si="728"/>
        <v>0</v>
      </c>
      <c r="AM363">
        <f t="shared" si="728"/>
        <v>0</v>
      </c>
      <c r="AN363">
        <f t="shared" si="728"/>
        <v>0</v>
      </c>
      <c r="AO363">
        <f t="shared" si="728"/>
        <v>0</v>
      </c>
      <c r="AP363">
        <f t="shared" si="728"/>
        <v>0</v>
      </c>
      <c r="AQ363">
        <f t="shared" si="728"/>
        <v>0</v>
      </c>
      <c r="AR363">
        <f t="shared" si="728"/>
        <v>0</v>
      </c>
      <c r="AS363">
        <f t="shared" si="728"/>
        <v>0</v>
      </c>
      <c r="AT363">
        <f t="shared" si="728"/>
        <v>0</v>
      </c>
      <c r="AU363">
        <f t="shared" si="728"/>
        <v>0</v>
      </c>
      <c r="AV363">
        <f t="shared" si="728"/>
        <v>0</v>
      </c>
      <c r="AW363">
        <f t="shared" si="728"/>
        <v>0</v>
      </c>
      <c r="AX363">
        <f t="shared" si="728"/>
        <v>0</v>
      </c>
      <c r="AY363">
        <f t="shared" si="728"/>
        <v>0</v>
      </c>
      <c r="AZ363">
        <f t="shared" si="728"/>
        <v>0</v>
      </c>
      <c r="BA363">
        <f t="shared" si="728"/>
        <v>0</v>
      </c>
      <c r="BB363">
        <f t="shared" si="728"/>
        <v>0</v>
      </c>
      <c r="BC363">
        <f t="shared" si="592"/>
        <v>0</v>
      </c>
      <c r="BD363">
        <f t="shared" si="593"/>
        <v>0</v>
      </c>
    </row>
    <row r="364" spans="1:56" x14ac:dyDescent="0.3">
      <c r="A364" t="str">
        <f t="shared" ref="A364:Y364" si="729">A180</f>
        <v>sum check row</v>
      </c>
      <c r="B364">
        <f t="shared" si="729"/>
        <v>0</v>
      </c>
      <c r="C364">
        <f t="shared" si="729"/>
        <v>0</v>
      </c>
      <c r="D364">
        <f t="shared" si="729"/>
        <v>0</v>
      </c>
      <c r="E364">
        <f t="shared" si="729"/>
        <v>0</v>
      </c>
      <c r="F364">
        <f t="shared" si="729"/>
        <v>0</v>
      </c>
      <c r="G364" s="2" t="str">
        <f t="shared" si="729"/>
        <v>Bottom Branch:</v>
      </c>
      <c r="H364" s="2" t="str">
        <f t="shared" si="729"/>
        <v>sum check</v>
      </c>
      <c r="I364" s="21">
        <f t="shared" si="729"/>
        <v>8507.3064999999988</v>
      </c>
      <c r="J364">
        <f t="shared" si="729"/>
        <v>0</v>
      </c>
      <c r="K364" s="55" t="str">
        <f t="shared" si="729"/>
        <v>sum check</v>
      </c>
      <c r="L364" s="56">
        <f t="shared" si="729"/>
        <v>8507.3064999999988</v>
      </c>
      <c r="M364">
        <f t="shared" si="729"/>
        <v>0</v>
      </c>
      <c r="N364">
        <f t="shared" si="729"/>
        <v>0</v>
      </c>
      <c r="O364">
        <f t="shared" si="729"/>
        <v>0</v>
      </c>
      <c r="P364">
        <f t="shared" si="729"/>
        <v>0</v>
      </c>
      <c r="Q364">
        <f t="shared" si="729"/>
        <v>0</v>
      </c>
      <c r="R364" s="55" t="str">
        <f t="shared" si="729"/>
        <v>sum check</v>
      </c>
      <c r="S364" s="56">
        <f t="shared" si="729"/>
        <v>14575.276978612816</v>
      </c>
      <c r="T364">
        <f t="shared" si="729"/>
        <v>0</v>
      </c>
      <c r="U364">
        <f t="shared" si="729"/>
        <v>0</v>
      </c>
      <c r="V364" s="2" t="str">
        <f t="shared" si="729"/>
        <v>sum check</v>
      </c>
      <c r="W364" s="21">
        <f t="shared" si="729"/>
        <v>5277.2628381100858</v>
      </c>
      <c r="X364">
        <f t="shared" si="729"/>
        <v>0</v>
      </c>
      <c r="Y364">
        <f t="shared" si="729"/>
        <v>0</v>
      </c>
      <c r="Z364">
        <f t="shared" si="589"/>
        <v>0</v>
      </c>
      <c r="AA364">
        <f t="shared" si="590"/>
        <v>0</v>
      </c>
      <c r="AD364" t="str">
        <f t="shared" ref="AD364:BB364" si="730">AD180</f>
        <v>sum check row</v>
      </c>
      <c r="AE364">
        <f t="shared" si="730"/>
        <v>0</v>
      </c>
      <c r="AF364">
        <f t="shared" si="730"/>
        <v>0</v>
      </c>
      <c r="AG364">
        <f t="shared" si="730"/>
        <v>0</v>
      </c>
      <c r="AH364">
        <f t="shared" si="730"/>
        <v>0</v>
      </c>
      <c r="AI364">
        <f t="shared" si="730"/>
        <v>0</v>
      </c>
      <c r="AJ364" s="2" t="str">
        <f t="shared" si="730"/>
        <v>Bottom Branch:</v>
      </c>
      <c r="AK364" s="2" t="str">
        <f t="shared" si="730"/>
        <v>sum check</v>
      </c>
      <c r="AL364" s="21">
        <f t="shared" si="730"/>
        <v>8507.3064999999988</v>
      </c>
      <c r="AM364">
        <f t="shared" si="730"/>
        <v>0</v>
      </c>
      <c r="AN364" s="55" t="str">
        <f t="shared" si="730"/>
        <v>sum check</v>
      </c>
      <c r="AO364" s="56">
        <f t="shared" si="730"/>
        <v>8507.3064999999988</v>
      </c>
      <c r="AP364">
        <f t="shared" si="730"/>
        <v>0</v>
      </c>
      <c r="AQ364">
        <f t="shared" si="730"/>
        <v>0</v>
      </c>
      <c r="AR364">
        <f t="shared" si="730"/>
        <v>0</v>
      </c>
      <c r="AS364">
        <f t="shared" si="730"/>
        <v>0</v>
      </c>
      <c r="AT364">
        <f t="shared" si="730"/>
        <v>0</v>
      </c>
      <c r="AU364" s="55" t="str">
        <f t="shared" si="730"/>
        <v>sum check</v>
      </c>
      <c r="AV364" s="56">
        <f t="shared" si="730"/>
        <v>5982.3223234474681</v>
      </c>
      <c r="AW364">
        <f t="shared" si="730"/>
        <v>0</v>
      </c>
      <c r="AX364">
        <f t="shared" si="730"/>
        <v>0</v>
      </c>
      <c r="AY364" s="2" t="str">
        <f t="shared" si="730"/>
        <v>sum check</v>
      </c>
      <c r="AZ364" s="21">
        <f t="shared" si="730"/>
        <v>1832.8542885371098</v>
      </c>
      <c r="BA364">
        <f t="shared" si="730"/>
        <v>0</v>
      </c>
      <c r="BB364">
        <f t="shared" si="730"/>
        <v>0</v>
      </c>
      <c r="BC364">
        <f t="shared" si="592"/>
        <v>0</v>
      </c>
      <c r="BD364">
        <f t="shared" si="593"/>
        <v>0</v>
      </c>
    </row>
    <row r="365" spans="1:56" x14ac:dyDescent="0.3">
      <c r="A365">
        <f t="shared" ref="A365:AA365" si="731">A181</f>
        <v>0</v>
      </c>
      <c r="B365">
        <f t="shared" si="731"/>
        <v>0</v>
      </c>
      <c r="C365">
        <f t="shared" si="731"/>
        <v>0</v>
      </c>
      <c r="D365">
        <f t="shared" si="731"/>
        <v>0</v>
      </c>
      <c r="E365">
        <f t="shared" si="731"/>
        <v>0</v>
      </c>
      <c r="F365">
        <f t="shared" si="731"/>
        <v>0</v>
      </c>
      <c r="G365">
        <f t="shared" si="731"/>
        <v>0</v>
      </c>
      <c r="H365">
        <f t="shared" si="731"/>
        <v>0</v>
      </c>
      <c r="I365">
        <f t="shared" si="731"/>
        <v>0</v>
      </c>
      <c r="J365">
        <f t="shared" si="731"/>
        <v>0</v>
      </c>
      <c r="K365" s="28">
        <f t="shared" si="731"/>
        <v>0</v>
      </c>
      <c r="L365">
        <f t="shared" si="731"/>
        <v>0</v>
      </c>
      <c r="M365">
        <f t="shared" si="731"/>
        <v>0</v>
      </c>
      <c r="N365">
        <f t="shared" si="731"/>
        <v>0</v>
      </c>
      <c r="O365">
        <f t="shared" si="731"/>
        <v>0</v>
      </c>
      <c r="P365">
        <f t="shared" si="731"/>
        <v>0</v>
      </c>
      <c r="Q365">
        <f t="shared" si="731"/>
        <v>0</v>
      </c>
      <c r="R365">
        <f t="shared" si="731"/>
        <v>0</v>
      </c>
      <c r="S365">
        <f t="shared" si="731"/>
        <v>0</v>
      </c>
      <c r="T365">
        <f t="shared" si="731"/>
        <v>0</v>
      </c>
      <c r="U365">
        <f t="shared" si="731"/>
        <v>0</v>
      </c>
      <c r="V365">
        <f t="shared" si="731"/>
        <v>0</v>
      </c>
      <c r="W365">
        <f t="shared" si="731"/>
        <v>0</v>
      </c>
      <c r="X365">
        <f t="shared" si="731"/>
        <v>0</v>
      </c>
      <c r="Y365">
        <f t="shared" si="731"/>
        <v>0</v>
      </c>
      <c r="Z365">
        <f t="shared" si="731"/>
        <v>0</v>
      </c>
      <c r="AA365">
        <f t="shared" si="731"/>
        <v>0</v>
      </c>
      <c r="AD365">
        <f t="shared" ref="AD365:BD365" si="732">AD181</f>
        <v>0</v>
      </c>
      <c r="AE365">
        <f t="shared" si="732"/>
        <v>0</v>
      </c>
      <c r="AF365">
        <f t="shared" si="732"/>
        <v>0</v>
      </c>
      <c r="AG365">
        <f t="shared" si="732"/>
        <v>0</v>
      </c>
      <c r="AH365">
        <f t="shared" si="732"/>
        <v>0</v>
      </c>
      <c r="AI365">
        <f t="shared" si="732"/>
        <v>0</v>
      </c>
      <c r="AJ365">
        <f t="shared" si="732"/>
        <v>0</v>
      </c>
      <c r="AK365">
        <f t="shared" si="732"/>
        <v>0</v>
      </c>
      <c r="AL365">
        <f t="shared" si="732"/>
        <v>0</v>
      </c>
      <c r="AM365">
        <f t="shared" si="732"/>
        <v>0</v>
      </c>
      <c r="AN365" s="28">
        <f t="shared" si="732"/>
        <v>0</v>
      </c>
      <c r="AO365">
        <f t="shared" si="732"/>
        <v>0</v>
      </c>
      <c r="AP365">
        <f t="shared" si="732"/>
        <v>0</v>
      </c>
      <c r="AQ365">
        <f t="shared" si="732"/>
        <v>0</v>
      </c>
      <c r="AR365">
        <f t="shared" si="732"/>
        <v>0</v>
      </c>
      <c r="AS365">
        <f t="shared" si="732"/>
        <v>0</v>
      </c>
      <c r="AT365">
        <f t="shared" si="732"/>
        <v>0</v>
      </c>
      <c r="AU365">
        <f t="shared" si="732"/>
        <v>0</v>
      </c>
      <c r="AV365">
        <f t="shared" si="732"/>
        <v>0</v>
      </c>
      <c r="AW365">
        <f t="shared" si="732"/>
        <v>0</v>
      </c>
      <c r="AX365">
        <f t="shared" si="732"/>
        <v>0</v>
      </c>
      <c r="AY365">
        <f t="shared" si="732"/>
        <v>0</v>
      </c>
      <c r="AZ365">
        <f t="shared" si="732"/>
        <v>0</v>
      </c>
      <c r="BA365">
        <f t="shared" si="732"/>
        <v>0</v>
      </c>
      <c r="BB365">
        <f t="shared" si="732"/>
        <v>0</v>
      </c>
      <c r="BC365">
        <f t="shared" si="732"/>
        <v>0</v>
      </c>
      <c r="BD365">
        <f t="shared" si="732"/>
        <v>0</v>
      </c>
    </row>
    <row r="366" spans="1:56" x14ac:dyDescent="0.3">
      <c r="A366" s="438">
        <f t="shared" ref="A366:AA366" si="733">A182</f>
        <v>0</v>
      </c>
      <c r="B366" s="438">
        <f t="shared" si="733"/>
        <v>0</v>
      </c>
      <c r="C366" s="438">
        <f t="shared" si="733"/>
        <v>0</v>
      </c>
      <c r="D366" s="438">
        <f t="shared" si="733"/>
        <v>0</v>
      </c>
      <c r="E366" s="438">
        <f t="shared" si="733"/>
        <v>0</v>
      </c>
      <c r="F366" s="438">
        <f t="shared" si="733"/>
        <v>0</v>
      </c>
      <c r="G366" s="438">
        <f t="shared" si="733"/>
        <v>0</v>
      </c>
      <c r="H366" s="438">
        <f t="shared" si="733"/>
        <v>0</v>
      </c>
      <c r="I366" s="438">
        <f t="shared" si="733"/>
        <v>0</v>
      </c>
      <c r="J366" s="438">
        <f t="shared" si="733"/>
        <v>0</v>
      </c>
      <c r="K366" s="438">
        <f t="shared" si="733"/>
        <v>0</v>
      </c>
      <c r="L366" s="438">
        <f t="shared" si="733"/>
        <v>0</v>
      </c>
      <c r="M366" s="438">
        <f t="shared" si="733"/>
        <v>0</v>
      </c>
      <c r="N366" s="438">
        <f t="shared" si="733"/>
        <v>0</v>
      </c>
      <c r="O366" s="438">
        <f t="shared" si="733"/>
        <v>0</v>
      </c>
      <c r="P366" s="438">
        <f t="shared" si="733"/>
        <v>0</v>
      </c>
      <c r="Q366" s="438">
        <f t="shared" si="733"/>
        <v>0</v>
      </c>
      <c r="R366" s="438">
        <f t="shared" si="733"/>
        <v>0</v>
      </c>
      <c r="S366" s="438">
        <f t="shared" si="733"/>
        <v>0</v>
      </c>
      <c r="T366" s="438">
        <f t="shared" si="733"/>
        <v>0</v>
      </c>
      <c r="U366" s="438">
        <f t="shared" si="733"/>
        <v>0</v>
      </c>
      <c r="V366" s="438">
        <f t="shared" si="733"/>
        <v>0</v>
      </c>
      <c r="W366" s="438">
        <f t="shared" si="733"/>
        <v>0</v>
      </c>
      <c r="X366" s="438">
        <f t="shared" si="733"/>
        <v>0</v>
      </c>
      <c r="Y366" s="438">
        <f t="shared" si="733"/>
        <v>0</v>
      </c>
      <c r="Z366" s="438">
        <f t="shared" si="733"/>
        <v>0</v>
      </c>
      <c r="AA366" s="438">
        <f t="shared" si="733"/>
        <v>0</v>
      </c>
      <c r="AD366" s="500">
        <f t="shared" ref="AD366:BD366" si="734">AD182</f>
        <v>0</v>
      </c>
      <c r="AE366" s="500">
        <f t="shared" si="734"/>
        <v>0</v>
      </c>
      <c r="AF366" s="500">
        <f t="shared" si="734"/>
        <v>0</v>
      </c>
      <c r="AG366" s="500">
        <f t="shared" si="734"/>
        <v>0</v>
      </c>
      <c r="AH366" s="500">
        <f t="shared" si="734"/>
        <v>0</v>
      </c>
      <c r="AI366" s="500">
        <f t="shared" si="734"/>
        <v>0</v>
      </c>
      <c r="AJ366" s="500">
        <f t="shared" si="734"/>
        <v>0</v>
      </c>
      <c r="AK366" s="500">
        <f t="shared" si="734"/>
        <v>0</v>
      </c>
      <c r="AL366" s="500">
        <f t="shared" si="734"/>
        <v>0</v>
      </c>
      <c r="AM366" s="500">
        <f t="shared" si="734"/>
        <v>0</v>
      </c>
      <c r="AN366" s="500">
        <f t="shared" si="734"/>
        <v>0</v>
      </c>
      <c r="AO366" s="500">
        <f t="shared" si="734"/>
        <v>0</v>
      </c>
      <c r="AP366" s="500">
        <f t="shared" si="734"/>
        <v>0</v>
      </c>
      <c r="AQ366" s="500">
        <f t="shared" si="734"/>
        <v>0</v>
      </c>
      <c r="AR366" s="500">
        <f t="shared" si="734"/>
        <v>0</v>
      </c>
      <c r="AS366" s="500">
        <f t="shared" si="734"/>
        <v>0</v>
      </c>
      <c r="AT366" s="500">
        <f t="shared" si="734"/>
        <v>0</v>
      </c>
      <c r="AU366" s="500">
        <f t="shared" si="734"/>
        <v>0</v>
      </c>
      <c r="AV366" s="500">
        <f t="shared" si="734"/>
        <v>0</v>
      </c>
      <c r="AW366" s="500">
        <f t="shared" si="734"/>
        <v>0</v>
      </c>
      <c r="AX366" s="500">
        <f t="shared" si="734"/>
        <v>0</v>
      </c>
      <c r="AY366" s="500">
        <f t="shared" si="734"/>
        <v>0</v>
      </c>
      <c r="AZ366" s="500">
        <f t="shared" si="734"/>
        <v>0</v>
      </c>
      <c r="BA366" s="500">
        <f t="shared" si="734"/>
        <v>0</v>
      </c>
      <c r="BB366" s="500">
        <f t="shared" si="734"/>
        <v>0</v>
      </c>
      <c r="BC366" s="500">
        <f t="shared" si="734"/>
        <v>0</v>
      </c>
      <c r="BD366" s="500">
        <f t="shared" si="734"/>
        <v>0</v>
      </c>
    </row>
    <row r="367" spans="1:56" ht="15" thickBot="1" x14ac:dyDescent="0.35"/>
    <row r="368" spans="1:56" ht="18.600000000000001" thickBot="1" x14ac:dyDescent="0.4">
      <c r="A368" s="436"/>
      <c r="B368" s="1119" t="s">
        <v>183</v>
      </c>
      <c r="C368" s="1119"/>
      <c r="D368" s="1119"/>
      <c r="E368" s="1119"/>
      <c r="F368" s="1106"/>
      <c r="G368" s="1106"/>
      <c r="H368" s="1106"/>
      <c r="I368" s="1106"/>
      <c r="J368" s="1106"/>
      <c r="K368" s="1106"/>
      <c r="L368" s="1106"/>
      <c r="M368" s="1106"/>
      <c r="N368" s="1106"/>
      <c r="O368" s="1106"/>
      <c r="P368" s="1106"/>
      <c r="Q368" s="1106"/>
      <c r="R368" s="1106"/>
      <c r="S368" s="1106"/>
      <c r="T368" s="1106"/>
      <c r="U368" s="1106"/>
      <c r="V368" s="1106"/>
      <c r="W368" s="1106"/>
      <c r="X368" s="1106"/>
      <c r="Y368" s="1106"/>
      <c r="Z368" s="1106"/>
      <c r="AA368" s="1106"/>
      <c r="AD368" s="682"/>
      <c r="AE368" s="1119" t="s">
        <v>183</v>
      </c>
      <c r="AF368" s="1119"/>
      <c r="AG368" s="1119"/>
      <c r="AH368" s="1119"/>
      <c r="AI368" s="1106"/>
      <c r="AJ368" s="1106"/>
      <c r="AK368" s="1106"/>
      <c r="AL368" s="1106"/>
      <c r="AM368" s="1106"/>
      <c r="AN368" s="1106"/>
      <c r="AO368" s="1106"/>
      <c r="AP368" s="1106"/>
      <c r="AQ368" s="1106"/>
      <c r="AR368" s="1106"/>
      <c r="AS368" s="1106"/>
      <c r="AT368" s="1106"/>
      <c r="AU368" s="1106"/>
      <c r="AV368" s="1106"/>
      <c r="AW368" s="1106"/>
      <c r="AX368" s="1106"/>
      <c r="AY368" s="1106"/>
      <c r="AZ368" s="1106"/>
      <c r="BA368" s="1106"/>
      <c r="BB368" s="1106"/>
      <c r="BC368" s="1106"/>
      <c r="BD368" s="1106"/>
    </row>
    <row r="369" spans="1:56" x14ac:dyDescent="0.3">
      <c r="A369" s="1116" t="s">
        <v>267</v>
      </c>
      <c r="B369" s="1116"/>
      <c r="C369" s="1116"/>
      <c r="D369" s="1116"/>
      <c r="E369" s="1116"/>
      <c r="F369" s="1116"/>
      <c r="G369" s="1116"/>
      <c r="H369" s="1116"/>
      <c r="I369" s="1116"/>
      <c r="J369" s="1116"/>
      <c r="K369" s="1116"/>
      <c r="L369" s="1116"/>
      <c r="M369" s="1116"/>
      <c r="N369" s="1116"/>
      <c r="O369" s="1116"/>
      <c r="P369" s="13">
        <f t="shared" ref="P369:AA369" si="735">P185</f>
        <v>0</v>
      </c>
      <c r="Q369" s="13">
        <f t="shared" si="735"/>
        <v>0</v>
      </c>
      <c r="R369" s="13">
        <f t="shared" si="735"/>
        <v>0</v>
      </c>
      <c r="S369" s="13">
        <f t="shared" si="735"/>
        <v>0</v>
      </c>
      <c r="T369" s="13">
        <f t="shared" si="735"/>
        <v>0</v>
      </c>
      <c r="U369" s="13">
        <f t="shared" si="735"/>
        <v>0</v>
      </c>
      <c r="V369">
        <f t="shared" si="735"/>
        <v>0</v>
      </c>
      <c r="W369">
        <f t="shared" si="735"/>
        <v>0</v>
      </c>
      <c r="X369">
        <f t="shared" si="735"/>
        <v>0</v>
      </c>
      <c r="Y369">
        <f t="shared" si="735"/>
        <v>0</v>
      </c>
      <c r="Z369">
        <f t="shared" si="735"/>
        <v>0</v>
      </c>
      <c r="AA369">
        <f t="shared" si="735"/>
        <v>0</v>
      </c>
      <c r="AD369" s="1116" t="s">
        <v>267</v>
      </c>
      <c r="AE369" s="1116"/>
      <c r="AF369" s="1116"/>
      <c r="AG369" s="1116"/>
      <c r="AH369" s="1116"/>
      <c r="AI369" s="1116"/>
      <c r="AJ369" s="1116"/>
      <c r="AK369" s="1116"/>
      <c r="AL369" s="1116"/>
      <c r="AM369" s="1116"/>
      <c r="AN369" s="1116"/>
      <c r="AO369" s="1116"/>
      <c r="AP369" s="1116"/>
      <c r="AQ369" s="1116"/>
      <c r="AR369" s="1116"/>
      <c r="AS369" s="13">
        <f t="shared" ref="AS369:BD369" si="736">AS185</f>
        <v>0</v>
      </c>
      <c r="AT369" s="13">
        <f t="shared" si="736"/>
        <v>0</v>
      </c>
      <c r="AU369" s="13">
        <f t="shared" si="736"/>
        <v>0</v>
      </c>
      <c r="AV369" s="13">
        <f t="shared" si="736"/>
        <v>0</v>
      </c>
      <c r="AW369" s="13">
        <f t="shared" si="736"/>
        <v>0</v>
      </c>
      <c r="AX369" s="13">
        <f t="shared" si="736"/>
        <v>0</v>
      </c>
      <c r="AY369">
        <f t="shared" si="736"/>
        <v>0</v>
      </c>
      <c r="AZ369">
        <f t="shared" si="736"/>
        <v>0</v>
      </c>
      <c r="BA369">
        <f t="shared" si="736"/>
        <v>0</v>
      </c>
      <c r="BB369">
        <f t="shared" si="736"/>
        <v>0</v>
      </c>
      <c r="BC369">
        <f t="shared" si="736"/>
        <v>0</v>
      </c>
      <c r="BD369">
        <f t="shared" si="736"/>
        <v>0</v>
      </c>
    </row>
    <row r="370" spans="1:56" x14ac:dyDescent="0.3">
      <c r="A370" t="str">
        <f t="shared" ref="A370:AA370" si="737">A186</f>
        <v>sum check row</v>
      </c>
      <c r="B370">
        <f t="shared" si="737"/>
        <v>0</v>
      </c>
      <c r="C370">
        <f t="shared" si="737"/>
        <v>0</v>
      </c>
      <c r="D370">
        <f t="shared" si="737"/>
        <v>0</v>
      </c>
      <c r="E370">
        <f t="shared" si="737"/>
        <v>0</v>
      </c>
      <c r="F370">
        <f t="shared" si="737"/>
        <v>0</v>
      </c>
      <c r="G370">
        <f t="shared" si="737"/>
        <v>0</v>
      </c>
      <c r="H370" s="13">
        <f t="shared" si="737"/>
        <v>0</v>
      </c>
      <c r="I370" s="13">
        <f t="shared" si="737"/>
        <v>0</v>
      </c>
      <c r="J370" s="13">
        <f t="shared" si="737"/>
        <v>0</v>
      </c>
      <c r="K370" s="13">
        <f t="shared" si="737"/>
        <v>0</v>
      </c>
      <c r="L370" s="13">
        <f t="shared" si="737"/>
        <v>0</v>
      </c>
      <c r="M370" t="str">
        <f t="shared" si="737"/>
        <v>sum check</v>
      </c>
      <c r="N370" s="8">
        <f t="shared" si="737"/>
        <v>1004972.4610476634</v>
      </c>
      <c r="O370" s="13">
        <f t="shared" si="737"/>
        <v>0</v>
      </c>
      <c r="P370" s="13">
        <f t="shared" si="737"/>
        <v>0</v>
      </c>
      <c r="Q370">
        <f t="shared" si="737"/>
        <v>0</v>
      </c>
      <c r="R370" t="str">
        <f t="shared" si="737"/>
        <v>sum check</v>
      </c>
      <c r="S370" s="8">
        <f t="shared" si="737"/>
        <v>149519.46964704155</v>
      </c>
      <c r="T370" s="8">
        <f t="shared" si="737"/>
        <v>0</v>
      </c>
      <c r="U370" s="102">
        <f t="shared" si="737"/>
        <v>0</v>
      </c>
      <c r="V370" s="103">
        <f t="shared" si="737"/>
        <v>0</v>
      </c>
      <c r="W370" t="str">
        <f t="shared" si="737"/>
        <v>sum check</v>
      </c>
      <c r="X370" s="8">
        <f t="shared" si="737"/>
        <v>59902.525189236017</v>
      </c>
      <c r="Y370" s="102">
        <f t="shared" si="737"/>
        <v>0</v>
      </c>
      <c r="Z370" s="28">
        <f t="shared" si="737"/>
        <v>0</v>
      </c>
      <c r="AA370" s="19">
        <f t="shared" si="737"/>
        <v>0</v>
      </c>
      <c r="AD370" t="str">
        <f t="shared" ref="AD370:BD370" si="738">AD186</f>
        <v>sum check row</v>
      </c>
      <c r="AE370">
        <f t="shared" si="738"/>
        <v>0</v>
      </c>
      <c r="AF370">
        <f t="shared" si="738"/>
        <v>0</v>
      </c>
      <c r="AG370">
        <f t="shared" si="738"/>
        <v>0</v>
      </c>
      <c r="AH370">
        <f t="shared" si="738"/>
        <v>0</v>
      </c>
      <c r="AI370">
        <f t="shared" si="738"/>
        <v>0</v>
      </c>
      <c r="AJ370">
        <f t="shared" si="738"/>
        <v>0</v>
      </c>
      <c r="AK370" s="13">
        <f t="shared" si="738"/>
        <v>0</v>
      </c>
      <c r="AL370" s="13">
        <f t="shared" si="738"/>
        <v>0</v>
      </c>
      <c r="AM370" s="13">
        <f t="shared" si="738"/>
        <v>0</v>
      </c>
      <c r="AN370" s="13">
        <f t="shared" si="738"/>
        <v>0</v>
      </c>
      <c r="AO370" s="13">
        <f t="shared" si="738"/>
        <v>0</v>
      </c>
      <c r="AP370" t="str">
        <f t="shared" si="738"/>
        <v>sum check</v>
      </c>
      <c r="AQ370" s="8">
        <f t="shared" si="738"/>
        <v>1004972.4610476634</v>
      </c>
      <c r="AR370" s="13">
        <f t="shared" si="738"/>
        <v>0</v>
      </c>
      <c r="AS370" s="13">
        <f t="shared" si="738"/>
        <v>0</v>
      </c>
      <c r="AT370">
        <f t="shared" si="738"/>
        <v>0</v>
      </c>
      <c r="AU370" t="str">
        <f t="shared" si="738"/>
        <v>sum check</v>
      </c>
      <c r="AV370" s="8">
        <f t="shared" si="738"/>
        <v>61369.239320257082</v>
      </c>
      <c r="AW370" s="8">
        <f t="shared" si="738"/>
        <v>0</v>
      </c>
      <c r="AX370" s="102">
        <f t="shared" si="738"/>
        <v>0</v>
      </c>
      <c r="AY370" s="103">
        <f t="shared" si="738"/>
        <v>0</v>
      </c>
      <c r="AZ370" t="str">
        <f t="shared" si="738"/>
        <v>sum check</v>
      </c>
      <c r="BA370" s="8">
        <f t="shared" si="738"/>
        <v>13595.952959369357</v>
      </c>
      <c r="BB370" s="102">
        <f t="shared" si="738"/>
        <v>0</v>
      </c>
      <c r="BC370" s="28">
        <f t="shared" si="738"/>
        <v>0</v>
      </c>
      <c r="BD370" s="19">
        <f t="shared" si="738"/>
        <v>0</v>
      </c>
    </row>
    <row r="371" spans="1:56" x14ac:dyDescent="0.3">
      <c r="A371">
        <f t="shared" ref="A371:AA371" si="739">A187</f>
        <v>0</v>
      </c>
      <c r="B371">
        <f t="shared" si="739"/>
        <v>0</v>
      </c>
      <c r="C371">
        <f t="shared" si="739"/>
        <v>0</v>
      </c>
      <c r="D371">
        <f t="shared" si="739"/>
        <v>0</v>
      </c>
      <c r="E371">
        <f t="shared" si="739"/>
        <v>0</v>
      </c>
      <c r="F371">
        <f t="shared" si="739"/>
        <v>0</v>
      </c>
      <c r="G371">
        <f t="shared" si="739"/>
        <v>0</v>
      </c>
      <c r="H371">
        <f t="shared" si="739"/>
        <v>0</v>
      </c>
      <c r="I371">
        <f t="shared" si="739"/>
        <v>0</v>
      </c>
      <c r="J371">
        <f t="shared" si="739"/>
        <v>0</v>
      </c>
      <c r="K371">
        <f t="shared" si="739"/>
        <v>0</v>
      </c>
      <c r="L371">
        <f t="shared" si="739"/>
        <v>0</v>
      </c>
      <c r="M371">
        <f t="shared" si="739"/>
        <v>0</v>
      </c>
      <c r="N371">
        <f t="shared" si="739"/>
        <v>0</v>
      </c>
      <c r="O371">
        <f t="shared" si="739"/>
        <v>0</v>
      </c>
      <c r="P371">
        <f t="shared" si="739"/>
        <v>0</v>
      </c>
      <c r="Q371">
        <f t="shared" si="739"/>
        <v>0</v>
      </c>
      <c r="R371">
        <f t="shared" si="739"/>
        <v>0</v>
      </c>
      <c r="S371">
        <f t="shared" si="739"/>
        <v>0</v>
      </c>
      <c r="T371">
        <f t="shared" si="739"/>
        <v>0</v>
      </c>
      <c r="U371">
        <f t="shared" si="739"/>
        <v>0</v>
      </c>
      <c r="V371">
        <f t="shared" si="739"/>
        <v>0</v>
      </c>
      <c r="W371">
        <f t="shared" si="739"/>
        <v>0</v>
      </c>
      <c r="X371">
        <f t="shared" si="739"/>
        <v>0</v>
      </c>
      <c r="Y371" s="1117" t="s">
        <v>184</v>
      </c>
      <c r="Z371" s="1117"/>
      <c r="AA371">
        <f t="shared" si="739"/>
        <v>0</v>
      </c>
      <c r="AD371">
        <f t="shared" ref="AD371:BA371" si="740">AD187</f>
        <v>0</v>
      </c>
      <c r="AE371">
        <f t="shared" si="740"/>
        <v>0</v>
      </c>
      <c r="AF371">
        <f t="shared" si="740"/>
        <v>0</v>
      </c>
      <c r="AG371">
        <f t="shared" si="740"/>
        <v>0</v>
      </c>
      <c r="AH371">
        <f t="shared" si="740"/>
        <v>0</v>
      </c>
      <c r="AI371">
        <f t="shared" si="740"/>
        <v>0</v>
      </c>
      <c r="AJ371">
        <f t="shared" si="740"/>
        <v>0</v>
      </c>
      <c r="AK371">
        <f t="shared" si="740"/>
        <v>0</v>
      </c>
      <c r="AL371">
        <f t="shared" si="740"/>
        <v>0</v>
      </c>
      <c r="AM371">
        <f t="shared" si="740"/>
        <v>0</v>
      </c>
      <c r="AN371">
        <f t="shared" si="740"/>
        <v>0</v>
      </c>
      <c r="AO371">
        <f t="shared" si="740"/>
        <v>0</v>
      </c>
      <c r="AP371">
        <f t="shared" si="740"/>
        <v>0</v>
      </c>
      <c r="AQ371">
        <f t="shared" si="740"/>
        <v>0</v>
      </c>
      <c r="AR371">
        <f t="shared" si="740"/>
        <v>0</v>
      </c>
      <c r="AS371">
        <f t="shared" si="740"/>
        <v>0</v>
      </c>
      <c r="AT371">
        <f t="shared" si="740"/>
        <v>0</v>
      </c>
      <c r="AU371">
        <f t="shared" si="740"/>
        <v>0</v>
      </c>
      <c r="AV371">
        <f t="shared" si="740"/>
        <v>0</v>
      </c>
      <c r="AW371">
        <f t="shared" si="740"/>
        <v>0</v>
      </c>
      <c r="AX371">
        <f t="shared" si="740"/>
        <v>0</v>
      </c>
      <c r="AY371">
        <f t="shared" si="740"/>
        <v>0</v>
      </c>
      <c r="AZ371">
        <f t="shared" si="740"/>
        <v>0</v>
      </c>
      <c r="BA371">
        <f t="shared" si="740"/>
        <v>0</v>
      </c>
      <c r="BB371" s="1117" t="s">
        <v>184</v>
      </c>
      <c r="BC371" s="1117"/>
      <c r="BD371">
        <f t="shared" ref="BD371" si="741">BD187</f>
        <v>0</v>
      </c>
    </row>
    <row r="372" spans="1:56" x14ac:dyDescent="0.3">
      <c r="A372">
        <f t="shared" ref="A372:AA372" si="742">A188</f>
        <v>0</v>
      </c>
      <c r="B372">
        <f t="shared" si="742"/>
        <v>0</v>
      </c>
      <c r="C372">
        <f t="shared" si="742"/>
        <v>0</v>
      </c>
      <c r="D372">
        <f t="shared" si="742"/>
        <v>0</v>
      </c>
      <c r="E372">
        <f t="shared" si="742"/>
        <v>0</v>
      </c>
      <c r="F372">
        <f t="shared" si="742"/>
        <v>0</v>
      </c>
      <c r="G372">
        <f t="shared" si="742"/>
        <v>0</v>
      </c>
      <c r="H372" s="13">
        <f t="shared" si="742"/>
        <v>0</v>
      </c>
      <c r="I372" s="13">
        <f t="shared" si="742"/>
        <v>0</v>
      </c>
      <c r="J372" s="13">
        <f t="shared" si="742"/>
        <v>0</v>
      </c>
      <c r="K372" s="13">
        <f t="shared" si="742"/>
        <v>0</v>
      </c>
      <c r="L372" s="13">
        <f t="shared" si="742"/>
        <v>0</v>
      </c>
      <c r="M372" s="13">
        <f t="shared" si="742"/>
        <v>0</v>
      </c>
      <c r="N372" s="13">
        <f t="shared" si="742"/>
        <v>0</v>
      </c>
      <c r="O372" s="13">
        <f t="shared" si="742"/>
        <v>0</v>
      </c>
      <c r="P372" s="13">
        <f t="shared" si="742"/>
        <v>0</v>
      </c>
      <c r="Q372">
        <f t="shared" si="742"/>
        <v>0</v>
      </c>
      <c r="R372">
        <f t="shared" si="742"/>
        <v>0</v>
      </c>
      <c r="S372">
        <f t="shared" si="742"/>
        <v>0</v>
      </c>
      <c r="T372">
        <f t="shared" si="742"/>
        <v>0</v>
      </c>
      <c r="U372">
        <f t="shared" si="742"/>
        <v>0</v>
      </c>
      <c r="V372">
        <f t="shared" si="742"/>
        <v>0</v>
      </c>
      <c r="W372">
        <f t="shared" si="742"/>
        <v>0</v>
      </c>
      <c r="X372" s="437" t="str">
        <f t="shared" si="742"/>
        <v>base</v>
      </c>
      <c r="Y372" s="437" t="str">
        <f t="shared" si="742"/>
        <v>low</v>
      </c>
      <c r="Z372" s="437" t="str">
        <f t="shared" si="742"/>
        <v>high</v>
      </c>
      <c r="AA372">
        <f t="shared" si="742"/>
        <v>0</v>
      </c>
      <c r="AD372">
        <f t="shared" ref="AD372:BD372" si="743">AD188</f>
        <v>0</v>
      </c>
      <c r="AE372">
        <f t="shared" si="743"/>
        <v>0</v>
      </c>
      <c r="AF372">
        <f t="shared" si="743"/>
        <v>0</v>
      </c>
      <c r="AG372">
        <f t="shared" si="743"/>
        <v>0</v>
      </c>
      <c r="AH372">
        <f t="shared" si="743"/>
        <v>0</v>
      </c>
      <c r="AI372">
        <f t="shared" si="743"/>
        <v>0</v>
      </c>
      <c r="AJ372">
        <f t="shared" si="743"/>
        <v>0</v>
      </c>
      <c r="AK372" s="13">
        <f t="shared" si="743"/>
        <v>0</v>
      </c>
      <c r="AL372" s="13">
        <f t="shared" si="743"/>
        <v>0</v>
      </c>
      <c r="AM372" s="13">
        <f t="shared" si="743"/>
        <v>0</v>
      </c>
      <c r="AN372" s="13">
        <f t="shared" si="743"/>
        <v>0</v>
      </c>
      <c r="AO372" s="13">
        <f t="shared" si="743"/>
        <v>0</v>
      </c>
      <c r="AP372" s="13">
        <f t="shared" si="743"/>
        <v>0</v>
      </c>
      <c r="AQ372" s="13">
        <f t="shared" si="743"/>
        <v>0</v>
      </c>
      <c r="AR372" s="13">
        <f t="shared" si="743"/>
        <v>0</v>
      </c>
      <c r="AS372" s="13">
        <f t="shared" si="743"/>
        <v>0</v>
      </c>
      <c r="AT372">
        <f t="shared" si="743"/>
        <v>0</v>
      </c>
      <c r="AU372">
        <f t="shared" si="743"/>
        <v>0</v>
      </c>
      <c r="AV372">
        <f t="shared" si="743"/>
        <v>0</v>
      </c>
      <c r="AW372">
        <f t="shared" si="743"/>
        <v>0</v>
      </c>
      <c r="AX372">
        <f t="shared" si="743"/>
        <v>0</v>
      </c>
      <c r="AY372">
        <f t="shared" si="743"/>
        <v>0</v>
      </c>
      <c r="AZ372">
        <f t="shared" si="743"/>
        <v>0</v>
      </c>
      <c r="BA372" s="684" t="str">
        <f t="shared" si="743"/>
        <v>base</v>
      </c>
      <c r="BB372" s="684" t="str">
        <f t="shared" si="743"/>
        <v>low</v>
      </c>
      <c r="BC372" s="684" t="str">
        <f t="shared" si="743"/>
        <v>high</v>
      </c>
      <c r="BD372">
        <f t="shared" si="743"/>
        <v>0</v>
      </c>
    </row>
    <row r="373" spans="1:56" x14ac:dyDescent="0.3">
      <c r="A373">
        <f t="shared" ref="A373:T373" si="744">A189</f>
        <v>0</v>
      </c>
      <c r="B373">
        <f t="shared" si="744"/>
        <v>0</v>
      </c>
      <c r="C373">
        <f t="shared" si="744"/>
        <v>0</v>
      </c>
      <c r="D373">
        <f t="shared" si="744"/>
        <v>0</v>
      </c>
      <c r="E373">
        <f t="shared" si="744"/>
        <v>0</v>
      </c>
      <c r="F373">
        <f t="shared" si="744"/>
        <v>0</v>
      </c>
      <c r="G373">
        <f t="shared" si="744"/>
        <v>0</v>
      </c>
      <c r="H373" s="13">
        <f t="shared" si="744"/>
        <v>0</v>
      </c>
      <c r="I373" s="13">
        <f t="shared" si="744"/>
        <v>0</v>
      </c>
      <c r="J373" s="13">
        <f t="shared" si="744"/>
        <v>0</v>
      </c>
      <c r="K373" s="13">
        <f t="shared" si="744"/>
        <v>0</v>
      </c>
      <c r="L373" s="13">
        <f t="shared" si="744"/>
        <v>0</v>
      </c>
      <c r="M373" s="13">
        <f t="shared" si="744"/>
        <v>0</v>
      </c>
      <c r="N373" s="13">
        <f t="shared" si="744"/>
        <v>0</v>
      </c>
      <c r="O373" s="13">
        <f t="shared" si="744"/>
        <v>0</v>
      </c>
      <c r="P373" s="13">
        <f t="shared" si="744"/>
        <v>0</v>
      </c>
      <c r="Q373">
        <f t="shared" si="744"/>
        <v>0</v>
      </c>
      <c r="R373">
        <f t="shared" si="744"/>
        <v>0</v>
      </c>
      <c r="S373">
        <f t="shared" si="744"/>
        <v>0</v>
      </c>
      <c r="T373">
        <f t="shared" si="744"/>
        <v>0</v>
      </c>
      <c r="W373" s="2" t="str">
        <f t="shared" ref="W373:AA373" si="745">W189</f>
        <v>Outpatient visits prevented</v>
      </c>
      <c r="X373" s="33">
        <f t="shared" si="745"/>
        <v>40729.023493014349</v>
      </c>
      <c r="Y373" s="33">
        <f>$N$380*Y374</f>
        <v>37165.233937375589</v>
      </c>
      <c r="Z373" s="33">
        <f>$N$381*Z374</f>
        <v>43274.587461327741</v>
      </c>
      <c r="AA373">
        <f t="shared" si="745"/>
        <v>0</v>
      </c>
      <c r="AD373">
        <f t="shared" ref="AD373:AW373" si="746">AD189</f>
        <v>0</v>
      </c>
      <c r="AE373">
        <f t="shared" si="746"/>
        <v>0</v>
      </c>
      <c r="AF373">
        <f t="shared" si="746"/>
        <v>0</v>
      </c>
      <c r="AG373">
        <f t="shared" si="746"/>
        <v>0</v>
      </c>
      <c r="AH373">
        <f t="shared" si="746"/>
        <v>0</v>
      </c>
      <c r="AI373">
        <f t="shared" si="746"/>
        <v>0</v>
      </c>
      <c r="AJ373">
        <f t="shared" si="746"/>
        <v>0</v>
      </c>
      <c r="AK373" s="13">
        <f t="shared" si="746"/>
        <v>0</v>
      </c>
      <c r="AL373" s="13">
        <f t="shared" si="746"/>
        <v>0</v>
      </c>
      <c r="AM373" s="13">
        <f t="shared" si="746"/>
        <v>0</v>
      </c>
      <c r="AN373" s="13">
        <f t="shared" si="746"/>
        <v>0</v>
      </c>
      <c r="AO373" s="13">
        <f t="shared" si="746"/>
        <v>0</v>
      </c>
      <c r="AP373" s="13">
        <f t="shared" si="746"/>
        <v>0</v>
      </c>
      <c r="AQ373" s="13">
        <f t="shared" si="746"/>
        <v>0</v>
      </c>
      <c r="AR373" s="13">
        <f t="shared" si="746"/>
        <v>0</v>
      </c>
      <c r="AS373" s="13">
        <f t="shared" si="746"/>
        <v>0</v>
      </c>
      <c r="AT373">
        <f t="shared" si="746"/>
        <v>0</v>
      </c>
      <c r="AU373">
        <f t="shared" si="746"/>
        <v>0</v>
      </c>
      <c r="AV373">
        <f t="shared" si="746"/>
        <v>0</v>
      </c>
      <c r="AW373">
        <f t="shared" si="746"/>
        <v>0</v>
      </c>
      <c r="AZ373" s="2" t="str">
        <f t="shared" ref="AZ373:BA373" si="747">AZ189</f>
        <v>Outpatient visits prevented</v>
      </c>
      <c r="BA373" s="33">
        <f t="shared" si="747"/>
        <v>9021.4889392231726</v>
      </c>
      <c r="BB373" s="33">
        <f>$AQ$380*BB374</f>
        <v>8232.1086570411444</v>
      </c>
      <c r="BC373" s="33">
        <f>$AQ$381*BC374</f>
        <v>9585.3319979246189</v>
      </c>
      <c r="BD373">
        <f t="shared" ref="BD373" si="748">BD189</f>
        <v>0</v>
      </c>
    </row>
    <row r="374" spans="1:56" x14ac:dyDescent="0.3">
      <c r="A374">
        <f t="shared" ref="A374:AA374" si="749">A190</f>
        <v>0</v>
      </c>
      <c r="B374">
        <f t="shared" si="749"/>
        <v>0</v>
      </c>
      <c r="C374">
        <f t="shared" si="749"/>
        <v>0</v>
      </c>
      <c r="D374">
        <f t="shared" si="749"/>
        <v>0</v>
      </c>
      <c r="E374">
        <f t="shared" si="749"/>
        <v>0</v>
      </c>
      <c r="F374">
        <f t="shared" si="749"/>
        <v>0</v>
      </c>
      <c r="G374">
        <f t="shared" si="749"/>
        <v>0</v>
      </c>
      <c r="H374" s="13">
        <f t="shared" si="749"/>
        <v>0</v>
      </c>
      <c r="I374" s="13">
        <f t="shared" si="749"/>
        <v>0</v>
      </c>
      <c r="J374" s="13">
        <f t="shared" si="749"/>
        <v>0</v>
      </c>
      <c r="K374" s="13">
        <f t="shared" si="749"/>
        <v>0</v>
      </c>
      <c r="L374" s="13">
        <f t="shared" si="749"/>
        <v>0</v>
      </c>
      <c r="M374" s="13">
        <f t="shared" si="749"/>
        <v>0</v>
      </c>
      <c r="N374" s="13">
        <f t="shared" si="749"/>
        <v>0</v>
      </c>
      <c r="O374" s="13">
        <f t="shared" si="749"/>
        <v>0</v>
      </c>
      <c r="P374" s="13">
        <f t="shared" si="749"/>
        <v>0</v>
      </c>
      <c r="Q374">
        <f t="shared" si="749"/>
        <v>0</v>
      </c>
      <c r="R374" s="14" t="s">
        <v>268</v>
      </c>
      <c r="S374" s="71">
        <f>N380*S378</f>
        <v>54661.054235177864</v>
      </c>
      <c r="T374">
        <f t="shared" si="749"/>
        <v>0</v>
      </c>
      <c r="U374" s="16">
        <f t="shared" si="749"/>
        <v>0</v>
      </c>
      <c r="V374" s="17">
        <f t="shared" si="749"/>
        <v>0</v>
      </c>
      <c r="W374" s="15" t="str">
        <f t="shared" si="749"/>
        <v>p11c</v>
      </c>
      <c r="X374" s="61">
        <f t="shared" si="749"/>
        <v>5.0659377584529985E-2</v>
      </c>
      <c r="Y374" s="61">
        <f t="shared" si="749"/>
        <v>5.0659377584529985E-2</v>
      </c>
      <c r="Z374" s="61">
        <f t="shared" si="749"/>
        <v>5.0659377584529985E-2</v>
      </c>
      <c r="AA374">
        <f t="shared" si="749"/>
        <v>0</v>
      </c>
      <c r="AD374">
        <f t="shared" ref="AD374:AT374" si="750">AD190</f>
        <v>0</v>
      </c>
      <c r="AE374">
        <f t="shared" si="750"/>
        <v>0</v>
      </c>
      <c r="AF374">
        <f t="shared" si="750"/>
        <v>0</v>
      </c>
      <c r="AG374">
        <f t="shared" si="750"/>
        <v>0</v>
      </c>
      <c r="AH374">
        <f t="shared" si="750"/>
        <v>0</v>
      </c>
      <c r="AI374">
        <f t="shared" si="750"/>
        <v>0</v>
      </c>
      <c r="AJ374">
        <f t="shared" si="750"/>
        <v>0</v>
      </c>
      <c r="AK374" s="13">
        <f t="shared" si="750"/>
        <v>0</v>
      </c>
      <c r="AL374" s="13">
        <f t="shared" si="750"/>
        <v>0</v>
      </c>
      <c r="AM374" s="13">
        <f t="shared" si="750"/>
        <v>0</v>
      </c>
      <c r="AN374" s="13">
        <f t="shared" si="750"/>
        <v>0</v>
      </c>
      <c r="AO374" s="13">
        <f t="shared" si="750"/>
        <v>0</v>
      </c>
      <c r="AP374" s="13">
        <f t="shared" si="750"/>
        <v>0</v>
      </c>
      <c r="AQ374" s="13">
        <f t="shared" si="750"/>
        <v>0</v>
      </c>
      <c r="AR374" s="13">
        <f t="shared" si="750"/>
        <v>0</v>
      </c>
      <c r="AS374" s="13">
        <f t="shared" si="750"/>
        <v>0</v>
      </c>
      <c r="AT374">
        <f t="shared" si="750"/>
        <v>0</v>
      </c>
      <c r="AU374" s="14" t="s">
        <v>268</v>
      </c>
      <c r="AV374" s="71">
        <f>AQ380*AV378</f>
        <v>54661.054235177864</v>
      </c>
      <c r="AW374">
        <f t="shared" ref="AW374:BD374" si="751">AW190</f>
        <v>0</v>
      </c>
      <c r="AX374" s="16">
        <f t="shared" si="751"/>
        <v>0</v>
      </c>
      <c r="AY374" s="17">
        <f t="shared" si="751"/>
        <v>0</v>
      </c>
      <c r="AZ374" s="15" t="str">
        <f t="shared" si="751"/>
        <v>p11c</v>
      </c>
      <c r="BA374" s="61">
        <f t="shared" si="751"/>
        <v>1.1221064866069132E-2</v>
      </c>
      <c r="BB374" s="61">
        <f t="shared" si="751"/>
        <v>1.1221064866069132E-2</v>
      </c>
      <c r="BC374" s="61">
        <f t="shared" si="751"/>
        <v>1.1221064866069132E-2</v>
      </c>
      <c r="BD374">
        <f t="shared" si="751"/>
        <v>0</v>
      </c>
    </row>
    <row r="375" spans="1:56" x14ac:dyDescent="0.3">
      <c r="A375">
        <f t="shared" ref="A375:AA375" si="752">A191</f>
        <v>0</v>
      </c>
      <c r="B375">
        <f t="shared" si="752"/>
        <v>0</v>
      </c>
      <c r="C375">
        <f t="shared" si="752"/>
        <v>0</v>
      </c>
      <c r="D375">
        <f t="shared" si="752"/>
        <v>0</v>
      </c>
      <c r="E375">
        <f t="shared" si="752"/>
        <v>0</v>
      </c>
      <c r="F375">
        <f t="shared" si="752"/>
        <v>0</v>
      </c>
      <c r="G375">
        <f t="shared" si="752"/>
        <v>0</v>
      </c>
      <c r="H375" s="13">
        <f t="shared" si="752"/>
        <v>0</v>
      </c>
      <c r="I375" s="13">
        <f t="shared" si="752"/>
        <v>0</v>
      </c>
      <c r="J375" s="13">
        <f t="shared" si="752"/>
        <v>0</v>
      </c>
      <c r="K375" s="13">
        <f t="shared" si="752"/>
        <v>0</v>
      </c>
      <c r="L375" s="13">
        <f t="shared" si="752"/>
        <v>0</v>
      </c>
      <c r="M375" s="13">
        <f t="shared" si="752"/>
        <v>0</v>
      </c>
      <c r="N375" s="13">
        <f t="shared" si="752"/>
        <v>0</v>
      </c>
      <c r="O375" s="13">
        <f t="shared" si="752"/>
        <v>0</v>
      </c>
      <c r="P375" s="13">
        <f t="shared" si="752"/>
        <v>0</v>
      </c>
      <c r="Q375">
        <f t="shared" si="752"/>
        <v>0</v>
      </c>
      <c r="R375" s="14" t="s">
        <v>269</v>
      </c>
      <c r="S375" s="71">
        <f>N381*S379</f>
        <v>63646.433013563263</v>
      </c>
      <c r="T375">
        <f t="shared" si="752"/>
        <v>0</v>
      </c>
      <c r="U375" s="11">
        <f t="shared" si="752"/>
        <v>0</v>
      </c>
      <c r="V375" s="13">
        <f t="shared" si="752"/>
        <v>0</v>
      </c>
      <c r="W375" s="2">
        <f t="shared" si="752"/>
        <v>0</v>
      </c>
      <c r="X375">
        <f t="shared" si="752"/>
        <v>0</v>
      </c>
      <c r="Y375">
        <f t="shared" si="752"/>
        <v>0</v>
      </c>
      <c r="Z375">
        <f t="shared" si="752"/>
        <v>0</v>
      </c>
      <c r="AA375">
        <f t="shared" si="752"/>
        <v>0</v>
      </c>
      <c r="AD375">
        <f t="shared" ref="AD375:AT375" si="753">AD191</f>
        <v>0</v>
      </c>
      <c r="AE375">
        <f t="shared" si="753"/>
        <v>0</v>
      </c>
      <c r="AF375">
        <f t="shared" si="753"/>
        <v>0</v>
      </c>
      <c r="AG375">
        <f t="shared" si="753"/>
        <v>0</v>
      </c>
      <c r="AH375">
        <f t="shared" si="753"/>
        <v>0</v>
      </c>
      <c r="AI375">
        <f t="shared" si="753"/>
        <v>0</v>
      </c>
      <c r="AJ375">
        <f t="shared" si="753"/>
        <v>0</v>
      </c>
      <c r="AK375" s="13">
        <f t="shared" si="753"/>
        <v>0</v>
      </c>
      <c r="AL375" s="13">
        <f t="shared" si="753"/>
        <v>0</v>
      </c>
      <c r="AM375" s="13">
        <f t="shared" si="753"/>
        <v>0</v>
      </c>
      <c r="AN375" s="13">
        <f t="shared" si="753"/>
        <v>0</v>
      </c>
      <c r="AO375" s="13">
        <f t="shared" si="753"/>
        <v>0</v>
      </c>
      <c r="AP375" s="13">
        <f t="shared" si="753"/>
        <v>0</v>
      </c>
      <c r="AQ375" s="13">
        <f t="shared" si="753"/>
        <v>0</v>
      </c>
      <c r="AR375" s="13">
        <f t="shared" si="753"/>
        <v>0</v>
      </c>
      <c r="AS375" s="13">
        <f t="shared" si="753"/>
        <v>0</v>
      </c>
      <c r="AT375">
        <f t="shared" si="753"/>
        <v>0</v>
      </c>
      <c r="AU375" s="14" t="s">
        <v>269</v>
      </c>
      <c r="AV375" s="71">
        <f>AQ381*AV379</f>
        <v>63646.433013563263</v>
      </c>
      <c r="AW375">
        <f t="shared" ref="AW375:BD375" si="754">AW191</f>
        <v>0</v>
      </c>
      <c r="AX375" s="11">
        <f t="shared" si="754"/>
        <v>0</v>
      </c>
      <c r="AY375" s="13">
        <f t="shared" si="754"/>
        <v>0</v>
      </c>
      <c r="AZ375" s="2">
        <f t="shared" si="754"/>
        <v>0</v>
      </c>
      <c r="BA375">
        <f t="shared" si="754"/>
        <v>0</v>
      </c>
      <c r="BB375">
        <f t="shared" si="754"/>
        <v>0</v>
      </c>
      <c r="BC375">
        <f t="shared" si="754"/>
        <v>0</v>
      </c>
      <c r="BD375">
        <f t="shared" si="754"/>
        <v>0</v>
      </c>
    </row>
    <row r="376" spans="1:56" x14ac:dyDescent="0.3">
      <c r="A376">
        <f t="shared" ref="A376:F376" si="755">A192</f>
        <v>0</v>
      </c>
      <c r="B376">
        <f t="shared" si="755"/>
        <v>0</v>
      </c>
      <c r="C376">
        <f t="shared" si="755"/>
        <v>0</v>
      </c>
      <c r="D376">
        <f t="shared" si="755"/>
        <v>0</v>
      </c>
      <c r="E376">
        <f t="shared" si="755"/>
        <v>0</v>
      </c>
      <c r="F376">
        <f t="shared" si="755"/>
        <v>0</v>
      </c>
      <c r="H376" s="13"/>
      <c r="I376" s="13"/>
      <c r="J376" s="13"/>
      <c r="K376" s="13"/>
      <c r="L376" s="13"/>
      <c r="M376" s="13"/>
      <c r="N376" s="13"/>
      <c r="O376" s="13"/>
      <c r="P376" s="13"/>
      <c r="R376" s="12" t="s">
        <v>289</v>
      </c>
      <c r="S376" s="90">
        <f t="shared" ref="S376:U376" si="756">S192</f>
        <v>59902.525189236017</v>
      </c>
      <c r="T376" s="90">
        <f t="shared" si="756"/>
        <v>0</v>
      </c>
      <c r="U376" s="18">
        <f t="shared" si="756"/>
        <v>0</v>
      </c>
      <c r="V376" s="438"/>
      <c r="W376" s="12" t="str">
        <f t="shared" ref="W376:AA376" si="757">W192</f>
        <v>ED visits prevented</v>
      </c>
      <c r="X376" s="33">
        <f t="shared" si="757"/>
        <v>12540.653399583756</v>
      </c>
      <c r="Y376" s="33">
        <f>$N$380*Y377</f>
        <v>11443.346227120177</v>
      </c>
      <c r="Z376" s="33">
        <f>$N$381*Z377</f>
        <v>13324.44423705774</v>
      </c>
      <c r="AA376" s="13">
        <f t="shared" si="757"/>
        <v>0</v>
      </c>
      <c r="AD376">
        <f t="shared" ref="AD376:AI376" si="758">AD192</f>
        <v>0</v>
      </c>
      <c r="AE376">
        <f t="shared" si="758"/>
        <v>0</v>
      </c>
      <c r="AF376">
        <f t="shared" si="758"/>
        <v>0</v>
      </c>
      <c r="AG376">
        <f t="shared" si="758"/>
        <v>0</v>
      </c>
      <c r="AH376">
        <f t="shared" si="758"/>
        <v>0</v>
      </c>
      <c r="AI376">
        <f t="shared" si="758"/>
        <v>0</v>
      </c>
      <c r="AK376" s="13"/>
      <c r="AL376" s="13"/>
      <c r="AM376" s="13"/>
      <c r="AN376" s="13"/>
      <c r="AO376" s="13"/>
      <c r="AP376" s="13"/>
      <c r="AQ376" s="13"/>
      <c r="AR376" s="13"/>
      <c r="AS376" s="13"/>
      <c r="AU376" s="12" t="s">
        <v>289</v>
      </c>
      <c r="AV376" s="90">
        <f t="shared" ref="AV376:AX376" si="759">AV192</f>
        <v>13595.952959369357</v>
      </c>
      <c r="AW376" s="90">
        <f t="shared" si="759"/>
        <v>0</v>
      </c>
      <c r="AX376" s="18">
        <f t="shared" si="759"/>
        <v>0</v>
      </c>
      <c r="AY376" s="500"/>
      <c r="AZ376" s="12" t="str">
        <f t="shared" ref="AZ376:BA376" si="760">AZ192</f>
        <v>ED visits prevented</v>
      </c>
      <c r="BA376" s="33">
        <f t="shared" si="760"/>
        <v>3801.014950167867</v>
      </c>
      <c r="BB376" s="33">
        <f>$AQ$380*BB377</f>
        <v>3468.4261420281782</v>
      </c>
      <c r="BC376" s="33">
        <f>$AQ$381*BC377</f>
        <v>4038.5783845533583</v>
      </c>
      <c r="BD376" s="13">
        <f t="shared" ref="BD376" si="761">BD192</f>
        <v>0</v>
      </c>
    </row>
    <row r="377" spans="1:56" x14ac:dyDescent="0.3">
      <c r="A377">
        <f t="shared" ref="A377:AA377" si="762">A193</f>
        <v>0</v>
      </c>
      <c r="B377">
        <f t="shared" si="762"/>
        <v>0</v>
      </c>
      <c r="C377">
        <f t="shared" si="762"/>
        <v>0</v>
      </c>
      <c r="D377">
        <f t="shared" si="762"/>
        <v>0</v>
      </c>
      <c r="E377">
        <f t="shared" si="762"/>
        <v>0</v>
      </c>
      <c r="F377">
        <f t="shared" si="762"/>
        <v>0</v>
      </c>
      <c r="G377">
        <f t="shared" si="762"/>
        <v>0</v>
      </c>
      <c r="H377" s="13">
        <f t="shared" si="762"/>
        <v>0</v>
      </c>
      <c r="I377" s="13">
        <f t="shared" si="762"/>
        <v>0</v>
      </c>
      <c r="J377" s="13">
        <f t="shared" si="762"/>
        <v>0</v>
      </c>
      <c r="K377" s="13">
        <f t="shared" si="762"/>
        <v>0</v>
      </c>
      <c r="L377" s="13">
        <f t="shared" si="762"/>
        <v>0</v>
      </c>
      <c r="M377" s="13">
        <f t="shared" si="762"/>
        <v>0</v>
      </c>
      <c r="N377" s="13">
        <f t="shared" si="762"/>
        <v>0</v>
      </c>
      <c r="O377" s="13">
        <f t="shared" si="762"/>
        <v>0</v>
      </c>
      <c r="P377" s="13">
        <f t="shared" si="762"/>
        <v>0</v>
      </c>
      <c r="Q377">
        <f t="shared" si="762"/>
        <v>0</v>
      </c>
      <c r="R377" s="59" t="str">
        <f t="shared" si="762"/>
        <v>p11a-c</v>
      </c>
      <c r="S377" s="96">
        <f t="shared" si="762"/>
        <v>7.4507669999719264E-2</v>
      </c>
      <c r="T377" s="96">
        <f t="shared" si="762"/>
        <v>0</v>
      </c>
      <c r="U377" s="11">
        <f t="shared" si="762"/>
        <v>0</v>
      </c>
      <c r="V377" s="13">
        <f t="shared" si="762"/>
        <v>0</v>
      </c>
      <c r="W377" s="2" t="str">
        <f t="shared" si="762"/>
        <v>p11b</v>
      </c>
      <c r="X377" s="61">
        <f t="shared" si="762"/>
        <v>1.5598255033912049E-2</v>
      </c>
      <c r="Y377" s="61">
        <f t="shared" si="762"/>
        <v>1.5598255033912049E-2</v>
      </c>
      <c r="Z377" s="61">
        <f t="shared" si="762"/>
        <v>1.5598255033912049E-2</v>
      </c>
      <c r="AA377" s="13">
        <f t="shared" si="762"/>
        <v>0</v>
      </c>
      <c r="AD377">
        <f t="shared" ref="AD377:BD377" si="763">AD193</f>
        <v>0</v>
      </c>
      <c r="AE377">
        <f t="shared" si="763"/>
        <v>0</v>
      </c>
      <c r="AF377">
        <f t="shared" si="763"/>
        <v>0</v>
      </c>
      <c r="AG377">
        <f t="shared" si="763"/>
        <v>0</v>
      </c>
      <c r="AH377">
        <f t="shared" si="763"/>
        <v>0</v>
      </c>
      <c r="AI377">
        <f t="shared" si="763"/>
        <v>0</v>
      </c>
      <c r="AJ377">
        <f t="shared" si="763"/>
        <v>0</v>
      </c>
      <c r="AK377" s="13">
        <f t="shared" si="763"/>
        <v>0</v>
      </c>
      <c r="AL377" s="13">
        <f t="shared" si="763"/>
        <v>0</v>
      </c>
      <c r="AM377" s="13">
        <f t="shared" si="763"/>
        <v>0</v>
      </c>
      <c r="AN377" s="13">
        <f t="shared" si="763"/>
        <v>0</v>
      </c>
      <c r="AO377" s="13">
        <f t="shared" si="763"/>
        <v>0</v>
      </c>
      <c r="AP377" s="13">
        <f t="shared" si="763"/>
        <v>0</v>
      </c>
      <c r="AQ377" s="13">
        <f t="shared" si="763"/>
        <v>0</v>
      </c>
      <c r="AR377" s="13">
        <f t="shared" si="763"/>
        <v>0</v>
      </c>
      <c r="AS377" s="13">
        <f t="shared" si="763"/>
        <v>0</v>
      </c>
      <c r="AT377">
        <f t="shared" si="763"/>
        <v>0</v>
      </c>
      <c r="AU377" s="59" t="str">
        <f t="shared" si="763"/>
        <v>p11a-c</v>
      </c>
      <c r="AV377" s="96">
        <f t="shared" si="763"/>
        <v>7.4507669999719264E-2</v>
      </c>
      <c r="AW377" s="96">
        <f t="shared" si="763"/>
        <v>0</v>
      </c>
      <c r="AX377" s="11">
        <f t="shared" si="763"/>
        <v>0</v>
      </c>
      <c r="AY377" s="13">
        <f t="shared" si="763"/>
        <v>0</v>
      </c>
      <c r="AZ377" s="2" t="str">
        <f t="shared" si="763"/>
        <v>p11b</v>
      </c>
      <c r="BA377" s="61">
        <f t="shared" si="763"/>
        <v>4.7277600848452429E-3</v>
      </c>
      <c r="BB377" s="61">
        <f t="shared" si="763"/>
        <v>4.7277600848452429E-3</v>
      </c>
      <c r="BC377" s="61">
        <f t="shared" si="763"/>
        <v>4.7277600848452429E-3</v>
      </c>
      <c r="BD377" s="13">
        <f t="shared" si="763"/>
        <v>0</v>
      </c>
    </row>
    <row r="378" spans="1:56" x14ac:dyDescent="0.3">
      <c r="A378">
        <f t="shared" ref="A378:AA378" si="764">A194</f>
        <v>0</v>
      </c>
      <c r="B378">
        <f t="shared" si="764"/>
        <v>0</v>
      </c>
      <c r="C378">
        <f t="shared" si="764"/>
        <v>0</v>
      </c>
      <c r="D378">
        <f t="shared" si="764"/>
        <v>0</v>
      </c>
      <c r="E378">
        <f t="shared" si="764"/>
        <v>0</v>
      </c>
      <c r="F378">
        <f t="shared" si="764"/>
        <v>0</v>
      </c>
      <c r="G378">
        <f t="shared" si="764"/>
        <v>0</v>
      </c>
      <c r="H378" s="13">
        <f t="shared" si="764"/>
        <v>0</v>
      </c>
      <c r="I378" s="13">
        <f t="shared" si="764"/>
        <v>0</v>
      </c>
      <c r="J378" s="13">
        <f t="shared" si="764"/>
        <v>0</v>
      </c>
      <c r="K378" s="13">
        <f t="shared" si="764"/>
        <v>0</v>
      </c>
      <c r="L378" s="13">
        <f t="shared" si="764"/>
        <v>0</v>
      </c>
      <c r="M378" s="13">
        <f t="shared" si="764"/>
        <v>0</v>
      </c>
      <c r="N378" s="13">
        <f t="shared" si="764"/>
        <v>0</v>
      </c>
      <c r="O378" s="13">
        <f t="shared" si="764"/>
        <v>0</v>
      </c>
      <c r="P378" s="13">
        <f t="shared" si="764"/>
        <v>0</v>
      </c>
      <c r="Q378" s="72">
        <f t="shared" si="764"/>
        <v>0</v>
      </c>
      <c r="R378" s="300" t="str">
        <f t="shared" si="764"/>
        <v>low:</v>
      </c>
      <c r="S378" s="96">
        <f t="shared" si="764"/>
        <v>7.4507669999719264E-2</v>
      </c>
      <c r="T378">
        <f t="shared" si="764"/>
        <v>0</v>
      </c>
      <c r="U378" s="11">
        <f t="shared" si="764"/>
        <v>0</v>
      </c>
      <c r="V378" s="13">
        <f t="shared" si="764"/>
        <v>0</v>
      </c>
      <c r="W378" s="2">
        <f t="shared" si="764"/>
        <v>0</v>
      </c>
      <c r="X378">
        <f t="shared" si="764"/>
        <v>0</v>
      </c>
      <c r="Y378">
        <f t="shared" si="764"/>
        <v>0</v>
      </c>
      <c r="Z378">
        <f t="shared" si="764"/>
        <v>0</v>
      </c>
      <c r="AA378" s="63">
        <f t="shared" si="764"/>
        <v>0</v>
      </c>
      <c r="AD378">
        <f t="shared" ref="AD378:BD378" si="765">AD194</f>
        <v>0</v>
      </c>
      <c r="AE378">
        <f t="shared" si="765"/>
        <v>0</v>
      </c>
      <c r="AF378">
        <f t="shared" si="765"/>
        <v>0</v>
      </c>
      <c r="AG378">
        <f t="shared" si="765"/>
        <v>0</v>
      </c>
      <c r="AH378">
        <f t="shared" si="765"/>
        <v>0</v>
      </c>
      <c r="AI378">
        <f t="shared" si="765"/>
        <v>0</v>
      </c>
      <c r="AJ378">
        <f t="shared" si="765"/>
        <v>0</v>
      </c>
      <c r="AK378" s="13">
        <f t="shared" si="765"/>
        <v>0</v>
      </c>
      <c r="AL378" s="13">
        <f t="shared" si="765"/>
        <v>0</v>
      </c>
      <c r="AM378" s="13">
        <f t="shared" si="765"/>
        <v>0</v>
      </c>
      <c r="AN378" s="13">
        <f t="shared" si="765"/>
        <v>0</v>
      </c>
      <c r="AO378" s="13">
        <f t="shared" si="765"/>
        <v>0</v>
      </c>
      <c r="AP378" s="13">
        <f t="shared" si="765"/>
        <v>0</v>
      </c>
      <c r="AQ378" s="13">
        <f t="shared" si="765"/>
        <v>0</v>
      </c>
      <c r="AR378" s="13">
        <f t="shared" si="765"/>
        <v>0</v>
      </c>
      <c r="AS378" s="13">
        <f t="shared" si="765"/>
        <v>0</v>
      </c>
      <c r="AT378" s="72">
        <f t="shared" si="765"/>
        <v>0</v>
      </c>
      <c r="AU378" s="300" t="str">
        <f t="shared" si="765"/>
        <v>low:</v>
      </c>
      <c r="AV378" s="96">
        <f t="shared" si="765"/>
        <v>7.4507669999719264E-2</v>
      </c>
      <c r="AW378">
        <f t="shared" si="765"/>
        <v>0</v>
      </c>
      <c r="AX378" s="11">
        <f t="shared" si="765"/>
        <v>0</v>
      </c>
      <c r="AY378" s="13">
        <f t="shared" si="765"/>
        <v>0</v>
      </c>
      <c r="AZ378" s="2">
        <f t="shared" si="765"/>
        <v>0</v>
      </c>
      <c r="BA378">
        <f t="shared" si="765"/>
        <v>0</v>
      </c>
      <c r="BB378">
        <f t="shared" si="765"/>
        <v>0</v>
      </c>
      <c r="BC378">
        <f t="shared" si="765"/>
        <v>0</v>
      </c>
      <c r="BD378" s="63">
        <f t="shared" si="765"/>
        <v>0</v>
      </c>
    </row>
    <row r="379" spans="1:56" x14ac:dyDescent="0.3">
      <c r="A379">
        <f t="shared" ref="A379:T379" si="766">A195</f>
        <v>0</v>
      </c>
      <c r="B379">
        <f t="shared" si="766"/>
        <v>0</v>
      </c>
      <c r="C379">
        <f t="shared" si="766"/>
        <v>0</v>
      </c>
      <c r="D379">
        <f t="shared" si="766"/>
        <v>0</v>
      </c>
      <c r="E379">
        <f t="shared" si="766"/>
        <v>0</v>
      </c>
      <c r="F379">
        <f t="shared" si="766"/>
        <v>0</v>
      </c>
      <c r="G379">
        <f t="shared" si="766"/>
        <v>0</v>
      </c>
      <c r="H379" s="13">
        <f t="shared" si="766"/>
        <v>0</v>
      </c>
      <c r="I379" s="13">
        <f t="shared" si="766"/>
        <v>0</v>
      </c>
      <c r="J379" s="13">
        <f t="shared" si="766"/>
        <v>0</v>
      </c>
      <c r="K379" s="13">
        <f t="shared" si="766"/>
        <v>0</v>
      </c>
      <c r="L379" s="13">
        <f t="shared" si="766"/>
        <v>0</v>
      </c>
      <c r="M379" s="13">
        <f t="shared" si="766"/>
        <v>0</v>
      </c>
      <c r="N379" s="13">
        <f t="shared" si="766"/>
        <v>0</v>
      </c>
      <c r="O379" s="13">
        <f t="shared" si="766"/>
        <v>0</v>
      </c>
      <c r="P379" s="13">
        <f t="shared" si="766"/>
        <v>0</v>
      </c>
      <c r="Q379">
        <f t="shared" si="766"/>
        <v>0</v>
      </c>
      <c r="R379" s="300" t="str">
        <f t="shared" si="766"/>
        <v>high:</v>
      </c>
      <c r="S379" s="96">
        <f t="shared" si="766"/>
        <v>7.4507669999719264E-2</v>
      </c>
      <c r="T379">
        <f t="shared" si="766"/>
        <v>0</v>
      </c>
      <c r="U379" s="18"/>
      <c r="V379" s="438"/>
      <c r="W379" s="12" t="str">
        <f t="shared" ref="W379:AA379" si="767">W195</f>
        <v>Hospitalizations prevented</v>
      </c>
      <c r="X379" s="30">
        <f t="shared" si="767"/>
        <v>6632.848296637917</v>
      </c>
      <c r="Y379" s="33">
        <f>$N$380*Y380</f>
        <v>6052.4740706820994</v>
      </c>
      <c r="Z379" s="33">
        <f>$N$381*Z380</f>
        <v>7047.4013151777863</v>
      </c>
      <c r="AA379" s="13">
        <f t="shared" si="767"/>
        <v>0</v>
      </c>
      <c r="AD379">
        <f t="shared" ref="AD379:AW379" si="768">AD195</f>
        <v>0</v>
      </c>
      <c r="AE379">
        <f t="shared" si="768"/>
        <v>0</v>
      </c>
      <c r="AF379">
        <f t="shared" si="768"/>
        <v>0</v>
      </c>
      <c r="AG379">
        <f t="shared" si="768"/>
        <v>0</v>
      </c>
      <c r="AH379">
        <f t="shared" si="768"/>
        <v>0</v>
      </c>
      <c r="AI379">
        <f t="shared" si="768"/>
        <v>0</v>
      </c>
      <c r="AJ379">
        <f t="shared" si="768"/>
        <v>0</v>
      </c>
      <c r="AK379" s="13">
        <f t="shared" si="768"/>
        <v>0</v>
      </c>
      <c r="AL379" s="13">
        <f t="shared" si="768"/>
        <v>0</v>
      </c>
      <c r="AM379" s="13">
        <f t="shared" si="768"/>
        <v>0</v>
      </c>
      <c r="AN379" s="13">
        <f t="shared" si="768"/>
        <v>0</v>
      </c>
      <c r="AO379" s="13">
        <f t="shared" si="768"/>
        <v>0</v>
      </c>
      <c r="AP379" s="13">
        <f t="shared" si="768"/>
        <v>0</v>
      </c>
      <c r="AQ379" s="13">
        <f t="shared" si="768"/>
        <v>0</v>
      </c>
      <c r="AR379" s="13">
        <f t="shared" si="768"/>
        <v>0</v>
      </c>
      <c r="AS379" s="13">
        <f t="shared" si="768"/>
        <v>0</v>
      </c>
      <c r="AT379">
        <f t="shared" si="768"/>
        <v>0</v>
      </c>
      <c r="AU379" s="300" t="str">
        <f t="shared" si="768"/>
        <v>high:</v>
      </c>
      <c r="AV379" s="96">
        <f t="shared" si="768"/>
        <v>7.4507669999719264E-2</v>
      </c>
      <c r="AW379">
        <f t="shared" si="768"/>
        <v>0</v>
      </c>
      <c r="AX379" s="18"/>
      <c r="AY379" s="500"/>
      <c r="AZ379" s="12" t="str">
        <f t="shared" ref="AZ379:BA379" si="769">AZ195</f>
        <v>Hospitalizations prevented</v>
      </c>
      <c r="BA379" s="30">
        <f t="shared" si="769"/>
        <v>773.44906997831754</v>
      </c>
      <c r="BB379" s="33">
        <f>$AQ$380*BB380</f>
        <v>705.77227635521467</v>
      </c>
      <c r="BC379" s="33">
        <f>$AQ$381*BC380</f>
        <v>821.7896368519622</v>
      </c>
      <c r="BD379" s="13">
        <f t="shared" ref="BD379" si="770">BD195</f>
        <v>0</v>
      </c>
    </row>
    <row r="380" spans="1:56" x14ac:dyDescent="0.3">
      <c r="A380">
        <f t="shared" ref="A380:AA380" si="771">A196</f>
        <v>0</v>
      </c>
      <c r="B380">
        <f t="shared" si="771"/>
        <v>0</v>
      </c>
      <c r="C380">
        <f t="shared" si="771"/>
        <v>0</v>
      </c>
      <c r="D380">
        <f t="shared" si="771"/>
        <v>0</v>
      </c>
      <c r="E380">
        <f t="shared" si="771"/>
        <v>0</v>
      </c>
      <c r="F380">
        <f t="shared" si="771"/>
        <v>0</v>
      </c>
      <c r="G380">
        <f t="shared" si="771"/>
        <v>0</v>
      </c>
      <c r="H380" s="13">
        <f t="shared" si="771"/>
        <v>0</v>
      </c>
      <c r="I380" s="13">
        <f t="shared" si="771"/>
        <v>0</v>
      </c>
      <c r="J380" s="13">
        <f t="shared" si="771"/>
        <v>0</v>
      </c>
      <c r="K380" s="13">
        <f t="shared" si="771"/>
        <v>0</v>
      </c>
      <c r="L380" s="13"/>
      <c r="M380" s="14" t="s">
        <v>268</v>
      </c>
      <c r="N380" s="71">
        <f>$L$390*N384</f>
        <v>733629.89656479424</v>
      </c>
      <c r="O380" s="13">
        <f t="shared" si="771"/>
        <v>0</v>
      </c>
      <c r="P380" s="13">
        <f t="shared" si="771"/>
        <v>0</v>
      </c>
      <c r="Q380">
        <f t="shared" si="771"/>
        <v>0</v>
      </c>
      <c r="R380" s="11">
        <f t="shared" si="771"/>
        <v>0</v>
      </c>
      <c r="S380">
        <f t="shared" si="771"/>
        <v>0</v>
      </c>
      <c r="T380">
        <f t="shared" si="771"/>
        <v>0</v>
      </c>
      <c r="U380">
        <f t="shared" si="771"/>
        <v>0</v>
      </c>
      <c r="V380">
        <f t="shared" si="771"/>
        <v>0</v>
      </c>
      <c r="W380" s="2" t="str">
        <f t="shared" si="771"/>
        <v>p11a</v>
      </c>
      <c r="X380" s="61">
        <f t="shared" si="771"/>
        <v>8.2500373812772285E-3</v>
      </c>
      <c r="Y380" s="61">
        <f t="shared" si="771"/>
        <v>8.2500373812772285E-3</v>
      </c>
      <c r="Z380" s="61">
        <f t="shared" si="771"/>
        <v>8.2500373812772285E-3</v>
      </c>
      <c r="AA380" s="13">
        <f t="shared" si="771"/>
        <v>0</v>
      </c>
      <c r="AD380">
        <f t="shared" ref="AD380:AN380" si="772">AD196</f>
        <v>0</v>
      </c>
      <c r="AE380">
        <f t="shared" si="772"/>
        <v>0</v>
      </c>
      <c r="AF380">
        <f t="shared" si="772"/>
        <v>0</v>
      </c>
      <c r="AG380">
        <f t="shared" si="772"/>
        <v>0</v>
      </c>
      <c r="AH380">
        <f t="shared" si="772"/>
        <v>0</v>
      </c>
      <c r="AI380">
        <f t="shared" si="772"/>
        <v>0</v>
      </c>
      <c r="AJ380">
        <f t="shared" si="772"/>
        <v>0</v>
      </c>
      <c r="AK380" s="13">
        <f t="shared" si="772"/>
        <v>0</v>
      </c>
      <c r="AL380" s="13">
        <f t="shared" si="772"/>
        <v>0</v>
      </c>
      <c r="AM380" s="13">
        <f t="shared" si="772"/>
        <v>0</v>
      </c>
      <c r="AN380" s="13">
        <f t="shared" si="772"/>
        <v>0</v>
      </c>
      <c r="AO380" s="13"/>
      <c r="AP380" s="14" t="s">
        <v>268</v>
      </c>
      <c r="AQ380" s="71">
        <f>$AO$390*AQ384</f>
        <v>733629.89656479424</v>
      </c>
      <c r="AR380" s="13">
        <f t="shared" ref="AR380:BD380" si="773">AR196</f>
        <v>0</v>
      </c>
      <c r="AS380" s="13">
        <f t="shared" si="773"/>
        <v>0</v>
      </c>
      <c r="AT380">
        <f t="shared" si="773"/>
        <v>0</v>
      </c>
      <c r="AU380" s="11">
        <f t="shared" si="773"/>
        <v>0</v>
      </c>
      <c r="AV380">
        <f t="shared" si="773"/>
        <v>0</v>
      </c>
      <c r="AW380">
        <f t="shared" si="773"/>
        <v>0</v>
      </c>
      <c r="AX380">
        <f t="shared" si="773"/>
        <v>0</v>
      </c>
      <c r="AY380">
        <f t="shared" si="773"/>
        <v>0</v>
      </c>
      <c r="AZ380" s="2" t="str">
        <f t="shared" si="773"/>
        <v>p11a</v>
      </c>
      <c r="BA380" s="61">
        <f t="shared" si="773"/>
        <v>9.62027692246428E-4</v>
      </c>
      <c r="BB380" s="61">
        <f t="shared" si="773"/>
        <v>9.62027692246428E-4</v>
      </c>
      <c r="BC380" s="61">
        <f t="shared" si="773"/>
        <v>9.62027692246428E-4</v>
      </c>
      <c r="BD380" s="13">
        <f t="shared" si="773"/>
        <v>0</v>
      </c>
    </row>
    <row r="381" spans="1:56" x14ac:dyDescent="0.3">
      <c r="A381">
        <f t="shared" ref="A381:AA381" si="774">A197</f>
        <v>0</v>
      </c>
      <c r="B381">
        <f t="shared" si="774"/>
        <v>0</v>
      </c>
      <c r="C381">
        <f t="shared" si="774"/>
        <v>0</v>
      </c>
      <c r="D381">
        <f t="shared" si="774"/>
        <v>0</v>
      </c>
      <c r="E381">
        <f t="shared" si="774"/>
        <v>0</v>
      </c>
      <c r="F381">
        <f t="shared" si="774"/>
        <v>0</v>
      </c>
      <c r="G381">
        <f t="shared" si="774"/>
        <v>0</v>
      </c>
      <c r="H381" s="13">
        <f t="shared" si="774"/>
        <v>0</v>
      </c>
      <c r="I381" s="13">
        <f t="shared" si="774"/>
        <v>0</v>
      </c>
      <c r="J381" s="13">
        <f t="shared" si="774"/>
        <v>0</v>
      </c>
      <c r="K381" s="13">
        <f t="shared" si="774"/>
        <v>0</v>
      </c>
      <c r="L381" s="13"/>
      <c r="M381" s="14" t="s">
        <v>269</v>
      </c>
      <c r="N381" s="71">
        <f>$L$390*N385</f>
        <v>854226.59189051378</v>
      </c>
      <c r="O381" s="13">
        <f t="shared" si="774"/>
        <v>0</v>
      </c>
      <c r="P381" s="13">
        <f t="shared" si="774"/>
        <v>0</v>
      </c>
      <c r="Q381">
        <f t="shared" si="774"/>
        <v>0</v>
      </c>
      <c r="R381" s="11">
        <f t="shared" si="774"/>
        <v>0</v>
      </c>
      <c r="S381">
        <f t="shared" si="774"/>
        <v>0</v>
      </c>
      <c r="T381">
        <f t="shared" si="774"/>
        <v>0</v>
      </c>
      <c r="U381">
        <f t="shared" si="774"/>
        <v>0</v>
      </c>
      <c r="V381">
        <f t="shared" si="774"/>
        <v>0</v>
      </c>
      <c r="W381">
        <f t="shared" si="774"/>
        <v>0</v>
      </c>
      <c r="X381">
        <f t="shared" si="774"/>
        <v>0</v>
      </c>
      <c r="Y381">
        <f t="shared" si="774"/>
        <v>0</v>
      </c>
      <c r="Z381">
        <f t="shared" si="774"/>
        <v>0</v>
      </c>
      <c r="AA381">
        <f t="shared" si="774"/>
        <v>0</v>
      </c>
      <c r="AD381">
        <f t="shared" ref="AD381:AN381" si="775">AD197</f>
        <v>0</v>
      </c>
      <c r="AE381">
        <f t="shared" si="775"/>
        <v>0</v>
      </c>
      <c r="AF381">
        <f t="shared" si="775"/>
        <v>0</v>
      </c>
      <c r="AG381">
        <f t="shared" si="775"/>
        <v>0</v>
      </c>
      <c r="AH381">
        <f t="shared" si="775"/>
        <v>0</v>
      </c>
      <c r="AI381">
        <f t="shared" si="775"/>
        <v>0</v>
      </c>
      <c r="AJ381">
        <f t="shared" si="775"/>
        <v>0</v>
      </c>
      <c r="AK381" s="13">
        <f t="shared" si="775"/>
        <v>0</v>
      </c>
      <c r="AL381" s="13">
        <f t="shared" si="775"/>
        <v>0</v>
      </c>
      <c r="AM381" s="13">
        <f t="shared" si="775"/>
        <v>0</v>
      </c>
      <c r="AN381" s="13">
        <f t="shared" si="775"/>
        <v>0</v>
      </c>
      <c r="AO381" s="13"/>
      <c r="AP381" s="14" t="s">
        <v>269</v>
      </c>
      <c r="AQ381" s="71">
        <f>$AO$390*AQ385</f>
        <v>854226.59189051378</v>
      </c>
      <c r="AR381" s="13">
        <f t="shared" ref="AR381:BD381" si="776">AR197</f>
        <v>0</v>
      </c>
      <c r="AS381" s="13">
        <f t="shared" si="776"/>
        <v>0</v>
      </c>
      <c r="AT381">
        <f t="shared" si="776"/>
        <v>0</v>
      </c>
      <c r="AU381" s="11">
        <f t="shared" si="776"/>
        <v>0</v>
      </c>
      <c r="AV381">
        <f t="shared" si="776"/>
        <v>0</v>
      </c>
      <c r="AW381">
        <f t="shared" si="776"/>
        <v>0</v>
      </c>
      <c r="AX381">
        <f t="shared" si="776"/>
        <v>0</v>
      </c>
      <c r="AY381">
        <f t="shared" si="776"/>
        <v>0</v>
      </c>
      <c r="AZ381">
        <f t="shared" si="776"/>
        <v>0</v>
      </c>
      <c r="BA381">
        <f t="shared" si="776"/>
        <v>0</v>
      </c>
      <c r="BB381">
        <f t="shared" si="776"/>
        <v>0</v>
      </c>
      <c r="BC381">
        <f t="shared" si="776"/>
        <v>0</v>
      </c>
      <c r="BD381">
        <f t="shared" si="776"/>
        <v>0</v>
      </c>
    </row>
    <row r="382" spans="1:56" x14ac:dyDescent="0.3">
      <c r="A382">
        <f t="shared" ref="A382:K382" si="777">A198</f>
        <v>0</v>
      </c>
      <c r="B382">
        <f t="shared" si="777"/>
        <v>0</v>
      </c>
      <c r="C382">
        <f t="shared" si="777"/>
        <v>0</v>
      </c>
      <c r="D382">
        <f t="shared" si="777"/>
        <v>0</v>
      </c>
      <c r="E382">
        <f t="shared" si="777"/>
        <v>0</v>
      </c>
      <c r="F382">
        <f t="shared" si="777"/>
        <v>0</v>
      </c>
      <c r="G382">
        <f t="shared" si="777"/>
        <v>0</v>
      </c>
      <c r="H382" s="13">
        <f t="shared" si="777"/>
        <v>0</v>
      </c>
      <c r="I382" s="13">
        <f t="shared" si="777"/>
        <v>0</v>
      </c>
      <c r="J382" s="13">
        <f t="shared" si="777"/>
        <v>0</v>
      </c>
      <c r="K382" s="13">
        <f t="shared" si="777"/>
        <v>0</v>
      </c>
      <c r="L382" s="13"/>
      <c r="M382" s="12" t="str">
        <f t="shared" ref="M382:AA382" si="778">M198</f>
        <v>Vaccine protective</v>
      </c>
      <c r="N382" s="30">
        <f t="shared" si="778"/>
        <v>803977.96883813071</v>
      </c>
      <c r="O382" s="438">
        <f t="shared" si="778"/>
        <v>0</v>
      </c>
      <c r="P382" s="100">
        <f t="shared" si="778"/>
        <v>0</v>
      </c>
      <c r="Q382" s="438">
        <f t="shared" si="778"/>
        <v>0</v>
      </c>
      <c r="R382" s="65" t="str">
        <f t="shared" si="778"/>
        <v>Not MA for RSV</v>
      </c>
      <c r="S382" s="62" t="str">
        <f t="shared" si="778"/>
        <v>unknown</v>
      </c>
      <c r="T382">
        <f t="shared" si="778"/>
        <v>0</v>
      </c>
      <c r="U382">
        <f t="shared" si="778"/>
        <v>0</v>
      </c>
      <c r="V382">
        <f t="shared" si="778"/>
        <v>0</v>
      </c>
      <c r="W382">
        <f t="shared" si="778"/>
        <v>0</v>
      </c>
      <c r="X382" s="1117"/>
      <c r="Y382" s="1117"/>
      <c r="Z382">
        <f t="shared" si="778"/>
        <v>0</v>
      </c>
      <c r="AA382">
        <f t="shared" si="778"/>
        <v>0</v>
      </c>
      <c r="AD382">
        <f t="shared" ref="AD382:AN382" si="779">AD198</f>
        <v>0</v>
      </c>
      <c r="AE382">
        <f t="shared" si="779"/>
        <v>0</v>
      </c>
      <c r="AF382">
        <f t="shared" si="779"/>
        <v>0</v>
      </c>
      <c r="AG382">
        <f t="shared" si="779"/>
        <v>0</v>
      </c>
      <c r="AH382">
        <f t="shared" si="779"/>
        <v>0</v>
      </c>
      <c r="AI382">
        <f t="shared" si="779"/>
        <v>0</v>
      </c>
      <c r="AJ382">
        <f t="shared" si="779"/>
        <v>0</v>
      </c>
      <c r="AK382" s="13">
        <f t="shared" si="779"/>
        <v>0</v>
      </c>
      <c r="AL382" s="13">
        <f t="shared" si="779"/>
        <v>0</v>
      </c>
      <c r="AM382" s="13">
        <f t="shared" si="779"/>
        <v>0</v>
      </c>
      <c r="AN382" s="13">
        <f t="shared" si="779"/>
        <v>0</v>
      </c>
      <c r="AO382" s="13"/>
      <c r="AP382" s="12" t="str">
        <f t="shared" ref="AP382:AZ382" si="780">AP198</f>
        <v>Vaccine protective</v>
      </c>
      <c r="AQ382" s="30">
        <f t="shared" si="780"/>
        <v>803977.96883813071</v>
      </c>
      <c r="AR382" s="500">
        <f t="shared" si="780"/>
        <v>0</v>
      </c>
      <c r="AS382" s="100">
        <f t="shared" si="780"/>
        <v>0</v>
      </c>
      <c r="AT382" s="500">
        <f t="shared" si="780"/>
        <v>0</v>
      </c>
      <c r="AU382" s="65" t="str">
        <f t="shared" si="780"/>
        <v>Not MA for RSV</v>
      </c>
      <c r="AV382" s="62" t="str">
        <f t="shared" si="780"/>
        <v>unknown</v>
      </c>
      <c r="AW382">
        <f t="shared" si="780"/>
        <v>0</v>
      </c>
      <c r="AX382">
        <f t="shared" si="780"/>
        <v>0</v>
      </c>
      <c r="AY382">
        <f t="shared" si="780"/>
        <v>0</v>
      </c>
      <c r="AZ382">
        <f t="shared" si="780"/>
        <v>0</v>
      </c>
      <c r="BA382" s="1117"/>
      <c r="BB382" s="1117"/>
      <c r="BC382">
        <f t="shared" ref="BC382:BD382" si="781">BC198</f>
        <v>0</v>
      </c>
      <c r="BD382">
        <f t="shared" si="781"/>
        <v>0</v>
      </c>
    </row>
    <row r="383" spans="1:56" x14ac:dyDescent="0.3">
      <c r="A383">
        <f t="shared" ref="A383:Q383" si="782">A199</f>
        <v>0</v>
      </c>
      <c r="B383">
        <f t="shared" si="782"/>
        <v>0</v>
      </c>
      <c r="C383">
        <f t="shared" si="782"/>
        <v>0</v>
      </c>
      <c r="D383">
        <f t="shared" si="782"/>
        <v>0</v>
      </c>
      <c r="E383">
        <f t="shared" si="782"/>
        <v>0</v>
      </c>
      <c r="F383">
        <f t="shared" si="782"/>
        <v>0</v>
      </c>
      <c r="G383">
        <f t="shared" si="782"/>
        <v>0</v>
      </c>
      <c r="H383" s="13">
        <f t="shared" si="782"/>
        <v>0</v>
      </c>
      <c r="I383" s="13">
        <f t="shared" si="782"/>
        <v>0</v>
      </c>
      <c r="J383" s="13">
        <f t="shared" si="782"/>
        <v>0</v>
      </c>
      <c r="K383" s="13">
        <f t="shared" si="782"/>
        <v>0</v>
      </c>
      <c r="L383" s="13">
        <f t="shared" si="782"/>
        <v>0</v>
      </c>
      <c r="M383" s="59" t="str">
        <f t="shared" si="782"/>
        <v>p9</v>
      </c>
      <c r="N383" s="61">
        <f t="shared" si="782"/>
        <v>0.8</v>
      </c>
      <c r="O383">
        <f t="shared" si="782"/>
        <v>0</v>
      </c>
      <c r="P383">
        <f t="shared" si="782"/>
        <v>0</v>
      </c>
      <c r="Q383" s="52">
        <f t="shared" si="782"/>
        <v>0</v>
      </c>
      <c r="R383" s="11"/>
      <c r="W383" s="437" t="str">
        <f t="shared" ref="W383:AA383" si="783">W199</f>
        <v>base</v>
      </c>
      <c r="X383" s="700"/>
      <c r="Y383" s="700"/>
      <c r="Z383">
        <f t="shared" si="783"/>
        <v>0</v>
      </c>
      <c r="AA383">
        <f t="shared" si="783"/>
        <v>0</v>
      </c>
      <c r="AD383">
        <f t="shared" ref="AD383:AT383" si="784">AD199</f>
        <v>0</v>
      </c>
      <c r="AE383">
        <f t="shared" si="784"/>
        <v>0</v>
      </c>
      <c r="AF383">
        <f t="shared" si="784"/>
        <v>0</v>
      </c>
      <c r="AG383">
        <f t="shared" si="784"/>
        <v>0</v>
      </c>
      <c r="AH383">
        <f t="shared" si="784"/>
        <v>0</v>
      </c>
      <c r="AI383">
        <f t="shared" si="784"/>
        <v>0</v>
      </c>
      <c r="AJ383">
        <f t="shared" si="784"/>
        <v>0</v>
      </c>
      <c r="AK383" s="13">
        <f t="shared" si="784"/>
        <v>0</v>
      </c>
      <c r="AL383" s="13">
        <f t="shared" si="784"/>
        <v>0</v>
      </c>
      <c r="AM383" s="13">
        <f t="shared" si="784"/>
        <v>0</v>
      </c>
      <c r="AN383" s="13">
        <f t="shared" si="784"/>
        <v>0</v>
      </c>
      <c r="AO383" s="13">
        <f t="shared" si="784"/>
        <v>0</v>
      </c>
      <c r="AP383" s="59" t="str">
        <f t="shared" si="784"/>
        <v>p9</v>
      </c>
      <c r="AQ383" s="61">
        <f t="shared" si="784"/>
        <v>0.8</v>
      </c>
      <c r="AR383">
        <f t="shared" si="784"/>
        <v>0</v>
      </c>
      <c r="AS383">
        <f t="shared" si="784"/>
        <v>0</v>
      </c>
      <c r="AT383" s="52">
        <f t="shared" si="784"/>
        <v>0</v>
      </c>
      <c r="AU383" s="11"/>
      <c r="AZ383" s="684" t="str">
        <f t="shared" ref="AZ383" si="785">AZ199</f>
        <v>base</v>
      </c>
      <c r="BA383" s="684"/>
      <c r="BB383" s="684"/>
      <c r="BC383">
        <f t="shared" ref="BC383:BD383" si="786">BC199</f>
        <v>0</v>
      </c>
      <c r="BD383">
        <f t="shared" si="786"/>
        <v>0</v>
      </c>
    </row>
    <row r="384" spans="1:56" x14ac:dyDescent="0.3">
      <c r="A384">
        <f t="shared" ref="A384:T384" si="787">A200</f>
        <v>0</v>
      </c>
      <c r="B384">
        <f t="shared" si="787"/>
        <v>0</v>
      </c>
      <c r="C384">
        <f t="shared" si="787"/>
        <v>0</v>
      </c>
      <c r="D384">
        <f t="shared" si="787"/>
        <v>0</v>
      </c>
      <c r="E384">
        <f t="shared" si="787"/>
        <v>0</v>
      </c>
      <c r="F384">
        <f t="shared" si="787"/>
        <v>0</v>
      </c>
      <c r="G384">
        <f t="shared" si="787"/>
        <v>0</v>
      </c>
      <c r="H384" s="13">
        <f t="shared" si="787"/>
        <v>0</v>
      </c>
      <c r="I384" s="13">
        <f t="shared" si="787"/>
        <v>0</v>
      </c>
      <c r="J384" s="13">
        <f t="shared" si="787"/>
        <v>0</v>
      </c>
      <c r="K384" s="13">
        <f t="shared" si="787"/>
        <v>0</v>
      </c>
      <c r="L384" s="13">
        <f t="shared" si="787"/>
        <v>0</v>
      </c>
      <c r="M384" s="59" t="s">
        <v>161</v>
      </c>
      <c r="N384" s="61">
        <f>'Input 6_Product Efficacy'!M15</f>
        <v>0.73</v>
      </c>
      <c r="O384">
        <f t="shared" si="787"/>
        <v>0</v>
      </c>
      <c r="P384">
        <f t="shared" si="787"/>
        <v>0</v>
      </c>
      <c r="Q384">
        <f t="shared" si="787"/>
        <v>0</v>
      </c>
      <c r="R384" s="11">
        <f t="shared" si="787"/>
        <v>0</v>
      </c>
      <c r="S384">
        <f t="shared" si="787"/>
        <v>0</v>
      </c>
      <c r="T384">
        <f t="shared" si="787"/>
        <v>0</v>
      </c>
      <c r="V384" s="12" t="str">
        <f t="shared" ref="V384:AA384" si="788">V200</f>
        <v>Outpatient</v>
      </c>
      <c r="W384" s="33">
        <f t="shared" si="788"/>
        <v>78961.156328365047</v>
      </c>
      <c r="X384" s="33"/>
      <c r="Y384" s="33"/>
      <c r="Z384">
        <f t="shared" si="788"/>
        <v>0</v>
      </c>
      <c r="AA384">
        <f t="shared" si="788"/>
        <v>0</v>
      </c>
      <c r="AD384">
        <f t="shared" ref="AD384:AO384" si="789">AD200</f>
        <v>0</v>
      </c>
      <c r="AE384">
        <f t="shared" si="789"/>
        <v>0</v>
      </c>
      <c r="AF384">
        <f t="shared" si="789"/>
        <v>0</v>
      </c>
      <c r="AG384">
        <f t="shared" si="789"/>
        <v>0</v>
      </c>
      <c r="AH384">
        <f t="shared" si="789"/>
        <v>0</v>
      </c>
      <c r="AI384">
        <f t="shared" si="789"/>
        <v>0</v>
      </c>
      <c r="AJ384">
        <f t="shared" si="789"/>
        <v>0</v>
      </c>
      <c r="AK384" s="13">
        <f t="shared" si="789"/>
        <v>0</v>
      </c>
      <c r="AL384" s="13">
        <f t="shared" si="789"/>
        <v>0</v>
      </c>
      <c r="AM384" s="13">
        <f t="shared" si="789"/>
        <v>0</v>
      </c>
      <c r="AN384" s="13">
        <f t="shared" si="789"/>
        <v>0</v>
      </c>
      <c r="AO384" s="13">
        <f t="shared" si="789"/>
        <v>0</v>
      </c>
      <c r="AP384" s="59" t="s">
        <v>161</v>
      </c>
      <c r="AQ384" s="61">
        <f>N384</f>
        <v>0.73</v>
      </c>
      <c r="AR384">
        <f t="shared" ref="AR384:AW384" si="790">AR200</f>
        <v>0</v>
      </c>
      <c r="AS384">
        <f t="shared" si="790"/>
        <v>0</v>
      </c>
      <c r="AT384">
        <f t="shared" si="790"/>
        <v>0</v>
      </c>
      <c r="AU384" s="11">
        <f t="shared" si="790"/>
        <v>0</v>
      </c>
      <c r="AV384">
        <f t="shared" si="790"/>
        <v>0</v>
      </c>
      <c r="AW384">
        <f t="shared" si="790"/>
        <v>0</v>
      </c>
      <c r="AY384" s="12" t="str">
        <f t="shared" ref="AY384:AZ384" si="791">AY200</f>
        <v>Outpatient</v>
      </c>
      <c r="AZ384" s="33">
        <f t="shared" si="791"/>
        <v>41537.592484558467</v>
      </c>
      <c r="BA384" s="33">
        <f>$L$388*BA385</f>
        <v>0</v>
      </c>
      <c r="BB384" s="33">
        <f>$L$389*BB385</f>
        <v>0</v>
      </c>
      <c r="BC384">
        <f t="shared" ref="BC384:BD384" si="792">BC200</f>
        <v>0</v>
      </c>
      <c r="BD384">
        <f t="shared" si="792"/>
        <v>0</v>
      </c>
    </row>
    <row r="385" spans="1:56" x14ac:dyDescent="0.3">
      <c r="A385">
        <f t="shared" ref="A385:AA385" si="793">A201</f>
        <v>0</v>
      </c>
      <c r="B385">
        <f t="shared" si="793"/>
        <v>0</v>
      </c>
      <c r="C385">
        <f t="shared" si="793"/>
        <v>0</v>
      </c>
      <c r="D385">
        <f t="shared" si="793"/>
        <v>0</v>
      </c>
      <c r="E385">
        <f t="shared" si="793"/>
        <v>0</v>
      </c>
      <c r="F385">
        <f t="shared" si="793"/>
        <v>0</v>
      </c>
      <c r="G385">
        <f t="shared" si="793"/>
        <v>0</v>
      </c>
      <c r="H385" s="13">
        <f t="shared" si="793"/>
        <v>0</v>
      </c>
      <c r="I385" s="13">
        <f t="shared" si="793"/>
        <v>0</v>
      </c>
      <c r="J385" s="13">
        <f t="shared" si="793"/>
        <v>0</v>
      </c>
      <c r="K385" s="13">
        <f t="shared" si="793"/>
        <v>0</v>
      </c>
      <c r="L385" s="13">
        <f t="shared" si="793"/>
        <v>0</v>
      </c>
      <c r="M385" s="59" t="s">
        <v>162</v>
      </c>
      <c r="N385" s="61">
        <f>'Input 6_Product Efficacy'!O15</f>
        <v>0.85</v>
      </c>
      <c r="O385">
        <f t="shared" si="793"/>
        <v>0</v>
      </c>
      <c r="P385">
        <f t="shared" si="793"/>
        <v>0</v>
      </c>
      <c r="Q385">
        <f t="shared" si="793"/>
        <v>0</v>
      </c>
      <c r="R385" s="59" t="str">
        <f t="shared" si="793"/>
        <v>low:</v>
      </c>
      <c r="S385" s="50">
        <f t="shared" si="793"/>
        <v>0.11146691567595504</v>
      </c>
      <c r="T385">
        <f t="shared" si="793"/>
        <v>0</v>
      </c>
      <c r="U385" s="16">
        <f t="shared" si="793"/>
        <v>0</v>
      </c>
      <c r="V385" s="2" t="str">
        <f t="shared" si="793"/>
        <v>p10c</v>
      </c>
      <c r="W385" s="61">
        <f t="shared" si="793"/>
        <v>7.8570467738040953E-2</v>
      </c>
      <c r="X385" s="61"/>
      <c r="Y385" s="61"/>
      <c r="Z385">
        <f t="shared" si="793"/>
        <v>0</v>
      </c>
      <c r="AA385">
        <f t="shared" si="793"/>
        <v>0</v>
      </c>
      <c r="AD385">
        <f t="shared" ref="AD385:AO385" si="794">AD201</f>
        <v>0</v>
      </c>
      <c r="AE385">
        <f t="shared" si="794"/>
        <v>0</v>
      </c>
      <c r="AF385">
        <f t="shared" si="794"/>
        <v>0</v>
      </c>
      <c r="AG385">
        <f t="shared" si="794"/>
        <v>0</v>
      </c>
      <c r="AH385">
        <f t="shared" si="794"/>
        <v>0</v>
      </c>
      <c r="AI385">
        <f t="shared" si="794"/>
        <v>0</v>
      </c>
      <c r="AJ385">
        <f t="shared" si="794"/>
        <v>0</v>
      </c>
      <c r="AK385" s="13">
        <f t="shared" si="794"/>
        <v>0</v>
      </c>
      <c r="AL385" s="13">
        <f t="shared" si="794"/>
        <v>0</v>
      </c>
      <c r="AM385" s="13">
        <f t="shared" si="794"/>
        <v>0</v>
      </c>
      <c r="AN385" s="13">
        <f t="shared" si="794"/>
        <v>0</v>
      </c>
      <c r="AO385" s="13">
        <f t="shared" si="794"/>
        <v>0</v>
      </c>
      <c r="AP385" s="59" t="s">
        <v>162</v>
      </c>
      <c r="AQ385" s="61">
        <f>N385</f>
        <v>0.85</v>
      </c>
      <c r="AR385">
        <f t="shared" ref="AR385:AZ385" si="795">AR201</f>
        <v>0</v>
      </c>
      <c r="AS385">
        <f t="shared" si="795"/>
        <v>0</v>
      </c>
      <c r="AT385">
        <f t="shared" si="795"/>
        <v>0</v>
      </c>
      <c r="AU385" s="59" t="str">
        <f t="shared" si="795"/>
        <v>low:</v>
      </c>
      <c r="AV385" s="50">
        <f t="shared" si="795"/>
        <v>5.9421138653746097E-2</v>
      </c>
      <c r="AW385">
        <f t="shared" si="795"/>
        <v>0</v>
      </c>
      <c r="AX385" s="16">
        <f t="shared" si="795"/>
        <v>0</v>
      </c>
      <c r="AY385" s="2" t="str">
        <f t="shared" si="795"/>
        <v>p10c</v>
      </c>
      <c r="AZ385" s="61">
        <f t="shared" si="795"/>
        <v>4.133207037460148E-2</v>
      </c>
      <c r="BA385" s="61"/>
      <c r="BB385" s="61"/>
      <c r="BC385">
        <f t="shared" ref="BC385:BD385" si="796">BC201</f>
        <v>0</v>
      </c>
      <c r="BD385">
        <f t="shared" si="796"/>
        <v>0</v>
      </c>
    </row>
    <row r="386" spans="1:56" x14ac:dyDescent="0.3">
      <c r="A386">
        <f t="shared" ref="A386:AA386" si="797">A202</f>
        <v>0</v>
      </c>
      <c r="B386">
        <f t="shared" si="797"/>
        <v>0</v>
      </c>
      <c r="C386">
        <f t="shared" si="797"/>
        <v>0</v>
      </c>
      <c r="D386">
        <f t="shared" si="797"/>
        <v>0</v>
      </c>
      <c r="E386">
        <f t="shared" si="797"/>
        <v>0</v>
      </c>
      <c r="F386">
        <f t="shared" si="797"/>
        <v>0</v>
      </c>
      <c r="G386">
        <f t="shared" si="797"/>
        <v>0</v>
      </c>
      <c r="H386" s="13">
        <f t="shared" si="797"/>
        <v>0</v>
      </c>
      <c r="I386" s="13">
        <f t="shared" si="797"/>
        <v>0</v>
      </c>
      <c r="J386" s="13">
        <f t="shared" si="797"/>
        <v>0</v>
      </c>
      <c r="K386" s="13">
        <f t="shared" si="797"/>
        <v>0</v>
      </c>
      <c r="L386" s="13">
        <f t="shared" si="797"/>
        <v>0</v>
      </c>
      <c r="M386" s="11">
        <f t="shared" si="797"/>
        <v>0</v>
      </c>
      <c r="N386">
        <f t="shared" si="797"/>
        <v>0</v>
      </c>
      <c r="O386">
        <f t="shared" si="797"/>
        <v>0</v>
      </c>
      <c r="P386">
        <f t="shared" si="797"/>
        <v>0</v>
      </c>
      <c r="Q386">
        <f t="shared" si="797"/>
        <v>0</v>
      </c>
      <c r="R386" s="59" t="str">
        <f t="shared" si="797"/>
        <v>high:</v>
      </c>
      <c r="S386" s="50">
        <f t="shared" si="797"/>
        <v>0.11146691567595504</v>
      </c>
      <c r="T386">
        <f t="shared" si="797"/>
        <v>0</v>
      </c>
      <c r="U386" s="11">
        <f t="shared" si="797"/>
        <v>0</v>
      </c>
      <c r="V386" s="2">
        <f t="shared" si="797"/>
        <v>0</v>
      </c>
      <c r="W386">
        <f t="shared" si="797"/>
        <v>0</v>
      </c>
      <c r="X386">
        <f t="shared" si="797"/>
        <v>0</v>
      </c>
      <c r="Y386">
        <f t="shared" si="797"/>
        <v>0</v>
      </c>
      <c r="Z386" s="13">
        <f t="shared" si="797"/>
        <v>0</v>
      </c>
      <c r="AA386">
        <f t="shared" si="797"/>
        <v>0</v>
      </c>
      <c r="AD386">
        <f t="shared" ref="AD386:BD386" si="798">AD202</f>
        <v>0</v>
      </c>
      <c r="AE386">
        <f t="shared" si="798"/>
        <v>0</v>
      </c>
      <c r="AF386">
        <f t="shared" si="798"/>
        <v>0</v>
      </c>
      <c r="AG386">
        <f t="shared" si="798"/>
        <v>0</v>
      </c>
      <c r="AH386">
        <f t="shared" si="798"/>
        <v>0</v>
      </c>
      <c r="AI386">
        <f t="shared" si="798"/>
        <v>0</v>
      </c>
      <c r="AJ386">
        <f t="shared" si="798"/>
        <v>0</v>
      </c>
      <c r="AK386" s="13">
        <f t="shared" si="798"/>
        <v>0</v>
      </c>
      <c r="AL386" s="13">
        <f t="shared" si="798"/>
        <v>0</v>
      </c>
      <c r="AM386" s="13">
        <f t="shared" si="798"/>
        <v>0</v>
      </c>
      <c r="AN386" s="13">
        <f t="shared" si="798"/>
        <v>0</v>
      </c>
      <c r="AO386" s="13">
        <f t="shared" si="798"/>
        <v>0</v>
      </c>
      <c r="AP386" s="11">
        <f t="shared" si="798"/>
        <v>0</v>
      </c>
      <c r="AQ386">
        <f t="shared" si="798"/>
        <v>0</v>
      </c>
      <c r="AR386">
        <f t="shared" si="798"/>
        <v>0</v>
      </c>
      <c r="AS386">
        <f t="shared" si="798"/>
        <v>0</v>
      </c>
      <c r="AT386">
        <f t="shared" si="798"/>
        <v>0</v>
      </c>
      <c r="AU386" s="59" t="str">
        <f t="shared" si="798"/>
        <v>high:</v>
      </c>
      <c r="AV386" s="50">
        <f t="shared" si="798"/>
        <v>5.9421138653746097E-2</v>
      </c>
      <c r="AW386">
        <f t="shared" si="798"/>
        <v>0</v>
      </c>
      <c r="AX386" s="11">
        <f t="shared" si="798"/>
        <v>0</v>
      </c>
      <c r="AY386" s="2">
        <f t="shared" si="798"/>
        <v>0</v>
      </c>
      <c r="AZ386">
        <f t="shared" si="798"/>
        <v>0</v>
      </c>
      <c r="BA386">
        <f t="shared" si="798"/>
        <v>0</v>
      </c>
      <c r="BB386">
        <f t="shared" si="798"/>
        <v>0</v>
      </c>
      <c r="BC386" s="13">
        <f t="shared" si="798"/>
        <v>0</v>
      </c>
      <c r="BD386">
        <f t="shared" si="798"/>
        <v>0</v>
      </c>
    </row>
    <row r="387" spans="1:56" x14ac:dyDescent="0.3">
      <c r="A387">
        <f t="shared" ref="A387:AA387" si="799">A203</f>
        <v>0</v>
      </c>
      <c r="B387">
        <f t="shared" si="799"/>
        <v>0</v>
      </c>
      <c r="C387">
        <f t="shared" si="799"/>
        <v>0</v>
      </c>
      <c r="D387">
        <f t="shared" si="799"/>
        <v>0</v>
      </c>
      <c r="E387">
        <f t="shared" si="799"/>
        <v>0</v>
      </c>
      <c r="F387">
        <f t="shared" si="799"/>
        <v>0</v>
      </c>
      <c r="G387">
        <f t="shared" si="799"/>
        <v>0</v>
      </c>
      <c r="H387" s="13">
        <f t="shared" si="799"/>
        <v>0</v>
      </c>
      <c r="I387" s="13">
        <f t="shared" si="799"/>
        <v>0</v>
      </c>
      <c r="J387" s="13">
        <f t="shared" si="799"/>
        <v>0</v>
      </c>
      <c r="K387" s="13">
        <f t="shared" si="799"/>
        <v>0</v>
      </c>
      <c r="L387" s="13">
        <f t="shared" si="799"/>
        <v>0</v>
      </c>
      <c r="M387" s="11">
        <f t="shared" si="799"/>
        <v>0</v>
      </c>
      <c r="N387">
        <f t="shared" si="799"/>
        <v>0</v>
      </c>
      <c r="O387">
        <f t="shared" si="799"/>
        <v>0</v>
      </c>
      <c r="P387">
        <f t="shared" si="799"/>
        <v>0</v>
      </c>
      <c r="Q387">
        <f t="shared" si="799"/>
        <v>0</v>
      </c>
      <c r="R387" s="65" t="str">
        <f t="shared" si="799"/>
        <v>sum p10a-c</v>
      </c>
      <c r="S387" s="97">
        <f t="shared" si="799"/>
        <v>0.11146691567595504</v>
      </c>
      <c r="T387" s="438">
        <f t="shared" si="799"/>
        <v>0</v>
      </c>
      <c r="U387" s="18">
        <f t="shared" si="799"/>
        <v>0</v>
      </c>
      <c r="V387" s="12" t="str">
        <f t="shared" si="799"/>
        <v>ED</v>
      </c>
      <c r="W387" s="33">
        <f t="shared" si="799"/>
        <v>29354.522402194692</v>
      </c>
      <c r="X387" s="33"/>
      <c r="Y387" s="33"/>
      <c r="Z387">
        <f t="shared" si="799"/>
        <v>0</v>
      </c>
      <c r="AA387">
        <f t="shared" si="799"/>
        <v>0</v>
      </c>
      <c r="AD387">
        <f t="shared" ref="AD387:AZ387" si="800">AD203</f>
        <v>0</v>
      </c>
      <c r="AE387">
        <f t="shared" si="800"/>
        <v>0</v>
      </c>
      <c r="AF387">
        <f t="shared" si="800"/>
        <v>0</v>
      </c>
      <c r="AG387">
        <f t="shared" si="800"/>
        <v>0</v>
      </c>
      <c r="AH387">
        <f t="shared" si="800"/>
        <v>0</v>
      </c>
      <c r="AI387">
        <f t="shared" si="800"/>
        <v>0</v>
      </c>
      <c r="AJ387">
        <f t="shared" si="800"/>
        <v>0</v>
      </c>
      <c r="AK387" s="13">
        <f t="shared" si="800"/>
        <v>0</v>
      </c>
      <c r="AL387" s="13">
        <f t="shared" si="800"/>
        <v>0</v>
      </c>
      <c r="AM387" s="13">
        <f t="shared" si="800"/>
        <v>0</v>
      </c>
      <c r="AN387" s="13">
        <f t="shared" si="800"/>
        <v>0</v>
      </c>
      <c r="AO387" s="13">
        <f t="shared" si="800"/>
        <v>0</v>
      </c>
      <c r="AP387" s="11">
        <f t="shared" si="800"/>
        <v>0</v>
      </c>
      <c r="AQ387">
        <f t="shared" si="800"/>
        <v>0</v>
      </c>
      <c r="AR387">
        <f t="shared" si="800"/>
        <v>0</v>
      </c>
      <c r="AS387">
        <f t="shared" si="800"/>
        <v>0</v>
      </c>
      <c r="AT387">
        <f t="shared" si="800"/>
        <v>0</v>
      </c>
      <c r="AU387" s="65" t="str">
        <f t="shared" si="800"/>
        <v>sum p10a-c</v>
      </c>
      <c r="AV387" s="97">
        <f t="shared" si="800"/>
        <v>5.9421138653746097E-2</v>
      </c>
      <c r="AW387" s="500">
        <f t="shared" si="800"/>
        <v>0</v>
      </c>
      <c r="AX387" s="18">
        <f t="shared" si="800"/>
        <v>0</v>
      </c>
      <c r="AY387" s="12" t="str">
        <f t="shared" si="800"/>
        <v>ED</v>
      </c>
      <c r="AZ387" s="33">
        <f t="shared" si="800"/>
        <v>16251.999227747803</v>
      </c>
      <c r="BA387" s="33">
        <f>$L$388*BA388</f>
        <v>0</v>
      </c>
      <c r="BB387" s="33">
        <f>$L$389*BB388</f>
        <v>0</v>
      </c>
      <c r="BC387">
        <f t="shared" ref="BC387:BD387" si="801">BC203</f>
        <v>0</v>
      </c>
      <c r="BD387">
        <f t="shared" si="801"/>
        <v>0</v>
      </c>
    </row>
    <row r="388" spans="1:56" x14ac:dyDescent="0.3">
      <c r="A388">
        <f t="shared" ref="A388:M388" si="802">A204</f>
        <v>0</v>
      </c>
      <c r="B388">
        <f t="shared" si="802"/>
        <v>0</v>
      </c>
      <c r="C388">
        <f t="shared" si="802"/>
        <v>0</v>
      </c>
      <c r="D388">
        <f t="shared" si="802"/>
        <v>0</v>
      </c>
      <c r="E388">
        <f t="shared" si="802"/>
        <v>0</v>
      </c>
      <c r="F388">
        <f t="shared" si="802"/>
        <v>0</v>
      </c>
      <c r="G388">
        <f t="shared" si="802"/>
        <v>0</v>
      </c>
      <c r="H388" s="13">
        <f t="shared" si="802"/>
        <v>0</v>
      </c>
      <c r="I388" s="13">
        <f t="shared" si="802"/>
        <v>0</v>
      </c>
      <c r="J388" s="13"/>
      <c r="K388" s="14"/>
      <c r="L388" s="88"/>
      <c r="M388" s="11">
        <f t="shared" si="802"/>
        <v>0</v>
      </c>
      <c r="N388" s="13"/>
      <c r="O388" s="13"/>
      <c r="P388" s="13"/>
      <c r="R388" s="2" t="str">
        <f t="shared" ref="R388:AA388" si="803">R204</f>
        <v>Medically Attended for RSV after Maternal Candidate</v>
      </c>
      <c r="S388" s="28">
        <f t="shared" si="803"/>
        <v>89616.944457805526</v>
      </c>
      <c r="T388">
        <f t="shared" si="803"/>
        <v>0</v>
      </c>
      <c r="U388" s="11">
        <f t="shared" si="803"/>
        <v>0</v>
      </c>
      <c r="V388" s="2" t="str">
        <f t="shared" si="803"/>
        <v>p10b</v>
      </c>
      <c r="W388" s="61">
        <f t="shared" si="803"/>
        <v>2.9209280393209185E-2</v>
      </c>
      <c r="X388" s="61"/>
      <c r="Y388" s="61"/>
      <c r="Z388">
        <f t="shared" si="803"/>
        <v>0</v>
      </c>
      <c r="AA388">
        <f t="shared" si="803"/>
        <v>0</v>
      </c>
      <c r="AD388">
        <f t="shared" ref="AD388:AL388" si="804">AD204</f>
        <v>0</v>
      </c>
      <c r="AE388">
        <f t="shared" si="804"/>
        <v>0</v>
      </c>
      <c r="AF388">
        <f t="shared" si="804"/>
        <v>0</v>
      </c>
      <c r="AG388">
        <f t="shared" si="804"/>
        <v>0</v>
      </c>
      <c r="AH388">
        <f t="shared" si="804"/>
        <v>0</v>
      </c>
      <c r="AI388">
        <f t="shared" si="804"/>
        <v>0</v>
      </c>
      <c r="AJ388">
        <f t="shared" si="804"/>
        <v>0</v>
      </c>
      <c r="AK388" s="13">
        <f t="shared" si="804"/>
        <v>0</v>
      </c>
      <c r="AL388" s="13">
        <f t="shared" si="804"/>
        <v>0</v>
      </c>
      <c r="AM388" s="13"/>
      <c r="AN388" s="14"/>
      <c r="AO388" s="88"/>
      <c r="AP388" s="11">
        <f t="shared" ref="AP388" si="805">AP204</f>
        <v>0</v>
      </c>
      <c r="AQ388" s="13"/>
      <c r="AR388" s="13"/>
      <c r="AS388" s="13"/>
      <c r="AU388" s="2" t="str">
        <f t="shared" ref="AU388:AZ388" si="806">AU204</f>
        <v>Medically Attended for RSV after Maternal Candidate</v>
      </c>
      <c r="AV388" s="28">
        <f t="shared" si="806"/>
        <v>47773.286360887723</v>
      </c>
      <c r="AW388">
        <f t="shared" si="806"/>
        <v>0</v>
      </c>
      <c r="AX388" s="11">
        <f t="shared" si="806"/>
        <v>0</v>
      </c>
      <c r="AY388" s="2" t="str">
        <f t="shared" si="806"/>
        <v>p10b</v>
      </c>
      <c r="AZ388" s="61">
        <f t="shared" si="806"/>
        <v>1.6171586643086145E-2</v>
      </c>
      <c r="BA388" s="61"/>
      <c r="BB388" s="61"/>
      <c r="BC388">
        <f t="shared" ref="BC388:BD388" si="807">BC204</f>
        <v>0</v>
      </c>
      <c r="BD388">
        <f t="shared" si="807"/>
        <v>0</v>
      </c>
    </row>
    <row r="389" spans="1:56" x14ac:dyDescent="0.3">
      <c r="A389">
        <f t="shared" ref="A389:N389" si="808">A205</f>
        <v>0</v>
      </c>
      <c r="B389">
        <f t="shared" si="808"/>
        <v>0</v>
      </c>
      <c r="C389">
        <f t="shared" si="808"/>
        <v>0</v>
      </c>
      <c r="D389">
        <f t="shared" si="808"/>
        <v>0</v>
      </c>
      <c r="E389">
        <f t="shared" si="808"/>
        <v>0</v>
      </c>
      <c r="F389">
        <f t="shared" si="808"/>
        <v>0</v>
      </c>
      <c r="G389">
        <f t="shared" si="808"/>
        <v>0</v>
      </c>
      <c r="H389" s="13">
        <f t="shared" si="808"/>
        <v>0</v>
      </c>
      <c r="I389" s="13">
        <f t="shared" si="808"/>
        <v>0</v>
      </c>
      <c r="J389" s="13"/>
      <c r="K389" s="14"/>
      <c r="L389" s="88"/>
      <c r="M389" s="11">
        <f t="shared" si="808"/>
        <v>0</v>
      </c>
      <c r="N389" s="14">
        <f t="shared" si="808"/>
        <v>0</v>
      </c>
      <c r="O389" s="88"/>
      <c r="P389" s="89"/>
      <c r="R389" s="14" t="str">
        <f t="shared" ref="R389:AA389" si="809">R205</f>
        <v>protection has waned</v>
      </c>
      <c r="S389">
        <f t="shared" si="809"/>
        <v>0</v>
      </c>
      <c r="T389">
        <f t="shared" si="809"/>
        <v>0</v>
      </c>
      <c r="U389" s="11">
        <f t="shared" si="809"/>
        <v>0</v>
      </c>
      <c r="V389" s="2">
        <f t="shared" si="809"/>
        <v>0</v>
      </c>
      <c r="W389">
        <f t="shared" si="809"/>
        <v>0</v>
      </c>
      <c r="X389">
        <f t="shared" si="809"/>
        <v>0</v>
      </c>
      <c r="Y389">
        <f t="shared" si="809"/>
        <v>0</v>
      </c>
      <c r="Z389">
        <f t="shared" si="809"/>
        <v>0</v>
      </c>
      <c r="AA389">
        <f t="shared" si="809"/>
        <v>0</v>
      </c>
      <c r="AD389">
        <f t="shared" ref="AD389:AL389" si="810">AD205</f>
        <v>0</v>
      </c>
      <c r="AE389">
        <f t="shared" si="810"/>
        <v>0</v>
      </c>
      <c r="AF389">
        <f t="shared" si="810"/>
        <v>0</v>
      </c>
      <c r="AG389">
        <f t="shared" si="810"/>
        <v>0</v>
      </c>
      <c r="AH389">
        <f t="shared" si="810"/>
        <v>0</v>
      </c>
      <c r="AI389">
        <f t="shared" si="810"/>
        <v>0</v>
      </c>
      <c r="AJ389">
        <f t="shared" si="810"/>
        <v>0</v>
      </c>
      <c r="AK389" s="13">
        <f t="shared" si="810"/>
        <v>0</v>
      </c>
      <c r="AL389" s="13">
        <f t="shared" si="810"/>
        <v>0</v>
      </c>
      <c r="AM389" s="13"/>
      <c r="AN389" s="14"/>
      <c r="AO389" s="88"/>
      <c r="AP389" s="11">
        <f t="shared" ref="AP389:AQ389" si="811">AP205</f>
        <v>0</v>
      </c>
      <c r="AQ389" s="14">
        <f t="shared" si="811"/>
        <v>0</v>
      </c>
      <c r="AR389" s="88"/>
      <c r="AS389" s="89"/>
      <c r="AU389" s="14" t="str">
        <f t="shared" ref="AU389:BD389" si="812">AU205</f>
        <v>protection has waned</v>
      </c>
      <c r="AV389">
        <f t="shared" si="812"/>
        <v>0</v>
      </c>
      <c r="AW389">
        <f t="shared" si="812"/>
        <v>0</v>
      </c>
      <c r="AX389" s="11">
        <f t="shared" si="812"/>
        <v>0</v>
      </c>
      <c r="AY389" s="2">
        <f t="shared" si="812"/>
        <v>0</v>
      </c>
      <c r="AZ389">
        <f t="shared" si="812"/>
        <v>0</v>
      </c>
      <c r="BA389">
        <f t="shared" si="812"/>
        <v>0</v>
      </c>
      <c r="BB389">
        <f t="shared" si="812"/>
        <v>0</v>
      </c>
      <c r="BC389">
        <f t="shared" si="812"/>
        <v>0</v>
      </c>
      <c r="BD389">
        <f t="shared" si="812"/>
        <v>0</v>
      </c>
    </row>
    <row r="390" spans="1:56" x14ac:dyDescent="0.3">
      <c r="A390">
        <f t="shared" ref="A390:H390" si="813">A206</f>
        <v>0</v>
      </c>
      <c r="B390">
        <f t="shared" si="813"/>
        <v>0</v>
      </c>
      <c r="C390">
        <f t="shared" si="813"/>
        <v>0</v>
      </c>
      <c r="D390">
        <f t="shared" si="813"/>
        <v>0</v>
      </c>
      <c r="E390">
        <f t="shared" si="813"/>
        <v>0</v>
      </c>
      <c r="F390">
        <f t="shared" si="813"/>
        <v>0</v>
      </c>
      <c r="G390">
        <f t="shared" si="813"/>
        <v>0</v>
      </c>
      <c r="H390" s="13">
        <f t="shared" si="813"/>
        <v>0</v>
      </c>
      <c r="I390" s="13"/>
      <c r="J390" s="13"/>
      <c r="K390" s="12" t="str">
        <f t="shared" ref="K390:T390" si="814">K206</f>
        <v>successful antibody transfer</v>
      </c>
      <c r="L390" s="90">
        <f t="shared" si="814"/>
        <v>1004972.4610476634</v>
      </c>
      <c r="M390" s="11">
        <f t="shared" si="814"/>
        <v>0</v>
      </c>
      <c r="N390" s="13">
        <f t="shared" si="814"/>
        <v>0</v>
      </c>
      <c r="O390" s="13">
        <f t="shared" si="814"/>
        <v>0</v>
      </c>
      <c r="P390" s="13">
        <f t="shared" si="814"/>
        <v>0</v>
      </c>
      <c r="Q390">
        <f t="shared" si="814"/>
        <v>0</v>
      </c>
      <c r="R390" s="14" t="s">
        <v>268</v>
      </c>
      <c r="S390" s="71">
        <f>N380*S385</f>
        <v>81775.461817747535</v>
      </c>
      <c r="T390">
        <f t="shared" si="814"/>
        <v>0</v>
      </c>
      <c r="U390" s="18"/>
      <c r="V390" s="12" t="str">
        <f t="shared" ref="V390:AA390" si="815">V206</f>
        <v>Hospitalized</v>
      </c>
      <c r="W390" s="30">
        <f t="shared" si="815"/>
        <v>3705.5018416971602</v>
      </c>
      <c r="X390" s="33"/>
      <c r="Y390" s="33"/>
      <c r="Z390">
        <f t="shared" si="815"/>
        <v>0</v>
      </c>
      <c r="AA390">
        <f t="shared" si="815"/>
        <v>0</v>
      </c>
      <c r="AD390">
        <f t="shared" ref="AD390:AK390" si="816">AD206</f>
        <v>0</v>
      </c>
      <c r="AE390">
        <f t="shared" si="816"/>
        <v>0</v>
      </c>
      <c r="AF390">
        <f t="shared" si="816"/>
        <v>0</v>
      </c>
      <c r="AG390">
        <f t="shared" si="816"/>
        <v>0</v>
      </c>
      <c r="AH390">
        <f t="shared" si="816"/>
        <v>0</v>
      </c>
      <c r="AI390">
        <f t="shared" si="816"/>
        <v>0</v>
      </c>
      <c r="AJ390">
        <f t="shared" si="816"/>
        <v>0</v>
      </c>
      <c r="AK390" s="13">
        <f t="shared" si="816"/>
        <v>0</v>
      </c>
      <c r="AL390" s="13"/>
      <c r="AM390" s="13"/>
      <c r="AN390" s="12" t="str">
        <f t="shared" ref="AN390:AT390" si="817">AN206</f>
        <v>successful antibody transfer</v>
      </c>
      <c r="AO390" s="90">
        <f t="shared" si="817"/>
        <v>1004972.4610476634</v>
      </c>
      <c r="AP390" s="11">
        <f t="shared" si="817"/>
        <v>0</v>
      </c>
      <c r="AQ390" s="13">
        <f t="shared" si="817"/>
        <v>0</v>
      </c>
      <c r="AR390" s="13">
        <f t="shared" si="817"/>
        <v>0</v>
      </c>
      <c r="AS390" s="13">
        <f t="shared" si="817"/>
        <v>0</v>
      </c>
      <c r="AT390">
        <f t="shared" si="817"/>
        <v>0</v>
      </c>
      <c r="AU390" s="14" t="s">
        <v>268</v>
      </c>
      <c r="AV390" s="71">
        <f>AQ380*AV385</f>
        <v>43593.123804310046</v>
      </c>
      <c r="AW390">
        <f t="shared" ref="AW390" si="818">AW206</f>
        <v>0</v>
      </c>
      <c r="AX390" s="18"/>
      <c r="AY390" s="12" t="str">
        <f t="shared" ref="AY390:AZ390" si="819">AY206</f>
        <v>Hospitalized</v>
      </c>
      <c r="AZ390" s="30">
        <f t="shared" si="819"/>
        <v>1927.0162388033784</v>
      </c>
      <c r="BA390" s="33">
        <f>$L$388*BA391</f>
        <v>0</v>
      </c>
      <c r="BB390" s="33">
        <f>$L$389*BB391</f>
        <v>0</v>
      </c>
      <c r="BC390">
        <f t="shared" ref="BC390:BD390" si="820">BC206</f>
        <v>0</v>
      </c>
      <c r="BD390">
        <f t="shared" si="820"/>
        <v>0</v>
      </c>
    </row>
    <row r="391" spans="1:56" x14ac:dyDescent="0.3">
      <c r="A391">
        <f t="shared" ref="A391:AA391" si="821">A207</f>
        <v>0</v>
      </c>
      <c r="B391">
        <f t="shared" si="821"/>
        <v>0</v>
      </c>
      <c r="C391">
        <f t="shared" si="821"/>
        <v>0</v>
      </c>
      <c r="D391">
        <f t="shared" si="821"/>
        <v>0</v>
      </c>
      <c r="E391">
        <f t="shared" si="821"/>
        <v>0</v>
      </c>
      <c r="F391">
        <f t="shared" si="821"/>
        <v>0</v>
      </c>
      <c r="G391">
        <f t="shared" si="821"/>
        <v>0</v>
      </c>
      <c r="H391">
        <f t="shared" si="821"/>
        <v>0</v>
      </c>
      <c r="I391" s="8">
        <f t="shared" si="821"/>
        <v>0</v>
      </c>
      <c r="J391">
        <f t="shared" si="821"/>
        <v>0</v>
      </c>
      <c r="K391" s="59" t="str">
        <f t="shared" si="821"/>
        <v>p8</v>
      </c>
      <c r="L391" s="96">
        <f t="shared" si="821"/>
        <v>0.91860728333333341</v>
      </c>
      <c r="M391" s="11">
        <f t="shared" si="821"/>
        <v>0</v>
      </c>
      <c r="N391">
        <f t="shared" si="821"/>
        <v>0</v>
      </c>
      <c r="O391">
        <f t="shared" si="821"/>
        <v>0</v>
      </c>
      <c r="P391">
        <f t="shared" si="821"/>
        <v>0</v>
      </c>
      <c r="Q391">
        <f t="shared" si="821"/>
        <v>0</v>
      </c>
      <c r="R391" s="14" t="s">
        <v>269</v>
      </c>
      <c r="S391" s="71">
        <f>N381*S386</f>
        <v>95218.003486418354</v>
      </c>
      <c r="T391">
        <f t="shared" si="821"/>
        <v>0</v>
      </c>
      <c r="U391">
        <f t="shared" si="821"/>
        <v>0</v>
      </c>
      <c r="V391" s="2" t="str">
        <f t="shared" si="821"/>
        <v>p10a</v>
      </c>
      <c r="W391" s="61">
        <f t="shared" si="821"/>
        <v>3.6871675447049065E-3</v>
      </c>
      <c r="X391" s="61"/>
      <c r="Y391" s="61"/>
      <c r="Z391">
        <f t="shared" si="821"/>
        <v>0</v>
      </c>
      <c r="AA391">
        <f t="shared" si="821"/>
        <v>0</v>
      </c>
      <c r="AD391">
        <f t="shared" ref="AD391:AT391" si="822">AD207</f>
        <v>0</v>
      </c>
      <c r="AE391">
        <f t="shared" si="822"/>
        <v>0</v>
      </c>
      <c r="AF391">
        <f t="shared" si="822"/>
        <v>0</v>
      </c>
      <c r="AG391">
        <f t="shared" si="822"/>
        <v>0</v>
      </c>
      <c r="AH391">
        <f t="shared" si="822"/>
        <v>0</v>
      </c>
      <c r="AI391">
        <f t="shared" si="822"/>
        <v>0</v>
      </c>
      <c r="AJ391">
        <f t="shared" si="822"/>
        <v>0</v>
      </c>
      <c r="AK391">
        <f t="shared" si="822"/>
        <v>0</v>
      </c>
      <c r="AL391" s="8">
        <f t="shared" si="822"/>
        <v>0</v>
      </c>
      <c r="AM391">
        <f t="shared" si="822"/>
        <v>0</v>
      </c>
      <c r="AN391" s="59" t="str">
        <f t="shared" si="822"/>
        <v>p8</v>
      </c>
      <c r="AO391" s="96">
        <f t="shared" si="822"/>
        <v>0.91860728333333341</v>
      </c>
      <c r="AP391" s="11">
        <f t="shared" si="822"/>
        <v>0</v>
      </c>
      <c r="AQ391">
        <f t="shared" si="822"/>
        <v>0</v>
      </c>
      <c r="AR391">
        <f t="shared" si="822"/>
        <v>0</v>
      </c>
      <c r="AS391">
        <f t="shared" si="822"/>
        <v>0</v>
      </c>
      <c r="AT391">
        <f t="shared" si="822"/>
        <v>0</v>
      </c>
      <c r="AU391" s="14" t="s">
        <v>269</v>
      </c>
      <c r="AV391" s="71">
        <f>AQ381*AV386</f>
        <v>50759.116758443204</v>
      </c>
      <c r="AW391">
        <f t="shared" ref="AW391:AZ391" si="823">AW207</f>
        <v>0</v>
      </c>
      <c r="AX391">
        <f t="shared" si="823"/>
        <v>0</v>
      </c>
      <c r="AY391" s="2" t="str">
        <f t="shared" si="823"/>
        <v>p10a</v>
      </c>
      <c r="AZ391" s="61">
        <f t="shared" si="823"/>
        <v>1.917481636058468E-3</v>
      </c>
      <c r="BA391" s="61"/>
      <c r="BB391" s="61"/>
      <c r="BC391">
        <f t="shared" ref="BC391:BD391" si="824">BC207</f>
        <v>0</v>
      </c>
      <c r="BD391">
        <f t="shared" si="824"/>
        <v>0</v>
      </c>
    </row>
    <row r="392" spans="1:56" x14ac:dyDescent="0.3">
      <c r="A392">
        <f t="shared" ref="A392:AA392" si="825">A208</f>
        <v>0</v>
      </c>
      <c r="B392">
        <f t="shared" si="825"/>
        <v>0</v>
      </c>
      <c r="C392">
        <f t="shared" si="825"/>
        <v>0</v>
      </c>
      <c r="D392">
        <f t="shared" si="825"/>
        <v>0</v>
      </c>
      <c r="E392">
        <f t="shared" si="825"/>
        <v>0</v>
      </c>
      <c r="F392">
        <f t="shared" si="825"/>
        <v>0</v>
      </c>
      <c r="G392">
        <f t="shared" si="825"/>
        <v>0</v>
      </c>
      <c r="H392">
        <f t="shared" si="825"/>
        <v>0</v>
      </c>
      <c r="I392" s="8">
        <f t="shared" si="825"/>
        <v>0</v>
      </c>
      <c r="J392">
        <f t="shared" si="825"/>
        <v>0</v>
      </c>
      <c r="K392" s="11">
        <f t="shared" si="825"/>
        <v>0</v>
      </c>
      <c r="L392">
        <f t="shared" si="825"/>
        <v>0</v>
      </c>
      <c r="M392" s="11">
        <f t="shared" si="825"/>
        <v>0</v>
      </c>
      <c r="N392">
        <f t="shared" si="825"/>
        <v>0</v>
      </c>
      <c r="O392">
        <f t="shared" si="825"/>
        <v>0</v>
      </c>
      <c r="P392">
        <f t="shared" si="825"/>
        <v>0</v>
      </c>
      <c r="Q392">
        <f t="shared" si="825"/>
        <v>0</v>
      </c>
      <c r="R392">
        <f t="shared" si="825"/>
        <v>0</v>
      </c>
      <c r="S392">
        <f t="shared" si="825"/>
        <v>0</v>
      </c>
      <c r="T392">
        <f t="shared" si="825"/>
        <v>0</v>
      </c>
      <c r="U392">
        <f t="shared" si="825"/>
        <v>0</v>
      </c>
      <c r="V392">
        <f t="shared" si="825"/>
        <v>0</v>
      </c>
      <c r="W392">
        <f t="shared" si="825"/>
        <v>0</v>
      </c>
      <c r="X392">
        <f t="shared" si="825"/>
        <v>0</v>
      </c>
      <c r="Y392">
        <f t="shared" si="825"/>
        <v>0</v>
      </c>
      <c r="Z392">
        <f t="shared" si="825"/>
        <v>0</v>
      </c>
      <c r="AA392">
        <f t="shared" si="825"/>
        <v>0</v>
      </c>
      <c r="AD392">
        <f t="shared" ref="AD392:BD392" si="826">AD208</f>
        <v>0</v>
      </c>
      <c r="AE392">
        <f t="shared" si="826"/>
        <v>0</v>
      </c>
      <c r="AF392">
        <f t="shared" si="826"/>
        <v>0</v>
      </c>
      <c r="AG392">
        <f t="shared" si="826"/>
        <v>0</v>
      </c>
      <c r="AH392">
        <f t="shared" si="826"/>
        <v>0</v>
      </c>
      <c r="AI392">
        <f t="shared" si="826"/>
        <v>0</v>
      </c>
      <c r="AJ392">
        <f t="shared" si="826"/>
        <v>0</v>
      </c>
      <c r="AK392">
        <f t="shared" si="826"/>
        <v>0</v>
      </c>
      <c r="AL392" s="8">
        <f t="shared" si="826"/>
        <v>0</v>
      </c>
      <c r="AM392">
        <f t="shared" si="826"/>
        <v>0</v>
      </c>
      <c r="AN392" s="11">
        <f t="shared" si="826"/>
        <v>0</v>
      </c>
      <c r="AO392">
        <f t="shared" si="826"/>
        <v>0</v>
      </c>
      <c r="AP392" s="11">
        <f t="shared" si="826"/>
        <v>0</v>
      </c>
      <c r="AQ392">
        <f t="shared" si="826"/>
        <v>0</v>
      </c>
      <c r="AR392">
        <f t="shared" si="826"/>
        <v>0</v>
      </c>
      <c r="AS392">
        <f t="shared" si="826"/>
        <v>0</v>
      </c>
      <c r="AT392">
        <f t="shared" si="826"/>
        <v>0</v>
      </c>
      <c r="AU392">
        <f t="shared" si="826"/>
        <v>0</v>
      </c>
      <c r="AV392">
        <f t="shared" si="826"/>
        <v>0</v>
      </c>
      <c r="AW392">
        <f t="shared" si="826"/>
        <v>0</v>
      </c>
      <c r="AX392">
        <f t="shared" si="826"/>
        <v>0</v>
      </c>
      <c r="AY392">
        <f t="shared" si="826"/>
        <v>0</v>
      </c>
      <c r="AZ392">
        <f t="shared" si="826"/>
        <v>0</v>
      </c>
      <c r="BA392">
        <f t="shared" si="826"/>
        <v>0</v>
      </c>
      <c r="BB392">
        <f t="shared" si="826"/>
        <v>0</v>
      </c>
      <c r="BC392">
        <f t="shared" si="826"/>
        <v>0</v>
      </c>
      <c r="BD392">
        <f t="shared" si="826"/>
        <v>0</v>
      </c>
    </row>
    <row r="393" spans="1:56" x14ac:dyDescent="0.3">
      <c r="A393">
        <f t="shared" ref="A393:AA393" si="827">A209</f>
        <v>0</v>
      </c>
      <c r="B393">
        <f t="shared" si="827"/>
        <v>0</v>
      </c>
      <c r="C393">
        <f t="shared" si="827"/>
        <v>0</v>
      </c>
      <c r="D393">
        <f t="shared" si="827"/>
        <v>0</v>
      </c>
      <c r="E393">
        <f t="shared" si="827"/>
        <v>0</v>
      </c>
      <c r="F393">
        <f t="shared" si="827"/>
        <v>0</v>
      </c>
      <c r="G393">
        <f t="shared" si="827"/>
        <v>0</v>
      </c>
      <c r="H393">
        <f t="shared" si="827"/>
        <v>0</v>
      </c>
      <c r="I393" s="8">
        <f t="shared" si="827"/>
        <v>0</v>
      </c>
      <c r="J393">
        <f t="shared" si="827"/>
        <v>0</v>
      </c>
      <c r="K393" s="11">
        <f t="shared" si="827"/>
        <v>0</v>
      </c>
      <c r="L393">
        <f t="shared" si="827"/>
        <v>0</v>
      </c>
      <c r="M393" s="11">
        <f t="shared" si="827"/>
        <v>0</v>
      </c>
      <c r="N393">
        <f t="shared" si="827"/>
        <v>0</v>
      </c>
      <c r="O393">
        <f t="shared" si="827"/>
        <v>0</v>
      </c>
      <c r="P393">
        <f t="shared" si="827"/>
        <v>0</v>
      </c>
      <c r="Q393">
        <f t="shared" si="827"/>
        <v>0</v>
      </c>
      <c r="R393">
        <f t="shared" si="827"/>
        <v>0</v>
      </c>
      <c r="S393">
        <f t="shared" si="827"/>
        <v>0</v>
      </c>
      <c r="T393">
        <f t="shared" si="827"/>
        <v>0</v>
      </c>
      <c r="U393">
        <f t="shared" si="827"/>
        <v>0</v>
      </c>
      <c r="V393">
        <f t="shared" si="827"/>
        <v>0</v>
      </c>
      <c r="W393">
        <f t="shared" si="827"/>
        <v>0</v>
      </c>
      <c r="X393">
        <f t="shared" si="827"/>
        <v>0</v>
      </c>
      <c r="Y393">
        <f t="shared" si="827"/>
        <v>0</v>
      </c>
      <c r="Z393">
        <f t="shared" si="827"/>
        <v>0</v>
      </c>
      <c r="AA393">
        <f t="shared" si="827"/>
        <v>0</v>
      </c>
      <c r="AD393">
        <f t="shared" ref="AD393:BD393" si="828">AD209</f>
        <v>0</v>
      </c>
      <c r="AE393">
        <f t="shared" si="828"/>
        <v>0</v>
      </c>
      <c r="AF393">
        <f t="shared" si="828"/>
        <v>0</v>
      </c>
      <c r="AG393">
        <f t="shared" si="828"/>
        <v>0</v>
      </c>
      <c r="AH393">
        <f t="shared" si="828"/>
        <v>0</v>
      </c>
      <c r="AI393">
        <f t="shared" si="828"/>
        <v>0</v>
      </c>
      <c r="AJ393">
        <f t="shared" si="828"/>
        <v>0</v>
      </c>
      <c r="AK393">
        <f t="shared" si="828"/>
        <v>0</v>
      </c>
      <c r="AL393" s="8">
        <f t="shared" si="828"/>
        <v>0</v>
      </c>
      <c r="AM393">
        <f t="shared" si="828"/>
        <v>0</v>
      </c>
      <c r="AN393" s="11">
        <f t="shared" si="828"/>
        <v>0</v>
      </c>
      <c r="AO393">
        <f t="shared" si="828"/>
        <v>0</v>
      </c>
      <c r="AP393" s="11">
        <f t="shared" si="828"/>
        <v>0</v>
      </c>
      <c r="AQ393">
        <f t="shared" si="828"/>
        <v>0</v>
      </c>
      <c r="AR393">
        <f t="shared" si="828"/>
        <v>0</v>
      </c>
      <c r="AS393">
        <f t="shared" si="828"/>
        <v>0</v>
      </c>
      <c r="AT393">
        <f t="shared" si="828"/>
        <v>0</v>
      </c>
      <c r="AU393">
        <f t="shared" si="828"/>
        <v>0</v>
      </c>
      <c r="AV393">
        <f t="shared" si="828"/>
        <v>0</v>
      </c>
      <c r="AW393">
        <f t="shared" si="828"/>
        <v>0</v>
      </c>
      <c r="AX393">
        <f t="shared" si="828"/>
        <v>0</v>
      </c>
      <c r="AY393">
        <f t="shared" si="828"/>
        <v>0</v>
      </c>
      <c r="AZ393">
        <f t="shared" si="828"/>
        <v>0</v>
      </c>
      <c r="BA393">
        <f t="shared" si="828"/>
        <v>0</v>
      </c>
      <c r="BB393">
        <f t="shared" si="828"/>
        <v>0</v>
      </c>
      <c r="BC393">
        <f t="shared" si="828"/>
        <v>0</v>
      </c>
      <c r="BD393">
        <f t="shared" si="828"/>
        <v>0</v>
      </c>
    </row>
    <row r="394" spans="1:56" x14ac:dyDescent="0.3">
      <c r="A394" t="str">
        <f t="shared" ref="A394:AA394" si="829">A210</f>
        <v>sum check row</v>
      </c>
      <c r="B394">
        <f t="shared" si="829"/>
        <v>0</v>
      </c>
      <c r="C394">
        <f t="shared" si="829"/>
        <v>0</v>
      </c>
      <c r="D394">
        <f t="shared" si="829"/>
        <v>0</v>
      </c>
      <c r="E394">
        <f t="shared" si="829"/>
        <v>0</v>
      </c>
      <c r="F394">
        <f t="shared" si="829"/>
        <v>0</v>
      </c>
      <c r="G394">
        <f t="shared" si="829"/>
        <v>0</v>
      </c>
      <c r="H394">
        <f t="shared" si="829"/>
        <v>0</v>
      </c>
      <c r="I394">
        <f t="shared" si="829"/>
        <v>0</v>
      </c>
      <c r="J394">
        <f t="shared" si="829"/>
        <v>0</v>
      </c>
      <c r="K394" s="11">
        <f t="shared" si="829"/>
        <v>0</v>
      </c>
      <c r="L394">
        <f t="shared" si="829"/>
        <v>0</v>
      </c>
      <c r="M394" s="11">
        <f t="shared" si="829"/>
        <v>0</v>
      </c>
      <c r="N394">
        <f t="shared" si="829"/>
        <v>0</v>
      </c>
      <c r="O394">
        <f t="shared" si="829"/>
        <v>0</v>
      </c>
      <c r="P394">
        <f t="shared" si="829"/>
        <v>0</v>
      </c>
      <c r="Q394">
        <f t="shared" si="829"/>
        <v>0</v>
      </c>
      <c r="R394">
        <f t="shared" si="829"/>
        <v>0</v>
      </c>
      <c r="S394" s="22">
        <f t="shared" si="829"/>
        <v>0</v>
      </c>
      <c r="T394">
        <f t="shared" si="829"/>
        <v>0</v>
      </c>
      <c r="U394">
        <f t="shared" si="829"/>
        <v>0</v>
      </c>
      <c r="V394" s="2" t="str">
        <f t="shared" si="829"/>
        <v>sum check</v>
      </c>
      <c r="W394" s="56">
        <f t="shared" si="829"/>
        <v>112021.1805722569</v>
      </c>
      <c r="X394">
        <f t="shared" si="829"/>
        <v>0</v>
      </c>
      <c r="Y394">
        <f t="shared" si="829"/>
        <v>0</v>
      </c>
      <c r="Z394">
        <f t="shared" si="829"/>
        <v>0</v>
      </c>
      <c r="AA394">
        <f t="shared" si="829"/>
        <v>0</v>
      </c>
      <c r="AD394" t="str">
        <f t="shared" ref="AD394:BD394" si="830">AD210</f>
        <v>sum check row</v>
      </c>
      <c r="AE394">
        <f t="shared" si="830"/>
        <v>0</v>
      </c>
      <c r="AF394">
        <f t="shared" si="830"/>
        <v>0</v>
      </c>
      <c r="AG394">
        <f t="shared" si="830"/>
        <v>0</v>
      </c>
      <c r="AH394">
        <f t="shared" si="830"/>
        <v>0</v>
      </c>
      <c r="AI394">
        <f t="shared" si="830"/>
        <v>0</v>
      </c>
      <c r="AJ394">
        <f t="shared" si="830"/>
        <v>0</v>
      </c>
      <c r="AK394">
        <f t="shared" si="830"/>
        <v>0</v>
      </c>
      <c r="AL394">
        <f t="shared" si="830"/>
        <v>0</v>
      </c>
      <c r="AM394">
        <f t="shared" si="830"/>
        <v>0</v>
      </c>
      <c r="AN394" s="11">
        <f t="shared" si="830"/>
        <v>0</v>
      </c>
      <c r="AO394">
        <f t="shared" si="830"/>
        <v>0</v>
      </c>
      <c r="AP394" s="11">
        <f t="shared" si="830"/>
        <v>0</v>
      </c>
      <c r="AQ394">
        <f t="shared" si="830"/>
        <v>0</v>
      </c>
      <c r="AR394">
        <f t="shared" si="830"/>
        <v>0</v>
      </c>
      <c r="AS394">
        <f t="shared" si="830"/>
        <v>0</v>
      </c>
      <c r="AT394">
        <f t="shared" si="830"/>
        <v>0</v>
      </c>
      <c r="AU394">
        <f t="shared" si="830"/>
        <v>0</v>
      </c>
      <c r="AV394" s="22">
        <f t="shared" si="830"/>
        <v>0</v>
      </c>
      <c r="AW394">
        <f t="shared" si="830"/>
        <v>0</v>
      </c>
      <c r="AX394">
        <f t="shared" si="830"/>
        <v>0</v>
      </c>
      <c r="AY394" s="2" t="str">
        <f t="shared" si="830"/>
        <v>sum check</v>
      </c>
      <c r="AZ394" s="56">
        <f t="shared" si="830"/>
        <v>59716.607951109647</v>
      </c>
      <c r="BA394">
        <f t="shared" si="830"/>
        <v>0</v>
      </c>
      <c r="BB394">
        <f t="shared" si="830"/>
        <v>0</v>
      </c>
      <c r="BC394">
        <f t="shared" si="830"/>
        <v>0</v>
      </c>
      <c r="BD394">
        <f t="shared" si="830"/>
        <v>0</v>
      </c>
    </row>
    <row r="395" spans="1:56" x14ac:dyDescent="0.3">
      <c r="A395" t="str">
        <f t="shared" ref="A395:AA395" si="831">A211</f>
        <v>sum check row</v>
      </c>
      <c r="B395">
        <f t="shared" si="831"/>
        <v>0</v>
      </c>
      <c r="C395">
        <f t="shared" si="831"/>
        <v>0</v>
      </c>
      <c r="D395">
        <f t="shared" si="831"/>
        <v>0</v>
      </c>
      <c r="E395">
        <f t="shared" si="831"/>
        <v>0</v>
      </c>
      <c r="F395">
        <f t="shared" si="831"/>
        <v>0</v>
      </c>
      <c r="G395" s="13">
        <f t="shared" si="831"/>
        <v>0</v>
      </c>
      <c r="H395">
        <f t="shared" si="831"/>
        <v>0</v>
      </c>
      <c r="I395">
        <f t="shared" si="831"/>
        <v>0</v>
      </c>
      <c r="J395">
        <f t="shared" si="831"/>
        <v>0</v>
      </c>
      <c r="K395" s="11">
        <f t="shared" si="831"/>
        <v>0</v>
      </c>
      <c r="L395">
        <f t="shared" si="831"/>
        <v>0</v>
      </c>
      <c r="M395" s="11">
        <f t="shared" si="831"/>
        <v>0</v>
      </c>
      <c r="N395">
        <f t="shared" si="831"/>
        <v>0</v>
      </c>
      <c r="O395">
        <f t="shared" si="831"/>
        <v>0</v>
      </c>
      <c r="P395">
        <f t="shared" si="831"/>
        <v>0</v>
      </c>
      <c r="Q395">
        <f t="shared" si="831"/>
        <v>0</v>
      </c>
      <c r="R395">
        <f t="shared" si="831"/>
        <v>0</v>
      </c>
      <c r="S395" s="8">
        <f t="shared" si="831"/>
        <v>0</v>
      </c>
      <c r="T395">
        <f t="shared" si="831"/>
        <v>0</v>
      </c>
      <c r="U395">
        <f t="shared" si="831"/>
        <v>0</v>
      </c>
      <c r="V395" t="str">
        <f t="shared" si="831"/>
        <v>sum check</v>
      </c>
      <c r="W395" s="8">
        <f t="shared" si="831"/>
        <v>14975.631297309001</v>
      </c>
      <c r="X395">
        <f t="shared" si="831"/>
        <v>0</v>
      </c>
      <c r="Y395">
        <f t="shared" si="831"/>
        <v>0</v>
      </c>
      <c r="Z395">
        <f t="shared" si="831"/>
        <v>0</v>
      </c>
      <c r="AA395">
        <f t="shared" si="831"/>
        <v>0</v>
      </c>
      <c r="AD395" t="str">
        <f t="shared" ref="AD395:BD395" si="832">AD211</f>
        <v>sum check row</v>
      </c>
      <c r="AE395">
        <f t="shared" si="832"/>
        <v>0</v>
      </c>
      <c r="AF395">
        <f t="shared" si="832"/>
        <v>0</v>
      </c>
      <c r="AG395">
        <f t="shared" si="832"/>
        <v>0</v>
      </c>
      <c r="AH395">
        <f t="shared" si="832"/>
        <v>0</v>
      </c>
      <c r="AI395">
        <f t="shared" si="832"/>
        <v>0</v>
      </c>
      <c r="AJ395" s="13">
        <f t="shared" si="832"/>
        <v>0</v>
      </c>
      <c r="AK395">
        <f t="shared" si="832"/>
        <v>0</v>
      </c>
      <c r="AL395">
        <f t="shared" si="832"/>
        <v>0</v>
      </c>
      <c r="AM395">
        <f t="shared" si="832"/>
        <v>0</v>
      </c>
      <c r="AN395" s="11">
        <f t="shared" si="832"/>
        <v>0</v>
      </c>
      <c r="AO395">
        <f t="shared" si="832"/>
        <v>0</v>
      </c>
      <c r="AP395" s="11">
        <f t="shared" si="832"/>
        <v>0</v>
      </c>
      <c r="AQ395">
        <f t="shared" si="832"/>
        <v>0</v>
      </c>
      <c r="AR395">
        <f t="shared" si="832"/>
        <v>0</v>
      </c>
      <c r="AS395">
        <f t="shared" si="832"/>
        <v>0</v>
      </c>
      <c r="AT395">
        <f t="shared" si="832"/>
        <v>0</v>
      </c>
      <c r="AU395">
        <f t="shared" si="832"/>
        <v>0</v>
      </c>
      <c r="AV395" s="8">
        <f t="shared" si="832"/>
        <v>0</v>
      </c>
      <c r="AW395">
        <f t="shared" si="832"/>
        <v>0</v>
      </c>
      <c r="AX395">
        <f t="shared" si="832"/>
        <v>0</v>
      </c>
      <c r="AY395" t="str">
        <f t="shared" si="832"/>
        <v>sum check</v>
      </c>
      <c r="AZ395" s="8">
        <f t="shared" si="832"/>
        <v>3398.9882398423379</v>
      </c>
      <c r="BA395">
        <f t="shared" si="832"/>
        <v>0</v>
      </c>
      <c r="BB395">
        <f t="shared" si="832"/>
        <v>0</v>
      </c>
      <c r="BC395">
        <f t="shared" si="832"/>
        <v>0</v>
      </c>
      <c r="BD395">
        <f t="shared" si="832"/>
        <v>0</v>
      </c>
    </row>
    <row r="396" spans="1:56" x14ac:dyDescent="0.3">
      <c r="A396">
        <f t="shared" ref="A396:AA396" si="833">A212</f>
        <v>0</v>
      </c>
      <c r="B396">
        <f t="shared" si="833"/>
        <v>0</v>
      </c>
      <c r="C396">
        <f t="shared" si="833"/>
        <v>0</v>
      </c>
      <c r="D396">
        <f t="shared" si="833"/>
        <v>0</v>
      </c>
      <c r="E396">
        <f t="shared" si="833"/>
        <v>0</v>
      </c>
      <c r="F396">
        <f t="shared" si="833"/>
        <v>0</v>
      </c>
      <c r="G396">
        <f t="shared" si="833"/>
        <v>0</v>
      </c>
      <c r="H396" s="95"/>
      <c r="J396">
        <f t="shared" si="833"/>
        <v>0</v>
      </c>
      <c r="K396" s="11">
        <f t="shared" si="833"/>
        <v>0</v>
      </c>
      <c r="L396">
        <f t="shared" si="833"/>
        <v>0</v>
      </c>
      <c r="M396" s="11">
        <f t="shared" si="833"/>
        <v>0</v>
      </c>
      <c r="N396" s="13">
        <f t="shared" si="833"/>
        <v>0</v>
      </c>
      <c r="O396" s="13">
        <f t="shared" si="833"/>
        <v>0</v>
      </c>
      <c r="P396" s="13">
        <f t="shared" si="833"/>
        <v>0</v>
      </c>
      <c r="Q396">
        <f t="shared" si="833"/>
        <v>0</v>
      </c>
      <c r="R396" s="13">
        <f t="shared" si="833"/>
        <v>0</v>
      </c>
      <c r="S396" s="13">
        <f t="shared" si="833"/>
        <v>0</v>
      </c>
      <c r="T396" s="13">
        <f t="shared" si="833"/>
        <v>0</v>
      </c>
      <c r="U396" s="13">
        <f t="shared" si="833"/>
        <v>0</v>
      </c>
      <c r="V396" s="14">
        <f t="shared" si="833"/>
        <v>0</v>
      </c>
      <c r="W396" s="98">
        <f t="shared" si="833"/>
        <v>0</v>
      </c>
      <c r="X396" s="13">
        <f t="shared" si="833"/>
        <v>0</v>
      </c>
      <c r="Y396" s="13">
        <f t="shared" si="833"/>
        <v>0</v>
      </c>
      <c r="Z396" s="13">
        <f t="shared" si="833"/>
        <v>0</v>
      </c>
      <c r="AA396" s="13">
        <f t="shared" si="833"/>
        <v>0</v>
      </c>
      <c r="AD396">
        <f t="shared" ref="AD396:AJ396" si="834">AD212</f>
        <v>0</v>
      </c>
      <c r="AE396">
        <f t="shared" si="834"/>
        <v>0</v>
      </c>
      <c r="AF396">
        <f t="shared" si="834"/>
        <v>0</v>
      </c>
      <c r="AG396">
        <f t="shared" si="834"/>
        <v>0</v>
      </c>
      <c r="AH396">
        <f t="shared" si="834"/>
        <v>0</v>
      </c>
      <c r="AI396">
        <f t="shared" si="834"/>
        <v>0</v>
      </c>
      <c r="AJ396">
        <f t="shared" si="834"/>
        <v>0</v>
      </c>
      <c r="AK396" s="95"/>
      <c r="AM396">
        <f t="shared" ref="AM396:BD396" si="835">AM212</f>
        <v>0</v>
      </c>
      <c r="AN396" s="11">
        <f t="shared" si="835"/>
        <v>0</v>
      </c>
      <c r="AO396">
        <f t="shared" si="835"/>
        <v>0</v>
      </c>
      <c r="AP396" s="11">
        <f t="shared" si="835"/>
        <v>0</v>
      </c>
      <c r="AQ396" s="13">
        <f t="shared" si="835"/>
        <v>0</v>
      </c>
      <c r="AR396" s="13">
        <f t="shared" si="835"/>
        <v>0</v>
      </c>
      <c r="AS396" s="13">
        <f t="shared" si="835"/>
        <v>0</v>
      </c>
      <c r="AT396">
        <f t="shared" si="835"/>
        <v>0</v>
      </c>
      <c r="AU396" s="13">
        <f t="shared" si="835"/>
        <v>0</v>
      </c>
      <c r="AV396" s="13">
        <f t="shared" si="835"/>
        <v>0</v>
      </c>
      <c r="AW396" s="13">
        <f t="shared" si="835"/>
        <v>0</v>
      </c>
      <c r="AX396" s="13">
        <f t="shared" si="835"/>
        <v>0</v>
      </c>
      <c r="AY396" s="14">
        <f t="shared" si="835"/>
        <v>0</v>
      </c>
      <c r="AZ396" s="98">
        <f t="shared" si="835"/>
        <v>0</v>
      </c>
      <c r="BA396" s="13">
        <f t="shared" si="835"/>
        <v>0</v>
      </c>
      <c r="BB396" s="13">
        <f t="shared" si="835"/>
        <v>0</v>
      </c>
      <c r="BC396" s="13">
        <f t="shared" si="835"/>
        <v>0</v>
      </c>
      <c r="BD396" s="13">
        <f t="shared" si="835"/>
        <v>0</v>
      </c>
    </row>
    <row r="397" spans="1:56" x14ac:dyDescent="0.3">
      <c r="A397">
        <f t="shared" ref="A397:AA397" si="836">A213</f>
        <v>0</v>
      </c>
      <c r="B397">
        <f t="shared" si="836"/>
        <v>0</v>
      </c>
      <c r="C397">
        <f t="shared" si="836"/>
        <v>0</v>
      </c>
      <c r="D397">
        <f t="shared" si="836"/>
        <v>0</v>
      </c>
      <c r="E397">
        <f t="shared" si="836"/>
        <v>0</v>
      </c>
      <c r="F397">
        <f t="shared" si="836"/>
        <v>0</v>
      </c>
      <c r="G397">
        <f t="shared" si="836"/>
        <v>0</v>
      </c>
      <c r="I397" s="72"/>
      <c r="J397" s="72">
        <f t="shared" si="836"/>
        <v>0</v>
      </c>
      <c r="K397" s="99">
        <f t="shared" si="836"/>
        <v>0</v>
      </c>
      <c r="L397">
        <f t="shared" si="836"/>
        <v>0</v>
      </c>
      <c r="M397" s="11">
        <f t="shared" si="836"/>
        <v>0</v>
      </c>
      <c r="N397" s="13">
        <f t="shared" si="836"/>
        <v>0</v>
      </c>
      <c r="O397">
        <f t="shared" si="836"/>
        <v>0</v>
      </c>
      <c r="P397">
        <f t="shared" si="836"/>
        <v>0</v>
      </c>
      <c r="Q397">
        <f t="shared" si="836"/>
        <v>0</v>
      </c>
      <c r="R397" s="12" t="str">
        <f t="shared" si="836"/>
        <v>Not MA for RSV</v>
      </c>
      <c r="S397" s="62" t="str">
        <f t="shared" si="836"/>
        <v>unknown</v>
      </c>
      <c r="T397">
        <f t="shared" si="836"/>
        <v>0</v>
      </c>
      <c r="U397">
        <f t="shared" si="836"/>
        <v>0</v>
      </c>
      <c r="V397">
        <f t="shared" si="836"/>
        <v>0</v>
      </c>
      <c r="W397" s="13">
        <f t="shared" si="836"/>
        <v>0</v>
      </c>
      <c r="X397" s="13">
        <f t="shared" si="836"/>
        <v>0</v>
      </c>
      <c r="Y397">
        <f t="shared" si="836"/>
        <v>0</v>
      </c>
      <c r="Z397">
        <f t="shared" si="836"/>
        <v>0</v>
      </c>
      <c r="AA397">
        <f t="shared" si="836"/>
        <v>0</v>
      </c>
      <c r="AD397">
        <f t="shared" ref="AD397:AJ397" si="837">AD213</f>
        <v>0</v>
      </c>
      <c r="AE397">
        <f t="shared" si="837"/>
        <v>0</v>
      </c>
      <c r="AF397">
        <f t="shared" si="837"/>
        <v>0</v>
      </c>
      <c r="AG397">
        <f t="shared" si="837"/>
        <v>0</v>
      </c>
      <c r="AH397">
        <f t="shared" si="837"/>
        <v>0</v>
      </c>
      <c r="AI397">
        <f t="shared" si="837"/>
        <v>0</v>
      </c>
      <c r="AJ397">
        <f t="shared" si="837"/>
        <v>0</v>
      </c>
      <c r="AL397" s="72"/>
      <c r="AM397" s="72">
        <f t="shared" ref="AM397:BD397" si="838">AM213</f>
        <v>0</v>
      </c>
      <c r="AN397" s="99">
        <f t="shared" si="838"/>
        <v>0</v>
      </c>
      <c r="AO397">
        <f t="shared" si="838"/>
        <v>0</v>
      </c>
      <c r="AP397" s="11">
        <f t="shared" si="838"/>
        <v>0</v>
      </c>
      <c r="AQ397" s="13">
        <f t="shared" si="838"/>
        <v>0</v>
      </c>
      <c r="AR397">
        <f t="shared" si="838"/>
        <v>0</v>
      </c>
      <c r="AS397">
        <f t="shared" si="838"/>
        <v>0</v>
      </c>
      <c r="AT397">
        <f t="shared" si="838"/>
        <v>0</v>
      </c>
      <c r="AU397" s="12" t="str">
        <f t="shared" si="838"/>
        <v>Not MA for RSV</v>
      </c>
      <c r="AV397" s="62" t="str">
        <f t="shared" si="838"/>
        <v>unknown</v>
      </c>
      <c r="AW397">
        <f t="shared" si="838"/>
        <v>0</v>
      </c>
      <c r="AX397">
        <f t="shared" si="838"/>
        <v>0</v>
      </c>
      <c r="AY397">
        <f t="shared" si="838"/>
        <v>0</v>
      </c>
      <c r="AZ397" s="13">
        <f t="shared" si="838"/>
        <v>0</v>
      </c>
      <c r="BA397" s="13">
        <f t="shared" si="838"/>
        <v>0</v>
      </c>
      <c r="BB397">
        <f t="shared" si="838"/>
        <v>0</v>
      </c>
      <c r="BC397">
        <f t="shared" si="838"/>
        <v>0</v>
      </c>
      <c r="BD397">
        <f t="shared" si="838"/>
        <v>0</v>
      </c>
    </row>
    <row r="398" spans="1:56" x14ac:dyDescent="0.3">
      <c r="A398">
        <f t="shared" ref="A398:E398" si="839">A214</f>
        <v>0</v>
      </c>
      <c r="B398">
        <f t="shared" si="839"/>
        <v>0</v>
      </c>
      <c r="C398">
        <f t="shared" si="839"/>
        <v>0</v>
      </c>
      <c r="D398">
        <f t="shared" si="839"/>
        <v>0</v>
      </c>
      <c r="E398">
        <f t="shared" si="839"/>
        <v>0</v>
      </c>
      <c r="H398" s="12" t="str">
        <f t="shared" ref="H398:AA398" si="840">H214</f>
        <v>WiS low risk birth obtaining Mat Cand.</v>
      </c>
      <c r="I398" s="30">
        <f t="shared" si="840"/>
        <v>1094017.5189999999</v>
      </c>
      <c r="J398" s="438">
        <f t="shared" si="840"/>
        <v>0</v>
      </c>
      <c r="K398" s="11">
        <f t="shared" si="840"/>
        <v>0</v>
      </c>
      <c r="L398">
        <f t="shared" si="840"/>
        <v>0</v>
      </c>
      <c r="M398" s="59" t="s">
        <v>161</v>
      </c>
      <c r="N398" s="61">
        <f>1-N384</f>
        <v>0.27</v>
      </c>
      <c r="O398">
        <f t="shared" si="840"/>
        <v>0</v>
      </c>
      <c r="P398">
        <f t="shared" si="840"/>
        <v>0</v>
      </c>
      <c r="Q398" s="16">
        <f t="shared" si="840"/>
        <v>0</v>
      </c>
      <c r="R398">
        <f t="shared" si="840"/>
        <v>0</v>
      </c>
      <c r="S398" s="17">
        <f t="shared" si="840"/>
        <v>0</v>
      </c>
      <c r="T398">
        <f t="shared" si="840"/>
        <v>0</v>
      </c>
      <c r="U398">
        <f t="shared" si="840"/>
        <v>0</v>
      </c>
      <c r="V398">
        <f t="shared" si="840"/>
        <v>0</v>
      </c>
      <c r="W398" s="71">
        <f t="shared" si="840"/>
        <v>0</v>
      </c>
      <c r="X398" s="1117" t="s">
        <v>184</v>
      </c>
      <c r="Y398" s="1117"/>
      <c r="Z398">
        <f t="shared" si="840"/>
        <v>0</v>
      </c>
      <c r="AA398">
        <f t="shared" si="840"/>
        <v>0</v>
      </c>
      <c r="AD398">
        <f t="shared" ref="AD398:AI398" si="841">AD214</f>
        <v>0</v>
      </c>
      <c r="AE398">
        <f t="shared" si="841"/>
        <v>0</v>
      </c>
      <c r="AF398">
        <f t="shared" si="841"/>
        <v>0</v>
      </c>
      <c r="AG398">
        <f t="shared" si="841"/>
        <v>0</v>
      </c>
      <c r="AH398">
        <f t="shared" si="841"/>
        <v>0</v>
      </c>
      <c r="AI398">
        <f t="shared" si="841"/>
        <v>0</v>
      </c>
      <c r="AK398" s="12" t="str">
        <f t="shared" ref="AK398:AO398" si="842">AK214</f>
        <v>OoS low risk birth</v>
      </c>
      <c r="AL398" s="30">
        <f t="shared" si="842"/>
        <v>1094017.5189999999</v>
      </c>
      <c r="AM398" s="500">
        <f t="shared" si="842"/>
        <v>0</v>
      </c>
      <c r="AN398" s="11">
        <f t="shared" si="842"/>
        <v>0</v>
      </c>
      <c r="AO398">
        <f t="shared" si="842"/>
        <v>0</v>
      </c>
      <c r="AP398" s="59" t="s">
        <v>161</v>
      </c>
      <c r="AQ398" s="61">
        <f>1-AQ384</f>
        <v>0.27</v>
      </c>
      <c r="AR398">
        <f t="shared" ref="AR398:AZ398" si="843">AR214</f>
        <v>0</v>
      </c>
      <c r="AS398">
        <f t="shared" si="843"/>
        <v>0</v>
      </c>
      <c r="AT398" s="16">
        <f t="shared" si="843"/>
        <v>0</v>
      </c>
      <c r="AU398">
        <f t="shared" si="843"/>
        <v>0</v>
      </c>
      <c r="AV398" s="17">
        <f t="shared" si="843"/>
        <v>0</v>
      </c>
      <c r="AW398">
        <f t="shared" si="843"/>
        <v>0</v>
      </c>
      <c r="AX398">
        <f t="shared" si="843"/>
        <v>0</v>
      </c>
      <c r="AY398">
        <f t="shared" si="843"/>
        <v>0</v>
      </c>
      <c r="AZ398" s="71">
        <f t="shared" si="843"/>
        <v>0</v>
      </c>
      <c r="BA398" s="1117" t="s">
        <v>184</v>
      </c>
      <c r="BB398" s="1117"/>
      <c r="BC398">
        <f t="shared" ref="BC398:BD398" si="844">BC214</f>
        <v>0</v>
      </c>
      <c r="BD398">
        <f t="shared" si="844"/>
        <v>0</v>
      </c>
    </row>
    <row r="399" spans="1:56" x14ac:dyDescent="0.3">
      <c r="A399">
        <f t="shared" ref="A399:AA399" si="845">A215</f>
        <v>0</v>
      </c>
      <c r="B399">
        <f t="shared" si="845"/>
        <v>0</v>
      </c>
      <c r="C399">
        <f t="shared" si="845"/>
        <v>0</v>
      </c>
      <c r="D399">
        <f t="shared" si="845"/>
        <v>0</v>
      </c>
      <c r="E399">
        <f t="shared" si="845"/>
        <v>0</v>
      </c>
      <c r="F399">
        <f t="shared" si="845"/>
        <v>0</v>
      </c>
      <c r="G399">
        <f t="shared" si="845"/>
        <v>0</v>
      </c>
      <c r="H399" s="59" t="str">
        <f t="shared" si="845"/>
        <v>1-p1</v>
      </c>
      <c r="I399" s="20">
        <f t="shared" si="845"/>
        <v>0.99019999999999997</v>
      </c>
      <c r="J399" s="52">
        <f t="shared" si="845"/>
        <v>0</v>
      </c>
      <c r="K399" s="11">
        <f t="shared" si="845"/>
        <v>0</v>
      </c>
      <c r="L399">
        <f t="shared" si="845"/>
        <v>0</v>
      </c>
      <c r="M399" s="59" t="s">
        <v>162</v>
      </c>
      <c r="N399" s="61">
        <f>1-N385</f>
        <v>0.15000000000000002</v>
      </c>
      <c r="O399">
        <f t="shared" si="845"/>
        <v>0</v>
      </c>
      <c r="P399">
        <f t="shared" si="845"/>
        <v>0</v>
      </c>
      <c r="Q399" s="11">
        <f t="shared" si="845"/>
        <v>0</v>
      </c>
      <c r="R399" s="13">
        <f t="shared" si="845"/>
        <v>0</v>
      </c>
      <c r="S399" s="13">
        <f t="shared" si="845"/>
        <v>0</v>
      </c>
      <c r="T399">
        <f t="shared" si="845"/>
        <v>0</v>
      </c>
      <c r="U399">
        <f t="shared" si="845"/>
        <v>0</v>
      </c>
      <c r="V399" s="13">
        <f t="shared" si="845"/>
        <v>0</v>
      </c>
      <c r="W399" s="437" t="str">
        <f t="shared" si="845"/>
        <v>base</v>
      </c>
      <c r="X399" s="437" t="str">
        <f t="shared" si="845"/>
        <v>low</v>
      </c>
      <c r="Y399" s="437" t="str">
        <f t="shared" si="845"/>
        <v>high</v>
      </c>
      <c r="Z399">
        <f t="shared" si="845"/>
        <v>0</v>
      </c>
      <c r="AA399">
        <f t="shared" si="845"/>
        <v>0</v>
      </c>
      <c r="AD399">
        <f t="shared" ref="AD399:AO399" si="846">AD215</f>
        <v>0</v>
      </c>
      <c r="AE399">
        <f t="shared" si="846"/>
        <v>0</v>
      </c>
      <c r="AF399">
        <f t="shared" si="846"/>
        <v>0</v>
      </c>
      <c r="AG399">
        <f t="shared" si="846"/>
        <v>0</v>
      </c>
      <c r="AH399">
        <f t="shared" si="846"/>
        <v>0</v>
      </c>
      <c r="AI399">
        <f t="shared" si="846"/>
        <v>0</v>
      </c>
      <c r="AJ399">
        <f t="shared" si="846"/>
        <v>0</v>
      </c>
      <c r="AK399" s="59" t="str">
        <f t="shared" si="846"/>
        <v>1-p1</v>
      </c>
      <c r="AL399" s="20">
        <f t="shared" si="846"/>
        <v>0.99019999999999997</v>
      </c>
      <c r="AM399" s="52">
        <f t="shared" si="846"/>
        <v>0</v>
      </c>
      <c r="AN399" s="11">
        <f t="shared" si="846"/>
        <v>0</v>
      </c>
      <c r="AO399">
        <f t="shared" si="846"/>
        <v>0</v>
      </c>
      <c r="AP399" s="59" t="s">
        <v>162</v>
      </c>
      <c r="AQ399" s="61">
        <f>1-AQ385</f>
        <v>0.15000000000000002</v>
      </c>
      <c r="AR399">
        <f t="shared" ref="AR399:BD399" si="847">AR215</f>
        <v>0</v>
      </c>
      <c r="AS399">
        <f t="shared" si="847"/>
        <v>0</v>
      </c>
      <c r="AT399" s="11">
        <f t="shared" si="847"/>
        <v>0</v>
      </c>
      <c r="AU399" s="13">
        <f t="shared" si="847"/>
        <v>0</v>
      </c>
      <c r="AV399" s="13">
        <f t="shared" si="847"/>
        <v>0</v>
      </c>
      <c r="AW399">
        <f t="shared" si="847"/>
        <v>0</v>
      </c>
      <c r="AX399">
        <f t="shared" si="847"/>
        <v>0</v>
      </c>
      <c r="AY399" s="13">
        <f t="shared" si="847"/>
        <v>0</v>
      </c>
      <c r="AZ399" s="684" t="str">
        <f t="shared" si="847"/>
        <v>base</v>
      </c>
      <c r="BA399" s="684" t="str">
        <f t="shared" si="847"/>
        <v>low</v>
      </c>
      <c r="BB399" s="684" t="str">
        <f t="shared" si="847"/>
        <v>high</v>
      </c>
      <c r="BC399">
        <f t="shared" si="847"/>
        <v>0</v>
      </c>
      <c r="BD399">
        <f t="shared" si="847"/>
        <v>0</v>
      </c>
    </row>
    <row r="400" spans="1:56" x14ac:dyDescent="0.3">
      <c r="A400">
        <f t="shared" ref="A400:T400" si="848">A216</f>
        <v>0</v>
      </c>
      <c r="B400">
        <f t="shared" si="848"/>
        <v>0</v>
      </c>
      <c r="C400">
        <f t="shared" si="848"/>
        <v>0</v>
      </c>
      <c r="D400">
        <f t="shared" si="848"/>
        <v>0</v>
      </c>
      <c r="E400">
        <f t="shared" si="848"/>
        <v>0</v>
      </c>
      <c r="F400">
        <f t="shared" si="848"/>
        <v>0</v>
      </c>
      <c r="G400">
        <f t="shared" si="848"/>
        <v>0</v>
      </c>
      <c r="H400" s="11">
        <f t="shared" si="848"/>
        <v>0</v>
      </c>
      <c r="I400">
        <f t="shared" si="848"/>
        <v>0</v>
      </c>
      <c r="J400">
        <f t="shared" si="848"/>
        <v>0</v>
      </c>
      <c r="K400" s="11">
        <f t="shared" si="848"/>
        <v>0</v>
      </c>
      <c r="L400">
        <f t="shared" si="848"/>
        <v>0</v>
      </c>
      <c r="M400" s="65" t="str">
        <f t="shared" si="848"/>
        <v>1-p9</v>
      </c>
      <c r="N400" s="104">
        <f t="shared" si="848"/>
        <v>0.19999999999999996</v>
      </c>
      <c r="O400" s="438">
        <f t="shared" si="848"/>
        <v>0</v>
      </c>
      <c r="P400" s="438">
        <f t="shared" si="848"/>
        <v>0</v>
      </c>
      <c r="Q400" s="11">
        <f t="shared" si="848"/>
        <v>0</v>
      </c>
      <c r="R400">
        <f t="shared" si="848"/>
        <v>0</v>
      </c>
      <c r="S400">
        <f t="shared" si="848"/>
        <v>0</v>
      </c>
      <c r="T400">
        <f t="shared" si="848"/>
        <v>0</v>
      </c>
      <c r="V400" s="12" t="str">
        <f t="shared" ref="V400:AA400" si="849">V216</f>
        <v>Outpatient</v>
      </c>
      <c r="W400" s="33">
        <f t="shared" si="849"/>
        <v>10182.255873253584</v>
      </c>
      <c r="X400" s="33">
        <f>$N$402*X401</f>
        <v>13746.045428892341</v>
      </c>
      <c r="Y400" s="33">
        <f>$N$403*Y401</f>
        <v>7636.6919049401904</v>
      </c>
      <c r="Z400">
        <f t="shared" si="849"/>
        <v>0</v>
      </c>
      <c r="AA400">
        <f t="shared" si="849"/>
        <v>0</v>
      </c>
      <c r="AD400">
        <f t="shared" ref="AD400:AW400" si="850">AD216</f>
        <v>0</v>
      </c>
      <c r="AE400">
        <f t="shared" si="850"/>
        <v>0</v>
      </c>
      <c r="AF400">
        <f t="shared" si="850"/>
        <v>0</v>
      </c>
      <c r="AG400">
        <f t="shared" si="850"/>
        <v>0</v>
      </c>
      <c r="AH400">
        <f t="shared" si="850"/>
        <v>0</v>
      </c>
      <c r="AI400">
        <f t="shared" si="850"/>
        <v>0</v>
      </c>
      <c r="AJ400">
        <f t="shared" si="850"/>
        <v>0</v>
      </c>
      <c r="AK400" s="11">
        <f t="shared" si="850"/>
        <v>0</v>
      </c>
      <c r="AL400">
        <f t="shared" si="850"/>
        <v>0</v>
      </c>
      <c r="AM400">
        <f t="shared" si="850"/>
        <v>0</v>
      </c>
      <c r="AN400" s="11">
        <f t="shared" si="850"/>
        <v>0</v>
      </c>
      <c r="AO400">
        <f t="shared" si="850"/>
        <v>0</v>
      </c>
      <c r="AP400" s="65" t="str">
        <f t="shared" si="850"/>
        <v>1-p9</v>
      </c>
      <c r="AQ400" s="104">
        <f t="shared" si="850"/>
        <v>0.19999999999999996</v>
      </c>
      <c r="AR400" s="500">
        <f t="shared" si="850"/>
        <v>0</v>
      </c>
      <c r="AS400" s="500">
        <f t="shared" si="850"/>
        <v>0</v>
      </c>
      <c r="AT400" s="11">
        <f t="shared" si="850"/>
        <v>0</v>
      </c>
      <c r="AU400">
        <f t="shared" si="850"/>
        <v>0</v>
      </c>
      <c r="AV400">
        <f t="shared" si="850"/>
        <v>0</v>
      </c>
      <c r="AW400">
        <f t="shared" si="850"/>
        <v>0</v>
      </c>
      <c r="AY400" s="12" t="str">
        <f t="shared" ref="AY400:AZ400" si="851">AY216</f>
        <v>Outpatient</v>
      </c>
      <c r="AZ400" s="33">
        <f t="shared" si="851"/>
        <v>2255.3722348057922</v>
      </c>
      <c r="BA400" s="33">
        <f>$AQ$402*BA401</f>
        <v>3044.7525169878209</v>
      </c>
      <c r="BB400" s="33">
        <f>$AQ$403*BB401</f>
        <v>1691.529176104345</v>
      </c>
      <c r="BC400">
        <f t="shared" ref="BC400:BD400" si="852">BC216</f>
        <v>0</v>
      </c>
      <c r="BD400">
        <f t="shared" si="852"/>
        <v>0</v>
      </c>
    </row>
    <row r="401" spans="1:56" x14ac:dyDescent="0.3">
      <c r="A401">
        <f t="shared" ref="A401:K401" si="853">A217</f>
        <v>0</v>
      </c>
      <c r="B401">
        <f t="shared" si="853"/>
        <v>0</v>
      </c>
      <c r="C401">
        <f t="shared" si="853"/>
        <v>0</v>
      </c>
      <c r="D401">
        <f t="shared" si="853"/>
        <v>0</v>
      </c>
      <c r="E401">
        <f t="shared" si="853"/>
        <v>0</v>
      </c>
      <c r="F401">
        <f t="shared" si="853"/>
        <v>0</v>
      </c>
      <c r="G401">
        <f t="shared" si="853"/>
        <v>0</v>
      </c>
      <c r="H401" s="11">
        <f t="shared" si="853"/>
        <v>0</v>
      </c>
      <c r="I401">
        <f t="shared" si="853"/>
        <v>0</v>
      </c>
      <c r="J401">
        <f t="shared" si="853"/>
        <v>0</v>
      </c>
      <c r="K401" s="11">
        <f t="shared" si="853"/>
        <v>0</v>
      </c>
      <c r="M401" s="2" t="str">
        <f t="shared" ref="M401:AA401" si="854">M217</f>
        <v>Vaccine Failure</v>
      </c>
      <c r="N401" s="71">
        <f t="shared" si="854"/>
        <v>200994.49220953262</v>
      </c>
      <c r="O401">
        <f t="shared" si="854"/>
        <v>0</v>
      </c>
      <c r="P401">
        <f t="shared" si="854"/>
        <v>0</v>
      </c>
      <c r="Q401" s="11">
        <f t="shared" si="854"/>
        <v>0</v>
      </c>
      <c r="R401" s="2" t="str">
        <f t="shared" si="854"/>
        <v>low:</v>
      </c>
      <c r="S401" s="50">
        <f t="shared" si="854"/>
        <v>7.4507669999719264E-2</v>
      </c>
      <c r="T401">
        <f t="shared" si="854"/>
        <v>0</v>
      </c>
      <c r="U401" s="16">
        <f t="shared" si="854"/>
        <v>0</v>
      </c>
      <c r="V401" s="2" t="str">
        <f t="shared" si="854"/>
        <v>p5c</v>
      </c>
      <c r="W401" s="61">
        <f t="shared" si="854"/>
        <v>5.0659377584529985E-2</v>
      </c>
      <c r="X401" s="61">
        <f t="shared" si="854"/>
        <v>5.0659377584529985E-2</v>
      </c>
      <c r="Y401" s="61">
        <f t="shared" si="854"/>
        <v>5.0659377584529985E-2</v>
      </c>
      <c r="Z401">
        <f t="shared" si="854"/>
        <v>0</v>
      </c>
      <c r="AA401">
        <f t="shared" si="854"/>
        <v>0</v>
      </c>
      <c r="AD401">
        <f t="shared" ref="AD401:AN401" si="855">AD217</f>
        <v>0</v>
      </c>
      <c r="AE401">
        <f t="shared" si="855"/>
        <v>0</v>
      </c>
      <c r="AF401">
        <f t="shared" si="855"/>
        <v>0</v>
      </c>
      <c r="AG401">
        <f t="shared" si="855"/>
        <v>0</v>
      </c>
      <c r="AH401">
        <f t="shared" si="855"/>
        <v>0</v>
      </c>
      <c r="AI401">
        <f t="shared" si="855"/>
        <v>0</v>
      </c>
      <c r="AJ401">
        <f t="shared" si="855"/>
        <v>0</v>
      </c>
      <c r="AK401" s="11">
        <f t="shared" si="855"/>
        <v>0</v>
      </c>
      <c r="AL401">
        <f t="shared" si="855"/>
        <v>0</v>
      </c>
      <c r="AM401">
        <f t="shared" si="855"/>
        <v>0</v>
      </c>
      <c r="AN401" s="11">
        <f t="shared" si="855"/>
        <v>0</v>
      </c>
      <c r="AP401" s="2" t="str">
        <f t="shared" ref="AP401:BD401" si="856">AP217</f>
        <v>Vaccine Failure</v>
      </c>
      <c r="AQ401" s="71">
        <f t="shared" si="856"/>
        <v>200994.49220953262</v>
      </c>
      <c r="AR401">
        <f t="shared" si="856"/>
        <v>0</v>
      </c>
      <c r="AS401">
        <f t="shared" si="856"/>
        <v>0</v>
      </c>
      <c r="AT401" s="11">
        <f t="shared" si="856"/>
        <v>0</v>
      </c>
      <c r="AU401" s="2" t="str">
        <f t="shared" si="856"/>
        <v>low:</v>
      </c>
      <c r="AV401" s="50">
        <f t="shared" si="856"/>
        <v>1.6910852643160803E-2</v>
      </c>
      <c r="AW401">
        <f t="shared" si="856"/>
        <v>0</v>
      </c>
      <c r="AX401" s="16">
        <f t="shared" si="856"/>
        <v>0</v>
      </c>
      <c r="AY401" s="2" t="str">
        <f t="shared" si="856"/>
        <v>p5c</v>
      </c>
      <c r="AZ401" s="61">
        <f t="shared" si="856"/>
        <v>1.1221064866069132E-2</v>
      </c>
      <c r="BA401" s="61">
        <f t="shared" si="856"/>
        <v>1.1221064866069132E-2</v>
      </c>
      <c r="BB401" s="61">
        <f t="shared" si="856"/>
        <v>1.1221064866069132E-2</v>
      </c>
      <c r="BC401">
        <f t="shared" si="856"/>
        <v>0</v>
      </c>
      <c r="BD401">
        <f t="shared" si="856"/>
        <v>0</v>
      </c>
    </row>
    <row r="402" spans="1:56" x14ac:dyDescent="0.3">
      <c r="A402">
        <f t="shared" ref="A402:AA402" si="857">A218</f>
        <v>0</v>
      </c>
      <c r="B402">
        <f t="shared" si="857"/>
        <v>0</v>
      </c>
      <c r="C402">
        <f t="shared" si="857"/>
        <v>0</v>
      </c>
      <c r="D402">
        <f t="shared" si="857"/>
        <v>0</v>
      </c>
      <c r="E402">
        <f t="shared" si="857"/>
        <v>0</v>
      </c>
      <c r="F402">
        <f t="shared" si="857"/>
        <v>0</v>
      </c>
      <c r="G402">
        <f t="shared" si="857"/>
        <v>0</v>
      </c>
      <c r="H402" s="11">
        <f t="shared" si="857"/>
        <v>0</v>
      </c>
      <c r="I402">
        <f t="shared" si="857"/>
        <v>0</v>
      </c>
      <c r="J402">
        <f t="shared" si="857"/>
        <v>0</v>
      </c>
      <c r="K402" s="11">
        <f t="shared" si="857"/>
        <v>0</v>
      </c>
      <c r="M402" s="14" t="s">
        <v>268</v>
      </c>
      <c r="N402" s="71">
        <f>$L$390*N398</f>
        <v>271342.56448286911</v>
      </c>
      <c r="O402">
        <f t="shared" si="857"/>
        <v>0</v>
      </c>
      <c r="P402">
        <f t="shared" si="857"/>
        <v>0</v>
      </c>
      <c r="Q402" s="11">
        <f t="shared" si="857"/>
        <v>0</v>
      </c>
      <c r="R402" s="2" t="str">
        <f t="shared" si="857"/>
        <v>high:</v>
      </c>
      <c r="S402" s="50">
        <f t="shared" si="857"/>
        <v>7.4507669999719264E-2</v>
      </c>
      <c r="T402">
        <f t="shared" si="857"/>
        <v>0</v>
      </c>
      <c r="U402" s="11">
        <f t="shared" si="857"/>
        <v>0</v>
      </c>
      <c r="V402" s="2">
        <f t="shared" si="857"/>
        <v>0</v>
      </c>
      <c r="W402">
        <f t="shared" si="857"/>
        <v>0</v>
      </c>
      <c r="X402">
        <f t="shared" si="857"/>
        <v>0</v>
      </c>
      <c r="Y402">
        <f t="shared" si="857"/>
        <v>0</v>
      </c>
      <c r="Z402">
        <f t="shared" si="857"/>
        <v>0</v>
      </c>
      <c r="AA402">
        <f t="shared" si="857"/>
        <v>0</v>
      </c>
      <c r="AD402">
        <f t="shared" ref="AD402:AN402" si="858">AD218</f>
        <v>0</v>
      </c>
      <c r="AE402">
        <f t="shared" si="858"/>
        <v>0</v>
      </c>
      <c r="AF402">
        <f t="shared" si="858"/>
        <v>0</v>
      </c>
      <c r="AG402">
        <f t="shared" si="858"/>
        <v>0</v>
      </c>
      <c r="AH402">
        <f t="shared" si="858"/>
        <v>0</v>
      </c>
      <c r="AI402">
        <f t="shared" si="858"/>
        <v>0</v>
      </c>
      <c r="AJ402">
        <f t="shared" si="858"/>
        <v>0</v>
      </c>
      <c r="AK402" s="11">
        <f t="shared" si="858"/>
        <v>0</v>
      </c>
      <c r="AL402">
        <f t="shared" si="858"/>
        <v>0</v>
      </c>
      <c r="AM402">
        <f t="shared" si="858"/>
        <v>0</v>
      </c>
      <c r="AN402" s="11">
        <f t="shared" si="858"/>
        <v>0</v>
      </c>
      <c r="AP402" s="14" t="s">
        <v>268</v>
      </c>
      <c r="AQ402" s="71">
        <f>$AO$390*AQ398</f>
        <v>271342.56448286911</v>
      </c>
      <c r="AR402">
        <f t="shared" ref="AR402:BD402" si="859">AR218</f>
        <v>0</v>
      </c>
      <c r="AS402">
        <f t="shared" si="859"/>
        <v>0</v>
      </c>
      <c r="AT402" s="11">
        <f t="shared" si="859"/>
        <v>0</v>
      </c>
      <c r="AU402" s="2" t="str">
        <f t="shared" si="859"/>
        <v>high:</v>
      </c>
      <c r="AV402" s="50">
        <f t="shared" si="859"/>
        <v>1.6910852643160803E-2</v>
      </c>
      <c r="AW402">
        <f t="shared" si="859"/>
        <v>0</v>
      </c>
      <c r="AX402" s="11">
        <f t="shared" si="859"/>
        <v>0</v>
      </c>
      <c r="AY402" s="2">
        <f t="shared" si="859"/>
        <v>0</v>
      </c>
      <c r="AZ402">
        <f t="shared" si="859"/>
        <v>0</v>
      </c>
      <c r="BA402">
        <f t="shared" si="859"/>
        <v>0</v>
      </c>
      <c r="BB402">
        <f t="shared" si="859"/>
        <v>0</v>
      </c>
      <c r="BC402">
        <f t="shared" si="859"/>
        <v>0</v>
      </c>
      <c r="BD402">
        <f t="shared" si="859"/>
        <v>0</v>
      </c>
    </row>
    <row r="403" spans="1:56" x14ac:dyDescent="0.3">
      <c r="A403">
        <f t="shared" ref="A403:AA403" si="860">A219</f>
        <v>0</v>
      </c>
      <c r="B403">
        <f t="shared" si="860"/>
        <v>0</v>
      </c>
      <c r="C403">
        <f t="shared" si="860"/>
        <v>0</v>
      </c>
      <c r="D403">
        <f t="shared" si="860"/>
        <v>0</v>
      </c>
      <c r="E403">
        <f t="shared" si="860"/>
        <v>0</v>
      </c>
      <c r="F403">
        <f t="shared" si="860"/>
        <v>0</v>
      </c>
      <c r="G403">
        <f t="shared" si="860"/>
        <v>0</v>
      </c>
      <c r="H403" s="11">
        <f t="shared" si="860"/>
        <v>0</v>
      </c>
      <c r="I403">
        <f t="shared" si="860"/>
        <v>0</v>
      </c>
      <c r="J403">
        <f t="shared" si="860"/>
        <v>0</v>
      </c>
      <c r="K403" s="11">
        <f t="shared" si="860"/>
        <v>0</v>
      </c>
      <c r="M403" s="14" t="s">
        <v>269</v>
      </c>
      <c r="N403" s="71">
        <f>$L$390*N399</f>
        <v>150745.86915714951</v>
      </c>
      <c r="O403">
        <f t="shared" si="860"/>
        <v>0</v>
      </c>
      <c r="P403">
        <f t="shared" si="860"/>
        <v>0</v>
      </c>
      <c r="Q403" s="18">
        <f t="shared" si="860"/>
        <v>0</v>
      </c>
      <c r="R403" s="12" t="str">
        <f t="shared" si="860"/>
        <v>sum p5a-c</v>
      </c>
      <c r="S403" s="50">
        <f t="shared" si="860"/>
        <v>7.4507669999719264E-2</v>
      </c>
      <c r="T403" s="438">
        <f t="shared" si="860"/>
        <v>0</v>
      </c>
      <c r="U403" s="18">
        <f t="shared" si="860"/>
        <v>0</v>
      </c>
      <c r="V403" s="12" t="str">
        <f t="shared" si="860"/>
        <v>ED</v>
      </c>
      <c r="W403" s="33">
        <f t="shared" si="860"/>
        <v>3135.1633498959382</v>
      </c>
      <c r="X403" s="33">
        <f>$N$402*X404</f>
        <v>4232.4705223595174</v>
      </c>
      <c r="Y403" s="33">
        <f>$N$403*Y404</f>
        <v>2351.3725124219545</v>
      </c>
      <c r="Z403">
        <f t="shared" si="860"/>
        <v>0</v>
      </c>
      <c r="AA403">
        <f t="shared" si="860"/>
        <v>0</v>
      </c>
      <c r="AD403">
        <f t="shared" ref="AD403:AN403" si="861">AD219</f>
        <v>0</v>
      </c>
      <c r="AE403">
        <f t="shared" si="861"/>
        <v>0</v>
      </c>
      <c r="AF403">
        <f t="shared" si="861"/>
        <v>0</v>
      </c>
      <c r="AG403">
        <f t="shared" si="861"/>
        <v>0</v>
      </c>
      <c r="AH403">
        <f t="shared" si="861"/>
        <v>0</v>
      </c>
      <c r="AI403">
        <f t="shared" si="861"/>
        <v>0</v>
      </c>
      <c r="AJ403">
        <f t="shared" si="861"/>
        <v>0</v>
      </c>
      <c r="AK403" s="11">
        <f t="shared" si="861"/>
        <v>0</v>
      </c>
      <c r="AL403">
        <f t="shared" si="861"/>
        <v>0</v>
      </c>
      <c r="AM403">
        <f t="shared" si="861"/>
        <v>0</v>
      </c>
      <c r="AN403" s="11">
        <f t="shared" si="861"/>
        <v>0</v>
      </c>
      <c r="AP403" s="14" t="s">
        <v>269</v>
      </c>
      <c r="AQ403" s="71">
        <f>$AO$390*AQ399</f>
        <v>150745.86915714951</v>
      </c>
      <c r="AR403">
        <f t="shared" ref="AR403:AZ403" si="862">AR219</f>
        <v>0</v>
      </c>
      <c r="AS403">
        <f t="shared" si="862"/>
        <v>0</v>
      </c>
      <c r="AT403" s="18">
        <f t="shared" si="862"/>
        <v>0</v>
      </c>
      <c r="AU403" s="12" t="str">
        <f t="shared" si="862"/>
        <v>sum p5a-c</v>
      </c>
      <c r="AV403" s="50">
        <f t="shared" si="862"/>
        <v>1.6910852643160803E-2</v>
      </c>
      <c r="AW403" s="500">
        <f t="shared" si="862"/>
        <v>0</v>
      </c>
      <c r="AX403" s="18">
        <f t="shared" si="862"/>
        <v>0</v>
      </c>
      <c r="AY403" s="12" t="str">
        <f t="shared" si="862"/>
        <v>ED</v>
      </c>
      <c r="AZ403" s="33">
        <f t="shared" si="862"/>
        <v>950.25373754196642</v>
      </c>
      <c r="BA403" s="33">
        <f>$AQ$402*BA404</f>
        <v>1282.8425456816551</v>
      </c>
      <c r="BB403" s="33">
        <f>$AQ$403*BB404</f>
        <v>712.69030315647512</v>
      </c>
      <c r="BC403">
        <f t="shared" ref="BC403:BD403" si="863">BC219</f>
        <v>0</v>
      </c>
      <c r="BD403">
        <f t="shared" si="863"/>
        <v>0</v>
      </c>
    </row>
    <row r="404" spans="1:56" x14ac:dyDescent="0.3">
      <c r="A404">
        <f t="shared" ref="A404:O404" si="864">A220</f>
        <v>0</v>
      </c>
      <c r="B404">
        <f t="shared" si="864"/>
        <v>0</v>
      </c>
      <c r="C404">
        <f t="shared" si="864"/>
        <v>0</v>
      </c>
      <c r="D404">
        <f t="shared" si="864"/>
        <v>0</v>
      </c>
      <c r="E404">
        <f t="shared" si="864"/>
        <v>0</v>
      </c>
      <c r="F404">
        <f t="shared" si="864"/>
        <v>0</v>
      </c>
      <c r="G404">
        <f t="shared" si="864"/>
        <v>0</v>
      </c>
      <c r="H404" s="11">
        <f t="shared" si="864"/>
        <v>0</v>
      </c>
      <c r="I404">
        <f t="shared" si="864"/>
        <v>0</v>
      </c>
      <c r="J404">
        <f t="shared" si="864"/>
        <v>0</v>
      </c>
      <c r="K404" s="11">
        <f t="shared" si="864"/>
        <v>0</v>
      </c>
      <c r="L404">
        <f t="shared" si="864"/>
        <v>0</v>
      </c>
      <c r="M404">
        <f t="shared" si="864"/>
        <v>0</v>
      </c>
      <c r="N404">
        <f t="shared" si="864"/>
        <v>0</v>
      </c>
      <c r="O404">
        <f t="shared" si="864"/>
        <v>0</v>
      </c>
      <c r="R404" s="2" t="str">
        <f t="shared" ref="R404:AA404" si="865">R220</f>
        <v>Medically Attended for RSV</v>
      </c>
      <c r="S404" s="54">
        <f t="shared" si="865"/>
        <v>14975.631297309001</v>
      </c>
      <c r="T404">
        <f t="shared" si="865"/>
        <v>0</v>
      </c>
      <c r="U404" s="11">
        <f t="shared" si="865"/>
        <v>0</v>
      </c>
      <c r="V404" s="2" t="str">
        <f t="shared" si="865"/>
        <v>p5b</v>
      </c>
      <c r="W404" s="61">
        <f t="shared" si="865"/>
        <v>1.5598255033912049E-2</v>
      </c>
      <c r="X404" s="61">
        <f t="shared" si="865"/>
        <v>1.5598255033912049E-2</v>
      </c>
      <c r="Y404" s="61">
        <f t="shared" si="865"/>
        <v>1.5598255033912049E-2</v>
      </c>
      <c r="Z404">
        <f t="shared" si="865"/>
        <v>0</v>
      </c>
      <c r="AA404">
        <f t="shared" si="865"/>
        <v>0</v>
      </c>
      <c r="AD404">
        <f t="shared" ref="AD404:AR404" si="866">AD220</f>
        <v>0</v>
      </c>
      <c r="AE404">
        <f t="shared" si="866"/>
        <v>0</v>
      </c>
      <c r="AF404">
        <f t="shared" si="866"/>
        <v>0</v>
      </c>
      <c r="AG404">
        <f t="shared" si="866"/>
        <v>0</v>
      </c>
      <c r="AH404">
        <f t="shared" si="866"/>
        <v>0</v>
      </c>
      <c r="AI404">
        <f t="shared" si="866"/>
        <v>0</v>
      </c>
      <c r="AJ404">
        <f t="shared" si="866"/>
        <v>0</v>
      </c>
      <c r="AK404" s="11">
        <f t="shared" si="866"/>
        <v>0</v>
      </c>
      <c r="AL404">
        <f t="shared" si="866"/>
        <v>0</v>
      </c>
      <c r="AM404">
        <f t="shared" si="866"/>
        <v>0</v>
      </c>
      <c r="AN404" s="11">
        <f t="shared" si="866"/>
        <v>0</v>
      </c>
      <c r="AO404">
        <f t="shared" si="866"/>
        <v>0</v>
      </c>
      <c r="AP404">
        <f t="shared" si="866"/>
        <v>0</v>
      </c>
      <c r="AQ404">
        <f t="shared" si="866"/>
        <v>0</v>
      </c>
      <c r="AR404">
        <f t="shared" si="866"/>
        <v>0</v>
      </c>
      <c r="AU404" s="2" t="str">
        <f t="shared" ref="AU404:BD404" si="867">AU220</f>
        <v>Medically Attended for RSV</v>
      </c>
      <c r="AV404" s="54">
        <f t="shared" si="867"/>
        <v>3398.9882398423379</v>
      </c>
      <c r="AW404">
        <f t="shared" si="867"/>
        <v>0</v>
      </c>
      <c r="AX404" s="11">
        <f t="shared" si="867"/>
        <v>0</v>
      </c>
      <c r="AY404" s="2" t="str">
        <f t="shared" si="867"/>
        <v>p5b</v>
      </c>
      <c r="AZ404" s="61">
        <f t="shared" si="867"/>
        <v>4.7277600848452429E-3</v>
      </c>
      <c r="BA404" s="61">
        <f t="shared" si="867"/>
        <v>4.7277600848452429E-3</v>
      </c>
      <c r="BB404" s="61">
        <f t="shared" si="867"/>
        <v>4.7277600848452429E-3</v>
      </c>
      <c r="BC404">
        <f t="shared" si="867"/>
        <v>0</v>
      </c>
      <c r="BD404">
        <f t="shared" si="867"/>
        <v>0</v>
      </c>
    </row>
    <row r="405" spans="1:56" x14ac:dyDescent="0.3">
      <c r="A405">
        <f t="shared" ref="A405:AA405" si="868">A221</f>
        <v>0</v>
      </c>
      <c r="B405">
        <f t="shared" si="868"/>
        <v>0</v>
      </c>
      <c r="C405">
        <f t="shared" si="868"/>
        <v>0</v>
      </c>
      <c r="D405">
        <f t="shared" si="868"/>
        <v>0</v>
      </c>
      <c r="E405">
        <f t="shared" si="868"/>
        <v>0</v>
      </c>
      <c r="F405">
        <f t="shared" si="868"/>
        <v>0</v>
      </c>
      <c r="G405">
        <f t="shared" si="868"/>
        <v>0</v>
      </c>
      <c r="H405" s="11">
        <f t="shared" si="868"/>
        <v>0</v>
      </c>
      <c r="I405">
        <f t="shared" si="868"/>
        <v>0</v>
      </c>
      <c r="J405">
        <f t="shared" si="868"/>
        <v>0</v>
      </c>
      <c r="K405" s="11">
        <f t="shared" si="868"/>
        <v>0</v>
      </c>
      <c r="L405">
        <f t="shared" si="868"/>
        <v>0</v>
      </c>
      <c r="M405">
        <f t="shared" si="868"/>
        <v>0</v>
      </c>
      <c r="N405">
        <f t="shared" si="868"/>
        <v>0</v>
      </c>
      <c r="O405">
        <f t="shared" si="868"/>
        <v>0</v>
      </c>
      <c r="P405">
        <f t="shared" si="868"/>
        <v>0</v>
      </c>
      <c r="Q405">
        <f t="shared" si="868"/>
        <v>0</v>
      </c>
      <c r="R405" s="14" t="s">
        <v>268</v>
      </c>
      <c r="S405" s="71">
        <f>N402*S401</f>
        <v>20217.102251367156</v>
      </c>
      <c r="T405">
        <f t="shared" si="868"/>
        <v>0</v>
      </c>
      <c r="U405" s="11">
        <f t="shared" si="868"/>
        <v>0</v>
      </c>
      <c r="V405" s="2">
        <f t="shared" si="868"/>
        <v>0</v>
      </c>
      <c r="W405">
        <f t="shared" si="868"/>
        <v>0</v>
      </c>
      <c r="X405">
        <f t="shared" si="868"/>
        <v>0</v>
      </c>
      <c r="Y405">
        <f t="shared" si="868"/>
        <v>0</v>
      </c>
      <c r="Z405">
        <f t="shared" si="868"/>
        <v>0</v>
      </c>
      <c r="AA405">
        <f t="shared" si="868"/>
        <v>0</v>
      </c>
      <c r="AD405">
        <f t="shared" ref="AD405:AT405" si="869">AD221</f>
        <v>0</v>
      </c>
      <c r="AE405">
        <f t="shared" si="869"/>
        <v>0</v>
      </c>
      <c r="AF405">
        <f t="shared" si="869"/>
        <v>0</v>
      </c>
      <c r="AG405">
        <f t="shared" si="869"/>
        <v>0</v>
      </c>
      <c r="AH405">
        <f t="shared" si="869"/>
        <v>0</v>
      </c>
      <c r="AI405">
        <f t="shared" si="869"/>
        <v>0</v>
      </c>
      <c r="AJ405">
        <f t="shared" si="869"/>
        <v>0</v>
      </c>
      <c r="AK405" s="11">
        <f t="shared" si="869"/>
        <v>0</v>
      </c>
      <c r="AL405">
        <f t="shared" si="869"/>
        <v>0</v>
      </c>
      <c r="AM405">
        <f t="shared" si="869"/>
        <v>0</v>
      </c>
      <c r="AN405" s="11">
        <f t="shared" si="869"/>
        <v>0</v>
      </c>
      <c r="AO405">
        <f t="shared" si="869"/>
        <v>0</v>
      </c>
      <c r="AP405">
        <f t="shared" si="869"/>
        <v>0</v>
      </c>
      <c r="AQ405">
        <f t="shared" si="869"/>
        <v>0</v>
      </c>
      <c r="AR405">
        <f t="shared" si="869"/>
        <v>0</v>
      </c>
      <c r="AS405">
        <f t="shared" si="869"/>
        <v>0</v>
      </c>
      <c r="AT405">
        <f t="shared" si="869"/>
        <v>0</v>
      </c>
      <c r="AU405" s="14" t="s">
        <v>268</v>
      </c>
      <c r="AV405" s="71">
        <f>AQ402*AV401</f>
        <v>4588.6341237871575</v>
      </c>
      <c r="AW405">
        <f t="shared" ref="AW405:BD405" si="870">AW221</f>
        <v>0</v>
      </c>
      <c r="AX405" s="11">
        <f t="shared" si="870"/>
        <v>0</v>
      </c>
      <c r="AY405" s="2">
        <f t="shared" si="870"/>
        <v>0</v>
      </c>
      <c r="AZ405">
        <f t="shared" si="870"/>
        <v>0</v>
      </c>
      <c r="BA405">
        <f t="shared" si="870"/>
        <v>0</v>
      </c>
      <c r="BB405">
        <f t="shared" si="870"/>
        <v>0</v>
      </c>
      <c r="BC405">
        <f t="shared" si="870"/>
        <v>0</v>
      </c>
      <c r="BD405">
        <f t="shared" si="870"/>
        <v>0</v>
      </c>
    </row>
    <row r="406" spans="1:56" x14ac:dyDescent="0.3">
      <c r="A406">
        <f t="shared" ref="A406:T406" si="871">A222</f>
        <v>0</v>
      </c>
      <c r="B406">
        <f t="shared" si="871"/>
        <v>0</v>
      </c>
      <c r="C406">
        <f t="shared" si="871"/>
        <v>0</v>
      </c>
      <c r="D406">
        <f t="shared" si="871"/>
        <v>0</v>
      </c>
      <c r="E406">
        <f t="shared" si="871"/>
        <v>0</v>
      </c>
      <c r="F406">
        <f t="shared" si="871"/>
        <v>0</v>
      </c>
      <c r="G406">
        <f t="shared" si="871"/>
        <v>0</v>
      </c>
      <c r="H406" s="11">
        <f t="shared" si="871"/>
        <v>0</v>
      </c>
      <c r="I406">
        <f t="shared" si="871"/>
        <v>0</v>
      </c>
      <c r="J406">
        <f t="shared" si="871"/>
        <v>0</v>
      </c>
      <c r="K406" s="11">
        <f t="shared" si="871"/>
        <v>0</v>
      </c>
      <c r="L406">
        <f t="shared" si="871"/>
        <v>0</v>
      </c>
      <c r="M406">
        <f t="shared" si="871"/>
        <v>0</v>
      </c>
      <c r="N406">
        <f t="shared" si="871"/>
        <v>0</v>
      </c>
      <c r="O406">
        <f t="shared" si="871"/>
        <v>0</v>
      </c>
      <c r="P406">
        <f t="shared" si="871"/>
        <v>0</v>
      </c>
      <c r="Q406">
        <f t="shared" si="871"/>
        <v>0</v>
      </c>
      <c r="R406" s="14" t="s">
        <v>269</v>
      </c>
      <c r="S406" s="71">
        <f>N403*S402</f>
        <v>11231.723472981754</v>
      </c>
      <c r="T406">
        <f t="shared" si="871"/>
        <v>0</v>
      </c>
      <c r="U406" s="18"/>
      <c r="V406" s="12" t="str">
        <f t="shared" ref="V406:AA406" si="872">V222</f>
        <v>Hospitalized</v>
      </c>
      <c r="W406" s="33">
        <f t="shared" si="872"/>
        <v>1658.2120741594788</v>
      </c>
      <c r="X406" s="33">
        <f>$N$402*X407</f>
        <v>2238.586300115297</v>
      </c>
      <c r="Y406" s="33">
        <f>$N$403*Y407</f>
        <v>1243.6590556196095</v>
      </c>
      <c r="Z406">
        <f t="shared" si="872"/>
        <v>0</v>
      </c>
      <c r="AA406">
        <f t="shared" si="872"/>
        <v>0</v>
      </c>
      <c r="AD406">
        <f t="shared" ref="AD406:AT406" si="873">AD222</f>
        <v>0</v>
      </c>
      <c r="AE406">
        <f t="shared" si="873"/>
        <v>0</v>
      </c>
      <c r="AF406">
        <f t="shared" si="873"/>
        <v>0</v>
      </c>
      <c r="AG406">
        <f t="shared" si="873"/>
        <v>0</v>
      </c>
      <c r="AH406">
        <f t="shared" si="873"/>
        <v>0</v>
      </c>
      <c r="AI406">
        <f t="shared" si="873"/>
        <v>0</v>
      </c>
      <c r="AJ406">
        <f t="shared" si="873"/>
        <v>0</v>
      </c>
      <c r="AK406" s="11">
        <f t="shared" si="873"/>
        <v>0</v>
      </c>
      <c r="AL406">
        <f t="shared" si="873"/>
        <v>0</v>
      </c>
      <c r="AM406">
        <f t="shared" si="873"/>
        <v>0</v>
      </c>
      <c r="AN406" s="11">
        <f t="shared" si="873"/>
        <v>0</v>
      </c>
      <c r="AO406">
        <f t="shared" si="873"/>
        <v>0</v>
      </c>
      <c r="AP406">
        <f t="shared" si="873"/>
        <v>0</v>
      </c>
      <c r="AQ406">
        <f t="shared" si="873"/>
        <v>0</v>
      </c>
      <c r="AR406">
        <f t="shared" si="873"/>
        <v>0</v>
      </c>
      <c r="AS406">
        <f t="shared" si="873"/>
        <v>0</v>
      </c>
      <c r="AT406">
        <f t="shared" si="873"/>
        <v>0</v>
      </c>
      <c r="AU406" s="14" t="s">
        <v>269</v>
      </c>
      <c r="AV406" s="71">
        <f>AQ403*AV402</f>
        <v>2549.2411798817543</v>
      </c>
      <c r="AW406">
        <f t="shared" ref="AW406" si="874">AW222</f>
        <v>0</v>
      </c>
      <c r="AX406" s="18"/>
      <c r="AY406" s="12" t="str">
        <f t="shared" ref="AY406:AZ406" si="875">AY222</f>
        <v>Hospitalized</v>
      </c>
      <c r="AZ406" s="33">
        <f t="shared" si="875"/>
        <v>193.36226749457933</v>
      </c>
      <c r="BA406" s="33">
        <f>$AQ$402*BA407</f>
        <v>261.03906111768214</v>
      </c>
      <c r="BB406" s="33">
        <f>$AQ$403*BB407</f>
        <v>145.02170062093452</v>
      </c>
      <c r="BC406">
        <f t="shared" ref="BC406:BD406" si="876">BC222</f>
        <v>0</v>
      </c>
      <c r="BD406">
        <f t="shared" si="876"/>
        <v>0</v>
      </c>
    </row>
    <row r="407" spans="1:56" x14ac:dyDescent="0.3">
      <c r="A407">
        <f t="shared" ref="A407:L407" si="877">A223</f>
        <v>0</v>
      </c>
      <c r="B407">
        <f t="shared" si="877"/>
        <v>0</v>
      </c>
      <c r="C407">
        <f t="shared" si="877"/>
        <v>0</v>
      </c>
      <c r="D407">
        <f t="shared" si="877"/>
        <v>0</v>
      </c>
      <c r="E407">
        <f t="shared" si="877"/>
        <v>0</v>
      </c>
      <c r="F407">
        <f t="shared" si="877"/>
        <v>0</v>
      </c>
      <c r="G407">
        <f t="shared" si="877"/>
        <v>0</v>
      </c>
      <c r="H407" s="11">
        <f t="shared" si="877"/>
        <v>0</v>
      </c>
      <c r="I407">
        <f t="shared" si="877"/>
        <v>0</v>
      </c>
      <c r="J407">
        <f t="shared" si="877"/>
        <v>0</v>
      </c>
      <c r="K407" s="11">
        <f t="shared" si="877"/>
        <v>0</v>
      </c>
      <c r="L407">
        <f t="shared" si="877"/>
        <v>0</v>
      </c>
      <c r="N407" s="12" t="str">
        <f t="shared" ref="N407:AA407" si="878">N223</f>
        <v>Not MA for RSV</v>
      </c>
      <c r="O407" s="62" t="str">
        <f t="shared" si="878"/>
        <v>unknown</v>
      </c>
      <c r="P407">
        <f t="shared" si="878"/>
        <v>0</v>
      </c>
      <c r="Q407">
        <f t="shared" si="878"/>
        <v>0</v>
      </c>
      <c r="R407">
        <f t="shared" si="878"/>
        <v>0</v>
      </c>
      <c r="S407">
        <f t="shared" si="878"/>
        <v>0</v>
      </c>
      <c r="U407">
        <f t="shared" si="878"/>
        <v>0</v>
      </c>
      <c r="V407" s="2" t="str">
        <f t="shared" si="878"/>
        <v>p5a</v>
      </c>
      <c r="W407" s="61">
        <f t="shared" si="878"/>
        <v>8.2500373812772285E-3</v>
      </c>
      <c r="X407" s="61">
        <f t="shared" si="878"/>
        <v>8.2500373812772285E-3</v>
      </c>
      <c r="Y407" s="61">
        <f t="shared" si="878"/>
        <v>8.2500373812772285E-3</v>
      </c>
      <c r="Z407">
        <f t="shared" si="878"/>
        <v>0</v>
      </c>
      <c r="AA407">
        <f t="shared" si="878"/>
        <v>0</v>
      </c>
      <c r="AD407">
        <f t="shared" ref="AD407:AO407" si="879">AD223</f>
        <v>0</v>
      </c>
      <c r="AE407">
        <f t="shared" si="879"/>
        <v>0</v>
      </c>
      <c r="AF407">
        <f t="shared" si="879"/>
        <v>0</v>
      </c>
      <c r="AG407">
        <f t="shared" si="879"/>
        <v>0</v>
      </c>
      <c r="AH407">
        <f t="shared" si="879"/>
        <v>0</v>
      </c>
      <c r="AI407">
        <f t="shared" si="879"/>
        <v>0</v>
      </c>
      <c r="AJ407">
        <f t="shared" si="879"/>
        <v>0</v>
      </c>
      <c r="AK407" s="11">
        <f t="shared" si="879"/>
        <v>0</v>
      </c>
      <c r="AL407">
        <f t="shared" si="879"/>
        <v>0</v>
      </c>
      <c r="AM407">
        <f t="shared" si="879"/>
        <v>0</v>
      </c>
      <c r="AN407" s="11">
        <f t="shared" si="879"/>
        <v>0</v>
      </c>
      <c r="AO407">
        <f t="shared" si="879"/>
        <v>0</v>
      </c>
      <c r="AQ407" s="12" t="str">
        <f t="shared" ref="AQ407:AV407" si="880">AQ223</f>
        <v>Not MA for RSV</v>
      </c>
      <c r="AR407" s="62" t="str">
        <f t="shared" si="880"/>
        <v>unknown</v>
      </c>
      <c r="AS407">
        <f t="shared" si="880"/>
        <v>0</v>
      </c>
      <c r="AT407">
        <f t="shared" si="880"/>
        <v>0</v>
      </c>
      <c r="AU407">
        <f t="shared" si="880"/>
        <v>0</v>
      </c>
      <c r="AV407">
        <f t="shared" si="880"/>
        <v>0</v>
      </c>
      <c r="AX407">
        <f t="shared" ref="AX407:BD407" si="881">AX223</f>
        <v>0</v>
      </c>
      <c r="AY407" s="2" t="str">
        <f t="shared" si="881"/>
        <v>p5a</v>
      </c>
      <c r="AZ407" s="61">
        <f t="shared" si="881"/>
        <v>9.62027692246428E-4</v>
      </c>
      <c r="BA407" s="61">
        <f t="shared" si="881"/>
        <v>9.62027692246428E-4</v>
      </c>
      <c r="BB407" s="61">
        <f t="shared" si="881"/>
        <v>9.62027692246428E-4</v>
      </c>
      <c r="BC407">
        <f t="shared" si="881"/>
        <v>0</v>
      </c>
      <c r="BD407">
        <f t="shared" si="881"/>
        <v>0</v>
      </c>
    </row>
    <row r="408" spans="1:56" x14ac:dyDescent="0.3">
      <c r="A408">
        <f t="shared" ref="A408:AA408" si="882">A224</f>
        <v>0</v>
      </c>
      <c r="B408">
        <f t="shared" si="882"/>
        <v>0</v>
      </c>
      <c r="C408">
        <f t="shared" si="882"/>
        <v>0</v>
      </c>
      <c r="D408">
        <f t="shared" si="882"/>
        <v>0</v>
      </c>
      <c r="E408">
        <f t="shared" si="882"/>
        <v>0</v>
      </c>
      <c r="F408">
        <f t="shared" si="882"/>
        <v>0</v>
      </c>
      <c r="G408">
        <f t="shared" si="882"/>
        <v>0</v>
      </c>
      <c r="H408" s="11">
        <f t="shared" si="882"/>
        <v>0</v>
      </c>
      <c r="I408">
        <f t="shared" si="882"/>
        <v>0</v>
      </c>
      <c r="J408">
        <f t="shared" si="882"/>
        <v>0</v>
      </c>
      <c r="K408" s="59">
        <f t="shared" si="882"/>
        <v>0</v>
      </c>
      <c r="L408" s="60">
        <f t="shared" si="882"/>
        <v>0</v>
      </c>
      <c r="M408">
        <f t="shared" si="882"/>
        <v>0</v>
      </c>
      <c r="N408" s="11">
        <f t="shared" si="882"/>
        <v>0</v>
      </c>
      <c r="O408" s="13">
        <f t="shared" si="882"/>
        <v>0</v>
      </c>
      <c r="P408" s="13">
        <f t="shared" si="882"/>
        <v>0</v>
      </c>
      <c r="Q408">
        <f t="shared" si="882"/>
        <v>0</v>
      </c>
      <c r="R408">
        <f t="shared" si="882"/>
        <v>0</v>
      </c>
      <c r="S408" s="437" t="str">
        <f t="shared" si="882"/>
        <v>base</v>
      </c>
      <c r="T408" s="449" t="str">
        <f t="shared" si="882"/>
        <v>low</v>
      </c>
      <c r="U408" s="449" t="str">
        <f t="shared" si="882"/>
        <v>high</v>
      </c>
      <c r="V408">
        <f t="shared" si="882"/>
        <v>0</v>
      </c>
      <c r="W408">
        <f t="shared" si="882"/>
        <v>0</v>
      </c>
      <c r="X408" s="37">
        <f t="shared" si="882"/>
        <v>0</v>
      </c>
      <c r="Y408" s="20">
        <f t="shared" si="882"/>
        <v>0</v>
      </c>
      <c r="Z408">
        <f t="shared" si="882"/>
        <v>0</v>
      </c>
      <c r="AA408">
        <f t="shared" si="882"/>
        <v>0</v>
      </c>
      <c r="AD408">
        <f t="shared" ref="AD408:BD408" si="883">AD224</f>
        <v>0</v>
      </c>
      <c r="AE408">
        <f t="shared" si="883"/>
        <v>0</v>
      </c>
      <c r="AF408">
        <f t="shared" si="883"/>
        <v>0</v>
      </c>
      <c r="AG408">
        <f t="shared" si="883"/>
        <v>0</v>
      </c>
      <c r="AH408">
        <f t="shared" si="883"/>
        <v>0</v>
      </c>
      <c r="AI408">
        <f t="shared" si="883"/>
        <v>0</v>
      </c>
      <c r="AJ408">
        <f t="shared" si="883"/>
        <v>0</v>
      </c>
      <c r="AK408" s="11">
        <f t="shared" si="883"/>
        <v>0</v>
      </c>
      <c r="AL408">
        <f t="shared" si="883"/>
        <v>0</v>
      </c>
      <c r="AM408">
        <f t="shared" si="883"/>
        <v>0</v>
      </c>
      <c r="AN408" s="59">
        <f t="shared" si="883"/>
        <v>0</v>
      </c>
      <c r="AO408" s="60">
        <f t="shared" si="883"/>
        <v>0</v>
      </c>
      <c r="AP408">
        <f t="shared" si="883"/>
        <v>0</v>
      </c>
      <c r="AQ408" s="11">
        <f t="shared" si="883"/>
        <v>0</v>
      </c>
      <c r="AR408" s="13">
        <f t="shared" si="883"/>
        <v>0</v>
      </c>
      <c r="AS408" s="13">
        <f t="shared" si="883"/>
        <v>0</v>
      </c>
      <c r="AT408">
        <f t="shared" si="883"/>
        <v>0</v>
      </c>
      <c r="AU408">
        <f t="shared" si="883"/>
        <v>0</v>
      </c>
      <c r="AV408" s="684" t="str">
        <f t="shared" si="883"/>
        <v>base</v>
      </c>
      <c r="AW408" s="449" t="str">
        <f t="shared" si="883"/>
        <v>low</v>
      </c>
      <c r="AX408" s="449" t="str">
        <f t="shared" si="883"/>
        <v>high</v>
      </c>
      <c r="AY408">
        <f t="shared" si="883"/>
        <v>0</v>
      </c>
      <c r="AZ408">
        <f t="shared" si="883"/>
        <v>0</v>
      </c>
      <c r="BA408" s="37">
        <f t="shared" si="883"/>
        <v>0</v>
      </c>
      <c r="BB408" s="20">
        <f t="shared" si="883"/>
        <v>0</v>
      </c>
      <c r="BC408">
        <f t="shared" si="883"/>
        <v>0</v>
      </c>
      <c r="BD408">
        <f t="shared" si="883"/>
        <v>0</v>
      </c>
    </row>
    <row r="409" spans="1:56" x14ac:dyDescent="0.3">
      <c r="A409">
        <f t="shared" ref="A409:AA409" si="884">A225</f>
        <v>0</v>
      </c>
      <c r="B409">
        <f t="shared" si="884"/>
        <v>0</v>
      </c>
      <c r="C409">
        <f t="shared" si="884"/>
        <v>0</v>
      </c>
      <c r="D409">
        <f t="shared" si="884"/>
        <v>0</v>
      </c>
      <c r="E409">
        <f t="shared" si="884"/>
        <v>0</v>
      </c>
      <c r="F409">
        <f t="shared" si="884"/>
        <v>0</v>
      </c>
      <c r="G409">
        <f t="shared" si="884"/>
        <v>0</v>
      </c>
      <c r="H409" s="11">
        <f t="shared" si="884"/>
        <v>0</v>
      </c>
      <c r="I409">
        <f t="shared" si="884"/>
        <v>0</v>
      </c>
      <c r="J409">
        <f t="shared" si="884"/>
        <v>0</v>
      </c>
      <c r="K409" s="59" t="str">
        <f t="shared" si="884"/>
        <v>1-p8</v>
      </c>
      <c r="L409" s="97">
        <f t="shared" si="884"/>
        <v>8.1392716666666587E-2</v>
      </c>
      <c r="M409" s="438">
        <f t="shared" si="884"/>
        <v>0</v>
      </c>
      <c r="N409" s="11">
        <f t="shared" si="884"/>
        <v>0</v>
      </c>
      <c r="O409">
        <f t="shared" si="884"/>
        <v>0</v>
      </c>
      <c r="P409">
        <f t="shared" si="884"/>
        <v>0</v>
      </c>
      <c r="Q409">
        <f t="shared" si="884"/>
        <v>0</v>
      </c>
      <c r="R409" s="12" t="str">
        <f t="shared" si="884"/>
        <v>Outpatient</v>
      </c>
      <c r="S409" s="33">
        <f t="shared" si="884"/>
        <v>11507.279065919813</v>
      </c>
      <c r="T409" s="450">
        <f t="shared" si="884"/>
        <v>10479.843435034116</v>
      </c>
      <c r="U409" s="450">
        <f t="shared" si="884"/>
        <v>12534.714696805511</v>
      </c>
      <c r="V409">
        <f t="shared" si="884"/>
        <v>0</v>
      </c>
      <c r="W409">
        <f t="shared" si="884"/>
        <v>0</v>
      </c>
      <c r="X409" s="69">
        <f t="shared" si="884"/>
        <v>0</v>
      </c>
      <c r="Y409">
        <f t="shared" si="884"/>
        <v>0</v>
      </c>
      <c r="Z409">
        <f t="shared" si="884"/>
        <v>0</v>
      </c>
      <c r="AA409">
        <f t="shared" si="884"/>
        <v>0</v>
      </c>
      <c r="AD409">
        <f t="shared" ref="AD409:BD409" si="885">AD225</f>
        <v>0</v>
      </c>
      <c r="AE409">
        <f t="shared" si="885"/>
        <v>0</v>
      </c>
      <c r="AF409">
        <f t="shared" si="885"/>
        <v>0</v>
      </c>
      <c r="AG409">
        <f t="shared" si="885"/>
        <v>0</v>
      </c>
      <c r="AH409">
        <f t="shared" si="885"/>
        <v>0</v>
      </c>
      <c r="AI409">
        <f t="shared" si="885"/>
        <v>0</v>
      </c>
      <c r="AJ409">
        <f t="shared" si="885"/>
        <v>0</v>
      </c>
      <c r="AK409" s="11">
        <f t="shared" si="885"/>
        <v>0</v>
      </c>
      <c r="AL409">
        <f t="shared" si="885"/>
        <v>0</v>
      </c>
      <c r="AM409">
        <f t="shared" si="885"/>
        <v>0</v>
      </c>
      <c r="AN409" s="59" t="str">
        <f t="shared" si="885"/>
        <v>1-p8</v>
      </c>
      <c r="AO409" s="97">
        <f t="shared" si="885"/>
        <v>8.1392716666666587E-2</v>
      </c>
      <c r="AP409" s="500">
        <f t="shared" si="885"/>
        <v>0</v>
      </c>
      <c r="AQ409" s="11">
        <f t="shared" si="885"/>
        <v>0</v>
      </c>
      <c r="AR409">
        <f t="shared" si="885"/>
        <v>0</v>
      </c>
      <c r="AS409">
        <f t="shared" si="885"/>
        <v>0</v>
      </c>
      <c r="AT409">
        <f t="shared" si="885"/>
        <v>0</v>
      </c>
      <c r="AU409" s="12" t="str">
        <f t="shared" si="885"/>
        <v>Outpatient</v>
      </c>
      <c r="AV409" s="33">
        <f t="shared" si="885"/>
        <v>4679.5969730824927</v>
      </c>
      <c r="AW409" s="450">
        <f t="shared" si="885"/>
        <v>4261.7758147715567</v>
      </c>
      <c r="AX409" s="450">
        <f t="shared" si="885"/>
        <v>5097.4181313934305</v>
      </c>
      <c r="AY409">
        <f t="shared" si="885"/>
        <v>0</v>
      </c>
      <c r="AZ409">
        <f t="shared" si="885"/>
        <v>0</v>
      </c>
      <c r="BA409" s="69">
        <f t="shared" si="885"/>
        <v>0</v>
      </c>
      <c r="BB409">
        <f t="shared" si="885"/>
        <v>0</v>
      </c>
      <c r="BC409">
        <f t="shared" si="885"/>
        <v>0</v>
      </c>
      <c r="BD409">
        <f t="shared" si="885"/>
        <v>0</v>
      </c>
    </row>
    <row r="410" spans="1:56" x14ac:dyDescent="0.3">
      <c r="A410">
        <f t="shared" ref="A410:G410" si="886">A226</f>
        <v>0</v>
      </c>
      <c r="B410">
        <f t="shared" si="886"/>
        <v>0</v>
      </c>
      <c r="C410">
        <f t="shared" si="886"/>
        <v>0</v>
      </c>
      <c r="D410">
        <f t="shared" si="886"/>
        <v>0</v>
      </c>
      <c r="E410">
        <f t="shared" si="886"/>
        <v>0</v>
      </c>
      <c r="F410">
        <f t="shared" si="886"/>
        <v>0</v>
      </c>
      <c r="G410">
        <f t="shared" si="886"/>
        <v>0</v>
      </c>
      <c r="H410" s="11"/>
      <c r="K410" s="15" t="str">
        <f t="shared" ref="K410:AA410" si="887">K226</f>
        <v>antibodies don't transfer before birth</v>
      </c>
      <c r="L410" s="28">
        <f t="shared" si="887"/>
        <v>89045.057952336516</v>
      </c>
      <c r="M410">
        <f t="shared" si="887"/>
        <v>0</v>
      </c>
      <c r="N410" s="59"/>
      <c r="O410" s="50"/>
      <c r="P410">
        <f t="shared" si="887"/>
        <v>0</v>
      </c>
      <c r="Q410" s="16">
        <f t="shared" si="887"/>
        <v>0</v>
      </c>
      <c r="R410" s="2" t="str">
        <f t="shared" si="887"/>
        <v>p5c</v>
      </c>
      <c r="S410" s="61">
        <f t="shared" si="887"/>
        <v>0.12922984532257092</v>
      </c>
      <c r="T410" s="451">
        <f t="shared" si="887"/>
        <v>0.12922984532257092</v>
      </c>
      <c r="U410" s="451">
        <f t="shared" si="887"/>
        <v>0.12922984532257092</v>
      </c>
      <c r="V410">
        <f t="shared" si="887"/>
        <v>0</v>
      </c>
      <c r="W410">
        <f t="shared" si="887"/>
        <v>0</v>
      </c>
      <c r="X410">
        <f t="shared" si="887"/>
        <v>0</v>
      </c>
      <c r="Y410">
        <f t="shared" si="887"/>
        <v>0</v>
      </c>
      <c r="Z410">
        <f t="shared" si="887"/>
        <v>0</v>
      </c>
      <c r="AA410">
        <f t="shared" si="887"/>
        <v>0</v>
      </c>
      <c r="AD410">
        <f t="shared" ref="AD410:AJ410" si="888">AD226</f>
        <v>0</v>
      </c>
      <c r="AE410">
        <f t="shared" si="888"/>
        <v>0</v>
      </c>
      <c r="AF410">
        <f t="shared" si="888"/>
        <v>0</v>
      </c>
      <c r="AG410">
        <f t="shared" si="888"/>
        <v>0</v>
      </c>
      <c r="AH410">
        <f t="shared" si="888"/>
        <v>0</v>
      </c>
      <c r="AI410">
        <f t="shared" si="888"/>
        <v>0</v>
      </c>
      <c r="AJ410">
        <f t="shared" si="888"/>
        <v>0</v>
      </c>
      <c r="AK410" s="11"/>
      <c r="AN410" s="15" t="str">
        <f t="shared" ref="AN410:AP410" si="889">AN226</f>
        <v>antibodies don't transfer before birth</v>
      </c>
      <c r="AO410" s="28">
        <f t="shared" si="889"/>
        <v>89045.057952336516</v>
      </c>
      <c r="AP410">
        <f t="shared" si="889"/>
        <v>0</v>
      </c>
      <c r="AQ410" s="59"/>
      <c r="AR410" s="50"/>
      <c r="AS410">
        <f t="shared" ref="AS410:BD410" si="890">AS226</f>
        <v>0</v>
      </c>
      <c r="AT410" s="16">
        <f t="shared" si="890"/>
        <v>0</v>
      </c>
      <c r="AU410" s="2" t="str">
        <f t="shared" si="890"/>
        <v>p5c</v>
      </c>
      <c r="AV410" s="61">
        <f t="shared" si="890"/>
        <v>5.2553135240670609E-2</v>
      </c>
      <c r="AW410" s="451">
        <f t="shared" si="890"/>
        <v>5.2553135240670609E-2</v>
      </c>
      <c r="AX410" s="451">
        <f t="shared" si="890"/>
        <v>5.2553135240670609E-2</v>
      </c>
      <c r="AY410">
        <f t="shared" si="890"/>
        <v>0</v>
      </c>
      <c r="AZ410">
        <f t="shared" si="890"/>
        <v>0</v>
      </c>
      <c r="BA410">
        <f t="shared" si="890"/>
        <v>0</v>
      </c>
      <c r="BB410">
        <f t="shared" si="890"/>
        <v>0</v>
      </c>
      <c r="BC410">
        <f t="shared" si="890"/>
        <v>0</v>
      </c>
      <c r="BD410">
        <f t="shared" si="890"/>
        <v>0</v>
      </c>
    </row>
    <row r="411" spans="1:56" x14ac:dyDescent="0.3">
      <c r="A411">
        <f t="shared" ref="A411:AA411" si="891">A227</f>
        <v>0</v>
      </c>
      <c r="B411">
        <f t="shared" si="891"/>
        <v>0</v>
      </c>
      <c r="C411">
        <f t="shared" si="891"/>
        <v>0</v>
      </c>
      <c r="D411">
        <f t="shared" si="891"/>
        <v>0</v>
      </c>
      <c r="E411">
        <f t="shared" si="891"/>
        <v>0</v>
      </c>
      <c r="F411">
        <f t="shared" si="891"/>
        <v>0</v>
      </c>
      <c r="G411">
        <f t="shared" si="891"/>
        <v>0</v>
      </c>
      <c r="H411" s="11">
        <f t="shared" si="891"/>
        <v>0</v>
      </c>
      <c r="I411">
        <f t="shared" si="891"/>
        <v>0</v>
      </c>
      <c r="J411">
        <f t="shared" si="891"/>
        <v>0</v>
      </c>
      <c r="K411" s="14"/>
      <c r="L411" s="58"/>
      <c r="M411">
        <f t="shared" si="891"/>
        <v>0</v>
      </c>
      <c r="N411" s="59"/>
      <c r="O411" s="50"/>
      <c r="P411">
        <f t="shared" si="891"/>
        <v>0</v>
      </c>
      <c r="Q411" s="11">
        <f t="shared" si="891"/>
        <v>0</v>
      </c>
      <c r="R411" s="2">
        <f t="shared" si="891"/>
        <v>0</v>
      </c>
      <c r="S411">
        <f t="shared" si="891"/>
        <v>0</v>
      </c>
      <c r="T411" s="452">
        <f t="shared" si="891"/>
        <v>0</v>
      </c>
      <c r="U411" s="452">
        <f t="shared" si="891"/>
        <v>0</v>
      </c>
      <c r="V411">
        <f t="shared" si="891"/>
        <v>0</v>
      </c>
      <c r="W411">
        <f t="shared" si="891"/>
        <v>0</v>
      </c>
      <c r="X411">
        <f t="shared" si="891"/>
        <v>0</v>
      </c>
      <c r="Y411">
        <f t="shared" si="891"/>
        <v>0</v>
      </c>
      <c r="Z411">
        <f t="shared" si="891"/>
        <v>0</v>
      </c>
      <c r="AA411">
        <f t="shared" si="891"/>
        <v>0</v>
      </c>
      <c r="AD411">
        <f t="shared" ref="AD411:AM411" si="892">AD227</f>
        <v>0</v>
      </c>
      <c r="AE411">
        <f t="shared" si="892"/>
        <v>0</v>
      </c>
      <c r="AF411">
        <f t="shared" si="892"/>
        <v>0</v>
      </c>
      <c r="AG411">
        <f t="shared" si="892"/>
        <v>0</v>
      </c>
      <c r="AH411">
        <f t="shared" si="892"/>
        <v>0</v>
      </c>
      <c r="AI411">
        <f t="shared" si="892"/>
        <v>0</v>
      </c>
      <c r="AJ411">
        <f t="shared" si="892"/>
        <v>0</v>
      </c>
      <c r="AK411" s="11">
        <f t="shared" si="892"/>
        <v>0</v>
      </c>
      <c r="AL411">
        <f t="shared" si="892"/>
        <v>0</v>
      </c>
      <c r="AM411">
        <f t="shared" si="892"/>
        <v>0</v>
      </c>
      <c r="AN411" s="14"/>
      <c r="AO411" s="58"/>
      <c r="AP411">
        <f t="shared" ref="AP411" si="893">AP227</f>
        <v>0</v>
      </c>
      <c r="AQ411" s="59"/>
      <c r="AR411" s="50"/>
      <c r="AS411">
        <f t="shared" ref="AS411:BD411" si="894">AS227</f>
        <v>0</v>
      </c>
      <c r="AT411" s="11">
        <f t="shared" si="894"/>
        <v>0</v>
      </c>
      <c r="AU411" s="2">
        <f t="shared" si="894"/>
        <v>0</v>
      </c>
      <c r="AV411">
        <f t="shared" si="894"/>
        <v>0</v>
      </c>
      <c r="AW411" s="452">
        <f t="shared" si="894"/>
        <v>0</v>
      </c>
      <c r="AX411" s="452">
        <f t="shared" si="894"/>
        <v>0</v>
      </c>
      <c r="AY411">
        <f t="shared" si="894"/>
        <v>0</v>
      </c>
      <c r="AZ411">
        <f t="shared" si="894"/>
        <v>0</v>
      </c>
      <c r="BA411">
        <f t="shared" si="894"/>
        <v>0</v>
      </c>
      <c r="BB411">
        <f t="shared" si="894"/>
        <v>0</v>
      </c>
      <c r="BC411">
        <f t="shared" si="894"/>
        <v>0</v>
      </c>
      <c r="BD411">
        <f t="shared" si="894"/>
        <v>0</v>
      </c>
    </row>
    <row r="412" spans="1:56" x14ac:dyDescent="0.3">
      <c r="A412">
        <f t="shared" ref="A412:AA412" si="895">A228</f>
        <v>0</v>
      </c>
      <c r="B412">
        <f t="shared" si="895"/>
        <v>0</v>
      </c>
      <c r="C412">
        <f t="shared" si="895"/>
        <v>0</v>
      </c>
      <c r="D412">
        <f t="shared" si="895"/>
        <v>0</v>
      </c>
      <c r="E412">
        <f t="shared" si="895"/>
        <v>0</v>
      </c>
      <c r="F412">
        <f t="shared" si="895"/>
        <v>0</v>
      </c>
      <c r="G412">
        <f t="shared" si="895"/>
        <v>0</v>
      </c>
      <c r="H412" s="11">
        <f t="shared" si="895"/>
        <v>0</v>
      </c>
      <c r="I412">
        <f t="shared" si="895"/>
        <v>0</v>
      </c>
      <c r="J412">
        <f t="shared" si="895"/>
        <v>0</v>
      </c>
      <c r="M412">
        <f t="shared" si="895"/>
        <v>0</v>
      </c>
      <c r="N412" s="18" t="str">
        <f t="shared" si="895"/>
        <v>sum p5a-c</v>
      </c>
      <c r="O412" s="50">
        <f t="shared" si="895"/>
        <v>0.18597458567567429</v>
      </c>
      <c r="P412" s="438">
        <f t="shared" si="895"/>
        <v>0</v>
      </c>
      <c r="Q412" s="18">
        <f t="shared" si="895"/>
        <v>0</v>
      </c>
      <c r="R412" s="12" t="str">
        <f t="shared" si="895"/>
        <v>ED</v>
      </c>
      <c r="S412" s="33">
        <f t="shared" si="895"/>
        <v>3989.8895888093821</v>
      </c>
      <c r="T412" s="450">
        <f t="shared" si="895"/>
        <v>3633.6494469514023</v>
      </c>
      <c r="U412" s="450">
        <f t="shared" si="895"/>
        <v>4346.1297306673632</v>
      </c>
      <c r="V412">
        <f t="shared" si="895"/>
        <v>0</v>
      </c>
      <c r="W412">
        <f t="shared" si="895"/>
        <v>0</v>
      </c>
      <c r="X412">
        <f t="shared" si="895"/>
        <v>0</v>
      </c>
      <c r="Y412">
        <f t="shared" si="895"/>
        <v>0</v>
      </c>
      <c r="Z412">
        <f t="shared" si="895"/>
        <v>0</v>
      </c>
      <c r="AA412">
        <f t="shared" si="895"/>
        <v>0</v>
      </c>
      <c r="AD412">
        <f t="shared" ref="AD412:AM412" si="896">AD228</f>
        <v>0</v>
      </c>
      <c r="AE412">
        <f t="shared" si="896"/>
        <v>0</v>
      </c>
      <c r="AF412">
        <f t="shared" si="896"/>
        <v>0</v>
      </c>
      <c r="AG412">
        <f t="shared" si="896"/>
        <v>0</v>
      </c>
      <c r="AH412">
        <f t="shared" si="896"/>
        <v>0</v>
      </c>
      <c r="AI412">
        <f t="shared" si="896"/>
        <v>0</v>
      </c>
      <c r="AJ412">
        <f t="shared" si="896"/>
        <v>0</v>
      </c>
      <c r="AK412" s="11">
        <f t="shared" si="896"/>
        <v>0</v>
      </c>
      <c r="AL412">
        <f t="shared" si="896"/>
        <v>0</v>
      </c>
      <c r="AM412">
        <f t="shared" si="896"/>
        <v>0</v>
      </c>
      <c r="AP412">
        <f t="shared" ref="AP412:BD412" si="897">AP228</f>
        <v>0</v>
      </c>
      <c r="AQ412" s="18" t="str">
        <f t="shared" si="897"/>
        <v>sum p5a-c</v>
      </c>
      <c r="AR412" s="50">
        <f t="shared" si="897"/>
        <v>7.633199129690689E-2</v>
      </c>
      <c r="AS412" s="500">
        <f t="shared" si="897"/>
        <v>0</v>
      </c>
      <c r="AT412" s="18">
        <f t="shared" si="897"/>
        <v>0</v>
      </c>
      <c r="AU412" s="12" t="str">
        <f t="shared" si="897"/>
        <v>ED</v>
      </c>
      <c r="AV412" s="33">
        <f t="shared" si="897"/>
        <v>1860.9835405546251</v>
      </c>
      <c r="AW412" s="450">
        <f t="shared" si="897"/>
        <v>1694.8242958622482</v>
      </c>
      <c r="AX412" s="450">
        <f t="shared" si="897"/>
        <v>2027.1427852470024</v>
      </c>
      <c r="AY412">
        <f t="shared" si="897"/>
        <v>0</v>
      </c>
      <c r="AZ412">
        <f t="shared" si="897"/>
        <v>0</v>
      </c>
      <c r="BA412">
        <f t="shared" si="897"/>
        <v>0</v>
      </c>
      <c r="BB412">
        <f t="shared" si="897"/>
        <v>0</v>
      </c>
      <c r="BC412">
        <f t="shared" si="897"/>
        <v>0</v>
      </c>
      <c r="BD412">
        <f t="shared" si="897"/>
        <v>0</v>
      </c>
    </row>
    <row r="413" spans="1:56" x14ac:dyDescent="0.3">
      <c r="A413">
        <f t="shared" ref="A413:K413" si="898">A229</f>
        <v>0</v>
      </c>
      <c r="B413">
        <f t="shared" si="898"/>
        <v>0</v>
      </c>
      <c r="C413">
        <f t="shared" si="898"/>
        <v>0</v>
      </c>
      <c r="D413">
        <f t="shared" si="898"/>
        <v>0</v>
      </c>
      <c r="E413">
        <f t="shared" si="898"/>
        <v>0</v>
      </c>
      <c r="F413">
        <f t="shared" si="898"/>
        <v>0</v>
      </c>
      <c r="G413">
        <f t="shared" si="898"/>
        <v>0</v>
      </c>
      <c r="H413" s="11">
        <f t="shared" si="898"/>
        <v>0</v>
      </c>
      <c r="I413">
        <f t="shared" si="898"/>
        <v>0</v>
      </c>
      <c r="J413">
        <f t="shared" si="898"/>
        <v>0</v>
      </c>
      <c r="K413">
        <f t="shared" si="898"/>
        <v>0</v>
      </c>
      <c r="N413" s="2" t="str">
        <f t="shared" ref="N413:AA413" si="899">N229</f>
        <v>Medically Attended for RSV</v>
      </c>
      <c r="O413" s="54">
        <f t="shared" si="899"/>
        <v>16560.117759152188</v>
      </c>
      <c r="P413">
        <f t="shared" si="899"/>
        <v>0</v>
      </c>
      <c r="Q413" s="11">
        <f t="shared" si="899"/>
        <v>0</v>
      </c>
      <c r="R413" s="2" t="str">
        <f t="shared" si="899"/>
        <v>p5b</v>
      </c>
      <c r="S413" s="61">
        <f t="shared" si="899"/>
        <v>4.4807535427121237E-2</v>
      </c>
      <c r="T413" s="451">
        <f t="shared" si="899"/>
        <v>4.4807535427121237E-2</v>
      </c>
      <c r="U413" s="451">
        <f t="shared" si="899"/>
        <v>4.4807535427121237E-2</v>
      </c>
      <c r="V413">
        <f t="shared" si="899"/>
        <v>0</v>
      </c>
      <c r="W413">
        <f t="shared" si="899"/>
        <v>0</v>
      </c>
      <c r="X413">
        <f t="shared" si="899"/>
        <v>0</v>
      </c>
      <c r="Y413">
        <f t="shared" si="899"/>
        <v>0</v>
      </c>
      <c r="Z413">
        <f t="shared" si="899"/>
        <v>0</v>
      </c>
      <c r="AA413">
        <f t="shared" si="899"/>
        <v>0</v>
      </c>
      <c r="AD413">
        <f t="shared" ref="AD413:AN413" si="900">AD229</f>
        <v>0</v>
      </c>
      <c r="AE413">
        <f t="shared" si="900"/>
        <v>0</v>
      </c>
      <c r="AF413">
        <f t="shared" si="900"/>
        <v>0</v>
      </c>
      <c r="AG413">
        <f t="shared" si="900"/>
        <v>0</v>
      </c>
      <c r="AH413">
        <f t="shared" si="900"/>
        <v>0</v>
      </c>
      <c r="AI413">
        <f t="shared" si="900"/>
        <v>0</v>
      </c>
      <c r="AJ413">
        <f t="shared" si="900"/>
        <v>0</v>
      </c>
      <c r="AK413" s="11">
        <f t="shared" si="900"/>
        <v>0</v>
      </c>
      <c r="AL413">
        <f t="shared" si="900"/>
        <v>0</v>
      </c>
      <c r="AM413">
        <f t="shared" si="900"/>
        <v>0</v>
      </c>
      <c r="AN413">
        <f t="shared" si="900"/>
        <v>0</v>
      </c>
      <c r="AQ413" s="2" t="str">
        <f t="shared" ref="AQ413:BD413" si="901">AQ229</f>
        <v>Medically Attended for RSV</v>
      </c>
      <c r="AR413" s="54">
        <f t="shared" si="901"/>
        <v>6796.9865886503203</v>
      </c>
      <c r="AS413">
        <f t="shared" si="901"/>
        <v>0</v>
      </c>
      <c r="AT413" s="11">
        <f t="shared" si="901"/>
        <v>0</v>
      </c>
      <c r="AU413" s="2" t="str">
        <f t="shared" si="901"/>
        <v>p5b</v>
      </c>
      <c r="AV413" s="61">
        <f t="shared" si="901"/>
        <v>2.0899346727931388E-2</v>
      </c>
      <c r="AW413" s="451">
        <f t="shared" si="901"/>
        <v>2.0899346727931388E-2</v>
      </c>
      <c r="AX413" s="451">
        <f t="shared" si="901"/>
        <v>2.0899346727931388E-2</v>
      </c>
      <c r="AY413">
        <f t="shared" si="901"/>
        <v>0</v>
      </c>
      <c r="AZ413">
        <f t="shared" si="901"/>
        <v>0</v>
      </c>
      <c r="BA413">
        <f t="shared" si="901"/>
        <v>0</v>
      </c>
      <c r="BB413">
        <f t="shared" si="901"/>
        <v>0</v>
      </c>
      <c r="BC413">
        <f t="shared" si="901"/>
        <v>0</v>
      </c>
      <c r="BD413">
        <f t="shared" si="901"/>
        <v>0</v>
      </c>
    </row>
    <row r="414" spans="1:56" x14ac:dyDescent="0.3">
      <c r="A414">
        <f t="shared" ref="A414:AA414" si="902">A230</f>
        <v>0</v>
      </c>
      <c r="B414">
        <f t="shared" si="902"/>
        <v>0</v>
      </c>
      <c r="C414">
        <f t="shared" si="902"/>
        <v>0</v>
      </c>
      <c r="D414">
        <f t="shared" si="902"/>
        <v>0</v>
      </c>
      <c r="E414">
        <f t="shared" si="902"/>
        <v>0</v>
      </c>
      <c r="F414">
        <f t="shared" si="902"/>
        <v>0</v>
      </c>
      <c r="G414">
        <f t="shared" si="902"/>
        <v>0</v>
      </c>
      <c r="H414" s="11">
        <f t="shared" si="902"/>
        <v>0</v>
      </c>
      <c r="I414">
        <f t="shared" si="902"/>
        <v>0</v>
      </c>
      <c r="J414">
        <f t="shared" si="902"/>
        <v>0</v>
      </c>
      <c r="K414">
        <f t="shared" si="902"/>
        <v>0</v>
      </c>
      <c r="L414">
        <f t="shared" si="902"/>
        <v>0</v>
      </c>
      <c r="M414">
        <f t="shared" si="902"/>
        <v>0</v>
      </c>
      <c r="N414" s="14"/>
      <c r="O414" s="71"/>
      <c r="P414">
        <f t="shared" si="902"/>
        <v>0</v>
      </c>
      <c r="Q414" s="11">
        <f t="shared" si="902"/>
        <v>0</v>
      </c>
      <c r="R414" s="2">
        <f t="shared" si="902"/>
        <v>0</v>
      </c>
      <c r="S414">
        <f t="shared" si="902"/>
        <v>0</v>
      </c>
      <c r="T414" s="452">
        <f t="shared" si="902"/>
        <v>0</v>
      </c>
      <c r="U414" s="452">
        <f t="shared" si="902"/>
        <v>0</v>
      </c>
      <c r="V414">
        <f t="shared" si="902"/>
        <v>0</v>
      </c>
      <c r="W414">
        <f t="shared" si="902"/>
        <v>0</v>
      </c>
      <c r="X414">
        <f t="shared" si="902"/>
        <v>0</v>
      </c>
      <c r="Y414">
        <f t="shared" si="902"/>
        <v>0</v>
      </c>
      <c r="Z414">
        <f t="shared" si="902"/>
        <v>0</v>
      </c>
      <c r="AA414">
        <f t="shared" si="902"/>
        <v>0</v>
      </c>
      <c r="AD414">
        <f t="shared" ref="AD414:AP414" si="903">AD230</f>
        <v>0</v>
      </c>
      <c r="AE414">
        <f t="shared" si="903"/>
        <v>0</v>
      </c>
      <c r="AF414">
        <f t="shared" si="903"/>
        <v>0</v>
      </c>
      <c r="AG414">
        <f t="shared" si="903"/>
        <v>0</v>
      </c>
      <c r="AH414">
        <f t="shared" si="903"/>
        <v>0</v>
      </c>
      <c r="AI414">
        <f t="shared" si="903"/>
        <v>0</v>
      </c>
      <c r="AJ414">
        <f t="shared" si="903"/>
        <v>0</v>
      </c>
      <c r="AK414" s="11">
        <f t="shared" si="903"/>
        <v>0</v>
      </c>
      <c r="AL414">
        <f t="shared" si="903"/>
        <v>0</v>
      </c>
      <c r="AM414">
        <f t="shared" si="903"/>
        <v>0</v>
      </c>
      <c r="AN414">
        <f t="shared" si="903"/>
        <v>0</v>
      </c>
      <c r="AO414">
        <f t="shared" si="903"/>
        <v>0</v>
      </c>
      <c r="AP414">
        <f t="shared" si="903"/>
        <v>0</v>
      </c>
      <c r="AQ414" s="14"/>
      <c r="AR414" s="71"/>
      <c r="AS414">
        <f t="shared" ref="AS414:BD414" si="904">AS230</f>
        <v>0</v>
      </c>
      <c r="AT414" s="11">
        <f t="shared" si="904"/>
        <v>0</v>
      </c>
      <c r="AU414" s="2">
        <f t="shared" si="904"/>
        <v>0</v>
      </c>
      <c r="AV414">
        <f t="shared" si="904"/>
        <v>0</v>
      </c>
      <c r="AW414" s="452">
        <f t="shared" si="904"/>
        <v>0</v>
      </c>
      <c r="AX414" s="452">
        <f t="shared" si="904"/>
        <v>0</v>
      </c>
      <c r="AY414">
        <f t="shared" si="904"/>
        <v>0</v>
      </c>
      <c r="AZ414">
        <f t="shared" si="904"/>
        <v>0</v>
      </c>
      <c r="BA414">
        <f t="shared" si="904"/>
        <v>0</v>
      </c>
      <c r="BB414">
        <f t="shared" si="904"/>
        <v>0</v>
      </c>
      <c r="BC414">
        <f t="shared" si="904"/>
        <v>0</v>
      </c>
      <c r="BD414">
        <f t="shared" si="904"/>
        <v>0</v>
      </c>
    </row>
    <row r="415" spans="1:56" x14ac:dyDescent="0.3">
      <c r="A415">
        <f t="shared" ref="A415:AA415" si="905">A231</f>
        <v>0</v>
      </c>
      <c r="B415">
        <f t="shared" si="905"/>
        <v>0</v>
      </c>
      <c r="C415">
        <f t="shared" si="905"/>
        <v>0</v>
      </c>
      <c r="D415">
        <f t="shared" si="905"/>
        <v>0</v>
      </c>
      <c r="E415">
        <f t="shared" si="905"/>
        <v>0</v>
      </c>
      <c r="F415">
        <f t="shared" si="905"/>
        <v>0</v>
      </c>
      <c r="G415">
        <f t="shared" si="905"/>
        <v>0</v>
      </c>
      <c r="H415" s="11">
        <f t="shared" si="905"/>
        <v>0</v>
      </c>
      <c r="I415">
        <f t="shared" si="905"/>
        <v>0</v>
      </c>
      <c r="J415">
        <f t="shared" si="905"/>
        <v>0</v>
      </c>
      <c r="K415">
        <f t="shared" si="905"/>
        <v>0</v>
      </c>
      <c r="L415">
        <f t="shared" si="905"/>
        <v>0</v>
      </c>
      <c r="M415">
        <f t="shared" si="905"/>
        <v>0</v>
      </c>
      <c r="N415" s="285"/>
      <c r="O415" s="71"/>
      <c r="P415">
        <f t="shared" si="905"/>
        <v>0</v>
      </c>
      <c r="Q415" s="18">
        <f t="shared" si="905"/>
        <v>0</v>
      </c>
      <c r="R415" s="12" t="str">
        <f t="shared" si="905"/>
        <v>Hospitalized</v>
      </c>
      <c r="S415" s="30">
        <f t="shared" si="905"/>
        <v>1062.949104422996</v>
      </c>
      <c r="T415" s="453">
        <f t="shared" si="905"/>
        <v>968.04293438522859</v>
      </c>
      <c r="U415" s="453">
        <f t="shared" si="905"/>
        <v>1157.8552744607637</v>
      </c>
      <c r="V415">
        <f t="shared" si="905"/>
        <v>0</v>
      </c>
      <c r="W415">
        <f t="shared" si="905"/>
        <v>0</v>
      </c>
      <c r="X415">
        <f t="shared" si="905"/>
        <v>0</v>
      </c>
      <c r="Y415">
        <f t="shared" si="905"/>
        <v>0</v>
      </c>
      <c r="Z415">
        <f t="shared" si="905"/>
        <v>0</v>
      </c>
      <c r="AA415">
        <f t="shared" si="905"/>
        <v>0</v>
      </c>
      <c r="AD415">
        <f t="shared" ref="AD415:AP415" si="906">AD231</f>
        <v>0</v>
      </c>
      <c r="AE415">
        <f t="shared" si="906"/>
        <v>0</v>
      </c>
      <c r="AF415">
        <f t="shared" si="906"/>
        <v>0</v>
      </c>
      <c r="AG415">
        <f t="shared" si="906"/>
        <v>0</v>
      </c>
      <c r="AH415">
        <f t="shared" si="906"/>
        <v>0</v>
      </c>
      <c r="AI415">
        <f t="shared" si="906"/>
        <v>0</v>
      </c>
      <c r="AJ415">
        <f t="shared" si="906"/>
        <v>0</v>
      </c>
      <c r="AK415" s="11">
        <f t="shared" si="906"/>
        <v>0</v>
      </c>
      <c r="AL415">
        <f t="shared" si="906"/>
        <v>0</v>
      </c>
      <c r="AM415">
        <f t="shared" si="906"/>
        <v>0</v>
      </c>
      <c r="AN415">
        <f t="shared" si="906"/>
        <v>0</v>
      </c>
      <c r="AO415">
        <f t="shared" si="906"/>
        <v>0</v>
      </c>
      <c r="AP415">
        <f t="shared" si="906"/>
        <v>0</v>
      </c>
      <c r="AQ415" s="285"/>
      <c r="AR415" s="71"/>
      <c r="AS415">
        <f t="shared" ref="AS415:BD415" si="907">AS231</f>
        <v>0</v>
      </c>
      <c r="AT415" s="18">
        <f t="shared" si="907"/>
        <v>0</v>
      </c>
      <c r="AU415" s="12" t="str">
        <f t="shared" si="907"/>
        <v>Hospitalized</v>
      </c>
      <c r="AV415" s="30">
        <f t="shared" si="907"/>
        <v>256.40607501320306</v>
      </c>
      <c r="AW415" s="453">
        <f t="shared" si="907"/>
        <v>233.51267545845283</v>
      </c>
      <c r="AX415" s="453">
        <f t="shared" si="907"/>
        <v>279.29947456795338</v>
      </c>
      <c r="AY415">
        <f t="shared" si="907"/>
        <v>0</v>
      </c>
      <c r="AZ415">
        <f t="shared" si="907"/>
        <v>0</v>
      </c>
      <c r="BA415">
        <f t="shared" si="907"/>
        <v>0</v>
      </c>
      <c r="BB415">
        <f t="shared" si="907"/>
        <v>0</v>
      </c>
      <c r="BC415">
        <f t="shared" si="907"/>
        <v>0</v>
      </c>
      <c r="BD415">
        <f t="shared" si="907"/>
        <v>0</v>
      </c>
    </row>
    <row r="416" spans="1:56" x14ac:dyDescent="0.3">
      <c r="A416">
        <f t="shared" ref="A416:AA416" si="908">A232</f>
        <v>0</v>
      </c>
      <c r="B416">
        <f t="shared" si="908"/>
        <v>0</v>
      </c>
      <c r="C416">
        <f t="shared" si="908"/>
        <v>0</v>
      </c>
      <c r="D416">
        <f t="shared" si="908"/>
        <v>0</v>
      </c>
      <c r="E416">
        <f t="shared" si="908"/>
        <v>0</v>
      </c>
      <c r="F416">
        <f t="shared" si="908"/>
        <v>0</v>
      </c>
      <c r="G416">
        <f t="shared" si="908"/>
        <v>0</v>
      </c>
      <c r="H416" s="11">
        <f t="shared" si="908"/>
        <v>0</v>
      </c>
      <c r="I416">
        <f t="shared" si="908"/>
        <v>0</v>
      </c>
      <c r="J416">
        <f t="shared" si="908"/>
        <v>0</v>
      </c>
      <c r="K416">
        <f t="shared" si="908"/>
        <v>0</v>
      </c>
      <c r="L416" s="22">
        <f t="shared" si="908"/>
        <v>0</v>
      </c>
      <c r="M416">
        <f t="shared" si="908"/>
        <v>0</v>
      </c>
      <c r="N416">
        <f t="shared" si="908"/>
        <v>0</v>
      </c>
      <c r="O416" s="71">
        <f t="shared" si="908"/>
        <v>0</v>
      </c>
      <c r="P416">
        <f t="shared" si="908"/>
        <v>0</v>
      </c>
      <c r="Q416">
        <f t="shared" si="908"/>
        <v>0</v>
      </c>
      <c r="R416" s="2" t="str">
        <f t="shared" si="908"/>
        <v>p5a</v>
      </c>
      <c r="S416" s="61">
        <f t="shared" si="908"/>
        <v>1.1937204925982133E-2</v>
      </c>
      <c r="T416" s="451">
        <f t="shared" si="908"/>
        <v>1.1937204925982133E-2</v>
      </c>
      <c r="U416" s="451">
        <f t="shared" si="908"/>
        <v>1.1937204925982133E-2</v>
      </c>
      <c r="V416">
        <f t="shared" si="908"/>
        <v>0</v>
      </c>
      <c r="W416">
        <f t="shared" si="908"/>
        <v>0</v>
      </c>
      <c r="X416">
        <f t="shared" si="908"/>
        <v>0</v>
      </c>
      <c r="Y416">
        <f t="shared" si="908"/>
        <v>0</v>
      </c>
      <c r="Z416">
        <f t="shared" si="908"/>
        <v>0</v>
      </c>
      <c r="AA416">
        <f t="shared" si="908"/>
        <v>0</v>
      </c>
      <c r="AD416">
        <f t="shared" ref="AD416:BD416" si="909">AD232</f>
        <v>0</v>
      </c>
      <c r="AE416">
        <f t="shared" si="909"/>
        <v>0</v>
      </c>
      <c r="AF416">
        <f t="shared" si="909"/>
        <v>0</v>
      </c>
      <c r="AG416">
        <f t="shared" si="909"/>
        <v>0</v>
      </c>
      <c r="AH416">
        <f t="shared" si="909"/>
        <v>0</v>
      </c>
      <c r="AI416">
        <f t="shared" si="909"/>
        <v>0</v>
      </c>
      <c r="AJ416">
        <f t="shared" si="909"/>
        <v>0</v>
      </c>
      <c r="AK416" s="11">
        <f t="shared" si="909"/>
        <v>0</v>
      </c>
      <c r="AL416">
        <f t="shared" si="909"/>
        <v>0</v>
      </c>
      <c r="AM416">
        <f t="shared" si="909"/>
        <v>0</v>
      </c>
      <c r="AN416">
        <f t="shared" si="909"/>
        <v>0</v>
      </c>
      <c r="AO416" s="22">
        <f t="shared" si="909"/>
        <v>0</v>
      </c>
      <c r="AP416">
        <f t="shared" si="909"/>
        <v>0</v>
      </c>
      <c r="AQ416">
        <f t="shared" si="909"/>
        <v>0</v>
      </c>
      <c r="AR416" s="71">
        <f t="shared" si="909"/>
        <v>0</v>
      </c>
      <c r="AS416">
        <f t="shared" si="909"/>
        <v>0</v>
      </c>
      <c r="AT416">
        <f t="shared" si="909"/>
        <v>0</v>
      </c>
      <c r="AU416" s="2" t="str">
        <f t="shared" si="909"/>
        <v>p5a</v>
      </c>
      <c r="AV416" s="61">
        <f t="shared" si="909"/>
        <v>2.879509328304896E-3</v>
      </c>
      <c r="AW416" s="451">
        <f t="shared" si="909"/>
        <v>2.879509328304896E-3</v>
      </c>
      <c r="AX416" s="451">
        <f t="shared" si="909"/>
        <v>2.879509328304896E-3</v>
      </c>
      <c r="AY416">
        <f t="shared" si="909"/>
        <v>0</v>
      </c>
      <c r="AZ416">
        <f t="shared" si="909"/>
        <v>0</v>
      </c>
      <c r="BA416">
        <f t="shared" si="909"/>
        <v>0</v>
      </c>
      <c r="BB416">
        <f t="shared" si="909"/>
        <v>0</v>
      </c>
      <c r="BC416">
        <f t="shared" si="909"/>
        <v>0</v>
      </c>
      <c r="BD416">
        <f t="shared" si="909"/>
        <v>0</v>
      </c>
    </row>
    <row r="417" spans="1:56" x14ac:dyDescent="0.3">
      <c r="A417">
        <f t="shared" ref="A417:AA417" si="910">A233</f>
        <v>0</v>
      </c>
      <c r="B417">
        <f t="shared" si="910"/>
        <v>0</v>
      </c>
      <c r="C417">
        <f t="shared" si="910"/>
        <v>0</v>
      </c>
      <c r="D417">
        <f t="shared" si="910"/>
        <v>0</v>
      </c>
      <c r="E417">
        <f t="shared" si="910"/>
        <v>0</v>
      </c>
      <c r="F417">
        <f t="shared" si="910"/>
        <v>0</v>
      </c>
      <c r="G417">
        <f t="shared" si="910"/>
        <v>0</v>
      </c>
      <c r="H417" s="11">
        <f t="shared" si="910"/>
        <v>0</v>
      </c>
      <c r="I417">
        <f t="shared" si="910"/>
        <v>0</v>
      </c>
      <c r="J417">
        <f t="shared" si="910"/>
        <v>0</v>
      </c>
      <c r="K417">
        <f t="shared" si="910"/>
        <v>0</v>
      </c>
      <c r="L417">
        <f t="shared" si="910"/>
        <v>0</v>
      </c>
      <c r="M417">
        <f t="shared" si="910"/>
        <v>0</v>
      </c>
      <c r="N417">
        <f t="shared" si="910"/>
        <v>0</v>
      </c>
      <c r="O417">
        <f t="shared" si="910"/>
        <v>0</v>
      </c>
      <c r="P417">
        <f t="shared" si="910"/>
        <v>0</v>
      </c>
      <c r="Q417">
        <f t="shared" si="910"/>
        <v>0</v>
      </c>
      <c r="R417">
        <f t="shared" si="910"/>
        <v>0</v>
      </c>
      <c r="S417">
        <f t="shared" si="910"/>
        <v>0</v>
      </c>
      <c r="T417">
        <f t="shared" si="910"/>
        <v>0</v>
      </c>
      <c r="U417">
        <f t="shared" si="910"/>
        <v>0</v>
      </c>
      <c r="V417">
        <f t="shared" si="910"/>
        <v>0</v>
      </c>
      <c r="W417">
        <f t="shared" si="910"/>
        <v>0</v>
      </c>
      <c r="X417">
        <f t="shared" si="910"/>
        <v>0</v>
      </c>
      <c r="Y417">
        <f t="shared" si="910"/>
        <v>0</v>
      </c>
      <c r="Z417">
        <f t="shared" si="910"/>
        <v>0</v>
      </c>
      <c r="AA417">
        <f t="shared" si="910"/>
        <v>0</v>
      </c>
      <c r="AD417">
        <f t="shared" ref="AD417:BD417" si="911">AD233</f>
        <v>0</v>
      </c>
      <c r="AE417">
        <f t="shared" si="911"/>
        <v>0</v>
      </c>
      <c r="AF417">
        <f t="shared" si="911"/>
        <v>0</v>
      </c>
      <c r="AG417">
        <f t="shared" si="911"/>
        <v>0</v>
      </c>
      <c r="AH417">
        <f t="shared" si="911"/>
        <v>0</v>
      </c>
      <c r="AI417">
        <f t="shared" si="911"/>
        <v>0</v>
      </c>
      <c r="AJ417">
        <f t="shared" si="911"/>
        <v>0</v>
      </c>
      <c r="AK417" s="11">
        <f t="shared" si="911"/>
        <v>0</v>
      </c>
      <c r="AL417">
        <f t="shared" si="911"/>
        <v>0</v>
      </c>
      <c r="AM417">
        <f t="shared" si="911"/>
        <v>0</v>
      </c>
      <c r="AN417">
        <f t="shared" si="911"/>
        <v>0</v>
      </c>
      <c r="AO417">
        <f t="shared" si="911"/>
        <v>0</v>
      </c>
      <c r="AP417">
        <f t="shared" si="911"/>
        <v>0</v>
      </c>
      <c r="AQ417">
        <f t="shared" si="911"/>
        <v>0</v>
      </c>
      <c r="AR417">
        <f t="shared" si="911"/>
        <v>0</v>
      </c>
      <c r="AS417">
        <f t="shared" si="911"/>
        <v>0</v>
      </c>
      <c r="AT417">
        <f t="shared" si="911"/>
        <v>0</v>
      </c>
      <c r="AU417">
        <f t="shared" si="911"/>
        <v>0</v>
      </c>
      <c r="AV417">
        <f t="shared" si="911"/>
        <v>0</v>
      </c>
      <c r="AW417">
        <f t="shared" si="911"/>
        <v>0</v>
      </c>
      <c r="AX417">
        <f t="shared" si="911"/>
        <v>0</v>
      </c>
      <c r="AY417">
        <f t="shared" si="911"/>
        <v>0</v>
      </c>
      <c r="AZ417">
        <f t="shared" si="911"/>
        <v>0</v>
      </c>
      <c r="BA417">
        <f t="shared" si="911"/>
        <v>0</v>
      </c>
      <c r="BB417">
        <f t="shared" si="911"/>
        <v>0</v>
      </c>
      <c r="BC417">
        <f t="shared" si="911"/>
        <v>0</v>
      </c>
      <c r="BD417">
        <f t="shared" si="911"/>
        <v>0</v>
      </c>
    </row>
    <row r="418" spans="1:56" x14ac:dyDescent="0.3">
      <c r="A418" t="str">
        <f t="shared" ref="A418:AA418" si="912">A234</f>
        <v>sum check row</v>
      </c>
      <c r="B418">
        <f t="shared" si="912"/>
        <v>0</v>
      </c>
      <c r="C418">
        <f t="shared" si="912"/>
        <v>0</v>
      </c>
      <c r="D418">
        <f t="shared" si="912"/>
        <v>0</v>
      </c>
      <c r="E418">
        <f t="shared" si="912"/>
        <v>0</v>
      </c>
      <c r="F418">
        <f t="shared" si="912"/>
        <v>0</v>
      </c>
      <c r="G418">
        <f t="shared" si="912"/>
        <v>0</v>
      </c>
      <c r="H418" s="11">
        <f t="shared" si="912"/>
        <v>0</v>
      </c>
      <c r="I418">
        <f t="shared" si="912"/>
        <v>0</v>
      </c>
      <c r="J418">
        <f t="shared" si="912"/>
        <v>0</v>
      </c>
      <c r="K418" s="2">
        <f t="shared" si="912"/>
        <v>0</v>
      </c>
      <c r="L418" s="21">
        <f t="shared" si="912"/>
        <v>0</v>
      </c>
      <c r="M418" s="28">
        <f t="shared" si="912"/>
        <v>0</v>
      </c>
      <c r="N418" s="55">
        <f t="shared" si="912"/>
        <v>0</v>
      </c>
      <c r="O418" s="21">
        <f t="shared" si="912"/>
        <v>0</v>
      </c>
      <c r="P418" s="28">
        <f t="shared" si="912"/>
        <v>0</v>
      </c>
      <c r="Q418" s="28">
        <f t="shared" si="912"/>
        <v>0</v>
      </c>
      <c r="R418" s="55" t="str">
        <f t="shared" si="912"/>
        <v>sum check</v>
      </c>
      <c r="S418" s="56">
        <f t="shared" si="912"/>
        <v>16560.117759152188</v>
      </c>
      <c r="T418" s="56">
        <f t="shared" si="912"/>
        <v>0</v>
      </c>
      <c r="U418">
        <f t="shared" si="912"/>
        <v>0</v>
      </c>
      <c r="V418" s="55" t="str">
        <f t="shared" si="912"/>
        <v>sum check</v>
      </c>
      <c r="W418" s="56">
        <f t="shared" si="912"/>
        <v>14975.631297309001</v>
      </c>
      <c r="X418">
        <f t="shared" si="912"/>
        <v>0</v>
      </c>
      <c r="Y418">
        <f t="shared" si="912"/>
        <v>0</v>
      </c>
      <c r="Z418">
        <f t="shared" si="912"/>
        <v>0</v>
      </c>
      <c r="AA418">
        <f t="shared" si="912"/>
        <v>0</v>
      </c>
      <c r="AD418" t="str">
        <f t="shared" ref="AD418:BD418" si="913">AD234</f>
        <v>sum check row</v>
      </c>
      <c r="AE418">
        <f t="shared" si="913"/>
        <v>0</v>
      </c>
      <c r="AF418">
        <f t="shared" si="913"/>
        <v>0</v>
      </c>
      <c r="AG418">
        <f t="shared" si="913"/>
        <v>0</v>
      </c>
      <c r="AH418">
        <f t="shared" si="913"/>
        <v>0</v>
      </c>
      <c r="AI418">
        <f t="shared" si="913"/>
        <v>0</v>
      </c>
      <c r="AJ418">
        <f t="shared" si="913"/>
        <v>0</v>
      </c>
      <c r="AK418" s="11">
        <f t="shared" si="913"/>
        <v>0</v>
      </c>
      <c r="AL418">
        <f t="shared" si="913"/>
        <v>0</v>
      </c>
      <c r="AM418">
        <f t="shared" si="913"/>
        <v>0</v>
      </c>
      <c r="AN418" s="2">
        <f t="shared" si="913"/>
        <v>0</v>
      </c>
      <c r="AO418" s="21">
        <f t="shared" si="913"/>
        <v>0</v>
      </c>
      <c r="AP418" s="28">
        <f t="shared" si="913"/>
        <v>0</v>
      </c>
      <c r="AQ418" s="55">
        <f t="shared" si="913"/>
        <v>0</v>
      </c>
      <c r="AR418" s="21">
        <f t="shared" si="913"/>
        <v>0</v>
      </c>
      <c r="AS418" s="28">
        <f t="shared" si="913"/>
        <v>0</v>
      </c>
      <c r="AT418" s="28">
        <f t="shared" si="913"/>
        <v>0</v>
      </c>
      <c r="AU418" s="55" t="str">
        <f t="shared" si="913"/>
        <v>sum check</v>
      </c>
      <c r="AV418" s="56">
        <f t="shared" si="913"/>
        <v>6796.9865886503212</v>
      </c>
      <c r="AW418" s="56">
        <f t="shared" si="913"/>
        <v>0</v>
      </c>
      <c r="AX418">
        <f t="shared" si="913"/>
        <v>0</v>
      </c>
      <c r="AY418" s="55" t="str">
        <f t="shared" si="913"/>
        <v>sum check</v>
      </c>
      <c r="AZ418" s="56">
        <f t="shared" si="913"/>
        <v>3398.9882398423379</v>
      </c>
      <c r="BA418">
        <f t="shared" si="913"/>
        <v>0</v>
      </c>
      <c r="BB418">
        <f t="shared" si="913"/>
        <v>0</v>
      </c>
      <c r="BC418">
        <f t="shared" si="913"/>
        <v>0</v>
      </c>
      <c r="BD418">
        <f t="shared" si="913"/>
        <v>0</v>
      </c>
    </row>
    <row r="419" spans="1:56" x14ac:dyDescent="0.3">
      <c r="A419">
        <f t="shared" ref="A419:AA419" si="914">A235</f>
        <v>0</v>
      </c>
      <c r="B419">
        <f t="shared" si="914"/>
        <v>0</v>
      </c>
      <c r="C419">
        <f t="shared" si="914"/>
        <v>0</v>
      </c>
      <c r="D419">
        <f t="shared" si="914"/>
        <v>0</v>
      </c>
      <c r="G419">
        <f t="shared" si="914"/>
        <v>0</v>
      </c>
      <c r="H419" s="11">
        <f t="shared" si="914"/>
        <v>0</v>
      </c>
      <c r="I419">
        <f t="shared" si="914"/>
        <v>0</v>
      </c>
      <c r="J419">
        <f t="shared" si="914"/>
        <v>0</v>
      </c>
      <c r="K419">
        <f t="shared" si="914"/>
        <v>0</v>
      </c>
      <c r="L419">
        <f t="shared" si="914"/>
        <v>0</v>
      </c>
      <c r="M419">
        <f t="shared" si="914"/>
        <v>0</v>
      </c>
      <c r="N419">
        <f t="shared" si="914"/>
        <v>0</v>
      </c>
      <c r="O419">
        <f t="shared" si="914"/>
        <v>0</v>
      </c>
      <c r="P419">
        <f t="shared" si="914"/>
        <v>0</v>
      </c>
      <c r="Q419">
        <f t="shared" si="914"/>
        <v>0</v>
      </c>
      <c r="R419">
        <f t="shared" si="914"/>
        <v>0</v>
      </c>
      <c r="S419">
        <f t="shared" si="914"/>
        <v>0</v>
      </c>
      <c r="T419">
        <f t="shared" si="914"/>
        <v>0</v>
      </c>
      <c r="U419">
        <f t="shared" si="914"/>
        <v>0</v>
      </c>
      <c r="V419">
        <f t="shared" si="914"/>
        <v>0</v>
      </c>
      <c r="W419">
        <f t="shared" si="914"/>
        <v>0</v>
      </c>
      <c r="X419">
        <f t="shared" si="914"/>
        <v>0</v>
      </c>
      <c r="Y419">
        <f t="shared" si="914"/>
        <v>0</v>
      </c>
      <c r="Z419">
        <f t="shared" si="914"/>
        <v>0</v>
      </c>
      <c r="AA419">
        <f t="shared" si="914"/>
        <v>0</v>
      </c>
      <c r="AD419">
        <f t="shared" ref="AD419:AG419" si="915">AD235</f>
        <v>0</v>
      </c>
      <c r="AE419">
        <f t="shared" si="915"/>
        <v>0</v>
      </c>
      <c r="AF419">
        <f t="shared" si="915"/>
        <v>0</v>
      </c>
      <c r="AG419">
        <f t="shared" si="915"/>
        <v>0</v>
      </c>
      <c r="AJ419">
        <f t="shared" ref="AJ419:BD419" si="916">AJ235</f>
        <v>0</v>
      </c>
      <c r="AK419" s="11">
        <f t="shared" si="916"/>
        <v>0</v>
      </c>
      <c r="AL419">
        <f t="shared" si="916"/>
        <v>0</v>
      </c>
      <c r="AM419">
        <f t="shared" si="916"/>
        <v>0</v>
      </c>
      <c r="AN419">
        <f t="shared" si="916"/>
        <v>0</v>
      </c>
      <c r="AO419">
        <f t="shared" si="916"/>
        <v>0</v>
      </c>
      <c r="AP419">
        <f t="shared" si="916"/>
        <v>0</v>
      </c>
      <c r="AQ419">
        <f t="shared" si="916"/>
        <v>0</v>
      </c>
      <c r="AR419">
        <f t="shared" si="916"/>
        <v>0</v>
      </c>
      <c r="AS419">
        <f t="shared" si="916"/>
        <v>0</v>
      </c>
      <c r="AT419">
        <f t="shared" si="916"/>
        <v>0</v>
      </c>
      <c r="AU419">
        <f t="shared" si="916"/>
        <v>0</v>
      </c>
      <c r="AV419">
        <f t="shared" si="916"/>
        <v>0</v>
      </c>
      <c r="AW419">
        <f t="shared" si="916"/>
        <v>0</v>
      </c>
      <c r="AX419">
        <f t="shared" si="916"/>
        <v>0</v>
      </c>
      <c r="AY419">
        <f t="shared" si="916"/>
        <v>0</v>
      </c>
      <c r="AZ419">
        <f t="shared" si="916"/>
        <v>0</v>
      </c>
      <c r="BA419">
        <f t="shared" si="916"/>
        <v>0</v>
      </c>
      <c r="BB419">
        <f t="shared" si="916"/>
        <v>0</v>
      </c>
      <c r="BC419">
        <f t="shared" si="916"/>
        <v>0</v>
      </c>
      <c r="BD419">
        <f t="shared" si="916"/>
        <v>0</v>
      </c>
    </row>
    <row r="420" spans="1:56" x14ac:dyDescent="0.3">
      <c r="A420">
        <f t="shared" ref="A420:AA420" si="917">A236</f>
        <v>0</v>
      </c>
      <c r="B420">
        <f t="shared" si="917"/>
        <v>0</v>
      </c>
      <c r="C420">
        <f t="shared" si="917"/>
        <v>0</v>
      </c>
      <c r="D420">
        <f t="shared" si="917"/>
        <v>0</v>
      </c>
      <c r="G420">
        <f t="shared" si="917"/>
        <v>0</v>
      </c>
      <c r="H420" s="11">
        <f t="shared" si="917"/>
        <v>0</v>
      </c>
      <c r="I420">
        <f t="shared" si="917"/>
        <v>0</v>
      </c>
      <c r="J420">
        <f t="shared" si="917"/>
        <v>0</v>
      </c>
      <c r="K420">
        <f t="shared" si="917"/>
        <v>0</v>
      </c>
      <c r="L420">
        <f t="shared" si="917"/>
        <v>0</v>
      </c>
      <c r="M420">
        <f t="shared" si="917"/>
        <v>0</v>
      </c>
      <c r="N420">
        <f t="shared" si="917"/>
        <v>0</v>
      </c>
      <c r="O420">
        <f t="shared" si="917"/>
        <v>0</v>
      </c>
      <c r="P420">
        <f t="shared" si="917"/>
        <v>0</v>
      </c>
      <c r="Q420">
        <f t="shared" si="917"/>
        <v>0</v>
      </c>
      <c r="R420">
        <f t="shared" si="917"/>
        <v>0</v>
      </c>
      <c r="S420">
        <f t="shared" si="917"/>
        <v>0</v>
      </c>
      <c r="T420">
        <f t="shared" si="917"/>
        <v>0</v>
      </c>
      <c r="U420">
        <f t="shared" si="917"/>
        <v>0</v>
      </c>
      <c r="V420">
        <f t="shared" si="917"/>
        <v>0</v>
      </c>
      <c r="W420">
        <f t="shared" si="917"/>
        <v>0</v>
      </c>
      <c r="X420">
        <f t="shared" si="917"/>
        <v>0</v>
      </c>
      <c r="Y420">
        <f t="shared" si="917"/>
        <v>0</v>
      </c>
      <c r="Z420">
        <f t="shared" si="917"/>
        <v>0</v>
      </c>
      <c r="AA420">
        <f t="shared" si="917"/>
        <v>0</v>
      </c>
      <c r="AD420">
        <f t="shared" ref="AD420:AG420" si="918">AD236</f>
        <v>0</v>
      </c>
      <c r="AE420">
        <f t="shared" si="918"/>
        <v>0</v>
      </c>
      <c r="AF420">
        <f t="shared" si="918"/>
        <v>0</v>
      </c>
      <c r="AG420">
        <f t="shared" si="918"/>
        <v>0</v>
      </c>
      <c r="AJ420">
        <f t="shared" ref="AJ420:BD420" si="919">AJ236</f>
        <v>0</v>
      </c>
      <c r="AK420" s="11">
        <f t="shared" si="919"/>
        <v>0</v>
      </c>
      <c r="AL420">
        <f t="shared" si="919"/>
        <v>0</v>
      </c>
      <c r="AM420">
        <f t="shared" si="919"/>
        <v>0</v>
      </c>
      <c r="AN420">
        <f t="shared" si="919"/>
        <v>0</v>
      </c>
      <c r="AO420">
        <f t="shared" si="919"/>
        <v>0</v>
      </c>
      <c r="AP420">
        <f t="shared" si="919"/>
        <v>0</v>
      </c>
      <c r="AQ420">
        <f t="shared" si="919"/>
        <v>0</v>
      </c>
      <c r="AR420">
        <f t="shared" si="919"/>
        <v>0</v>
      </c>
      <c r="AS420">
        <f t="shared" si="919"/>
        <v>0</v>
      </c>
      <c r="AT420">
        <f t="shared" si="919"/>
        <v>0</v>
      </c>
      <c r="AU420">
        <f t="shared" si="919"/>
        <v>0</v>
      </c>
      <c r="AV420">
        <f t="shared" si="919"/>
        <v>0</v>
      </c>
      <c r="AW420">
        <f t="shared" si="919"/>
        <v>0</v>
      </c>
      <c r="AX420">
        <f t="shared" si="919"/>
        <v>0</v>
      </c>
      <c r="AY420">
        <f t="shared" si="919"/>
        <v>0</v>
      </c>
      <c r="AZ420">
        <f t="shared" si="919"/>
        <v>0</v>
      </c>
      <c r="BA420">
        <f t="shared" si="919"/>
        <v>0</v>
      </c>
      <c r="BB420">
        <f t="shared" si="919"/>
        <v>0</v>
      </c>
      <c r="BC420">
        <f t="shared" si="919"/>
        <v>0</v>
      </c>
      <c r="BD420">
        <f t="shared" si="919"/>
        <v>0</v>
      </c>
    </row>
    <row r="421" spans="1:56" x14ac:dyDescent="0.3">
      <c r="A421">
        <f t="shared" ref="A421:D421" si="920">A237</f>
        <v>0</v>
      </c>
      <c r="B421">
        <f t="shared" si="920"/>
        <v>0</v>
      </c>
      <c r="D421" s="438" t="str">
        <f t="shared" si="920"/>
        <v>Obtain Maternal Candidate</v>
      </c>
      <c r="E421" s="438"/>
      <c r="F421" s="33">
        <f t="shared" ref="F421:AA421" si="921">F237</f>
        <v>2209690</v>
      </c>
      <c r="G421" s="438">
        <f t="shared" si="921"/>
        <v>0</v>
      </c>
      <c r="H421" s="11">
        <f t="shared" si="921"/>
        <v>0</v>
      </c>
      <c r="I421">
        <f t="shared" si="921"/>
        <v>0</v>
      </c>
      <c r="J421">
        <f t="shared" si="921"/>
        <v>0</v>
      </c>
      <c r="K421">
        <f t="shared" si="921"/>
        <v>0</v>
      </c>
      <c r="L421">
        <f t="shared" si="921"/>
        <v>0</v>
      </c>
      <c r="M421">
        <f t="shared" si="921"/>
        <v>0</v>
      </c>
      <c r="N421">
        <f t="shared" si="921"/>
        <v>0</v>
      </c>
      <c r="O421">
        <f t="shared" si="921"/>
        <v>0</v>
      </c>
      <c r="P421">
        <f t="shared" si="921"/>
        <v>0</v>
      </c>
      <c r="Q421">
        <f t="shared" si="921"/>
        <v>0</v>
      </c>
      <c r="R421">
        <f t="shared" si="921"/>
        <v>0</v>
      </c>
      <c r="S421">
        <f t="shared" si="921"/>
        <v>0</v>
      </c>
      <c r="T421">
        <f t="shared" si="921"/>
        <v>0</v>
      </c>
      <c r="U421">
        <f t="shared" si="921"/>
        <v>0</v>
      </c>
      <c r="V421">
        <f t="shared" si="921"/>
        <v>0</v>
      </c>
      <c r="W421">
        <f t="shared" si="921"/>
        <v>0</v>
      </c>
      <c r="X421">
        <f t="shared" si="921"/>
        <v>0</v>
      </c>
      <c r="Y421">
        <f t="shared" si="921"/>
        <v>0</v>
      </c>
      <c r="Z421">
        <f t="shared" si="921"/>
        <v>0</v>
      </c>
      <c r="AA421">
        <f t="shared" si="921"/>
        <v>0</v>
      </c>
      <c r="AD421">
        <f t="shared" ref="AD421:AG421" si="922">AD237</f>
        <v>0</v>
      </c>
      <c r="AE421">
        <f t="shared" si="922"/>
        <v>0</v>
      </c>
      <c r="AF421">
        <f t="shared" si="922"/>
        <v>0</v>
      </c>
      <c r="AG421" s="500" t="str">
        <f t="shared" si="922"/>
        <v>Obtain Maternal Candidate</v>
      </c>
      <c r="AH421" s="500"/>
      <c r="AI421" s="33">
        <f t="shared" ref="AI421:BD421" si="923">AI237</f>
        <v>2209690</v>
      </c>
      <c r="AJ421" s="500">
        <f t="shared" si="923"/>
        <v>0</v>
      </c>
      <c r="AK421" s="11">
        <f t="shared" si="923"/>
        <v>0</v>
      </c>
      <c r="AL421">
        <f t="shared" si="923"/>
        <v>0</v>
      </c>
      <c r="AM421">
        <f t="shared" si="923"/>
        <v>0</v>
      </c>
      <c r="AN421">
        <f t="shared" si="923"/>
        <v>0</v>
      </c>
      <c r="AO421">
        <f t="shared" si="923"/>
        <v>0</v>
      </c>
      <c r="AP421">
        <f t="shared" si="923"/>
        <v>0</v>
      </c>
      <c r="AQ421">
        <f t="shared" si="923"/>
        <v>0</v>
      </c>
      <c r="AR421">
        <f t="shared" si="923"/>
        <v>0</v>
      </c>
      <c r="AS421">
        <f t="shared" si="923"/>
        <v>0</v>
      </c>
      <c r="AT421">
        <f t="shared" si="923"/>
        <v>0</v>
      </c>
      <c r="AU421">
        <f t="shared" si="923"/>
        <v>0</v>
      </c>
      <c r="AV421">
        <f t="shared" si="923"/>
        <v>0</v>
      </c>
      <c r="AW421">
        <f t="shared" si="923"/>
        <v>0</v>
      </c>
      <c r="AX421">
        <f t="shared" si="923"/>
        <v>0</v>
      </c>
      <c r="AY421">
        <f t="shared" si="923"/>
        <v>0</v>
      </c>
      <c r="AZ421">
        <f t="shared" si="923"/>
        <v>0</v>
      </c>
      <c r="BA421">
        <f t="shared" si="923"/>
        <v>0</v>
      </c>
      <c r="BB421">
        <f t="shared" si="923"/>
        <v>0</v>
      </c>
      <c r="BC421">
        <f t="shared" si="923"/>
        <v>0</v>
      </c>
      <c r="BD421">
        <f t="shared" si="923"/>
        <v>0</v>
      </c>
    </row>
    <row r="422" spans="1:56" x14ac:dyDescent="0.3">
      <c r="A422">
        <f t="shared" ref="A422:AA422" si="924">A238</f>
        <v>0</v>
      </c>
      <c r="B422">
        <f t="shared" si="924"/>
        <v>0</v>
      </c>
      <c r="C422">
        <f t="shared" si="924"/>
        <v>0</v>
      </c>
      <c r="D422" s="11">
        <f t="shared" si="924"/>
        <v>0</v>
      </c>
      <c r="E422" s="14" t="str">
        <f t="shared" si="924"/>
        <v>p7</v>
      </c>
      <c r="F422" s="50">
        <f t="shared" si="924"/>
        <v>0.56000000000000005</v>
      </c>
      <c r="G422">
        <f t="shared" si="924"/>
        <v>0</v>
      </c>
      <c r="H422" s="11">
        <f t="shared" si="924"/>
        <v>0</v>
      </c>
      <c r="I422">
        <f t="shared" si="924"/>
        <v>0</v>
      </c>
      <c r="J422">
        <f t="shared" si="924"/>
        <v>0</v>
      </c>
      <c r="K422">
        <f t="shared" si="924"/>
        <v>0</v>
      </c>
      <c r="L422">
        <f t="shared" si="924"/>
        <v>0</v>
      </c>
      <c r="M422">
        <f t="shared" si="924"/>
        <v>0</v>
      </c>
      <c r="N422">
        <f t="shared" si="924"/>
        <v>0</v>
      </c>
      <c r="O422">
        <f t="shared" si="924"/>
        <v>0</v>
      </c>
      <c r="P422">
        <f t="shared" si="924"/>
        <v>0</v>
      </c>
      <c r="Q422">
        <f t="shared" si="924"/>
        <v>0</v>
      </c>
      <c r="R422">
        <f t="shared" si="924"/>
        <v>0</v>
      </c>
      <c r="S422">
        <f t="shared" si="924"/>
        <v>0</v>
      </c>
      <c r="T422">
        <f t="shared" si="924"/>
        <v>0</v>
      </c>
      <c r="U422">
        <f t="shared" si="924"/>
        <v>0</v>
      </c>
      <c r="V422">
        <f t="shared" si="924"/>
        <v>0</v>
      </c>
      <c r="W422">
        <f t="shared" si="924"/>
        <v>0</v>
      </c>
      <c r="X422">
        <f t="shared" si="924"/>
        <v>0</v>
      </c>
      <c r="Y422">
        <f t="shared" si="924"/>
        <v>0</v>
      </c>
      <c r="Z422">
        <f t="shared" si="924"/>
        <v>0</v>
      </c>
      <c r="AA422">
        <f t="shared" si="924"/>
        <v>0</v>
      </c>
      <c r="AD422">
        <f t="shared" ref="AD422:BD422" si="925">AD238</f>
        <v>0</v>
      </c>
      <c r="AE422">
        <f t="shared" si="925"/>
        <v>0</v>
      </c>
      <c r="AF422">
        <f t="shared" si="925"/>
        <v>0</v>
      </c>
      <c r="AG422" s="11">
        <f t="shared" si="925"/>
        <v>0</v>
      </c>
      <c r="AH422" s="14" t="str">
        <f t="shared" si="925"/>
        <v>p7</v>
      </c>
      <c r="AI422" s="50">
        <f t="shared" si="925"/>
        <v>0.56000000000000005</v>
      </c>
      <c r="AJ422">
        <f t="shared" si="925"/>
        <v>0</v>
      </c>
      <c r="AK422" s="11">
        <f t="shared" si="925"/>
        <v>0</v>
      </c>
      <c r="AL422">
        <f t="shared" si="925"/>
        <v>0</v>
      </c>
      <c r="AM422">
        <f t="shared" si="925"/>
        <v>0</v>
      </c>
      <c r="AN422">
        <f t="shared" si="925"/>
        <v>0</v>
      </c>
      <c r="AO422">
        <f t="shared" si="925"/>
        <v>0</v>
      </c>
      <c r="AP422">
        <f t="shared" si="925"/>
        <v>0</v>
      </c>
      <c r="AQ422">
        <f t="shared" si="925"/>
        <v>0</v>
      </c>
      <c r="AR422">
        <f t="shared" si="925"/>
        <v>0</v>
      </c>
      <c r="AS422">
        <f t="shared" si="925"/>
        <v>0</v>
      </c>
      <c r="AT422">
        <f t="shared" si="925"/>
        <v>0</v>
      </c>
      <c r="AU422">
        <f t="shared" si="925"/>
        <v>0</v>
      </c>
      <c r="AV422">
        <f t="shared" si="925"/>
        <v>0</v>
      </c>
      <c r="AW422">
        <f t="shared" si="925"/>
        <v>0</v>
      </c>
      <c r="AX422">
        <f t="shared" si="925"/>
        <v>0</v>
      </c>
      <c r="AY422">
        <f t="shared" si="925"/>
        <v>0</v>
      </c>
      <c r="AZ422">
        <f t="shared" si="925"/>
        <v>0</v>
      </c>
      <c r="BA422">
        <f t="shared" si="925"/>
        <v>0</v>
      </c>
      <c r="BB422">
        <f t="shared" si="925"/>
        <v>0</v>
      </c>
      <c r="BC422">
        <f t="shared" si="925"/>
        <v>0</v>
      </c>
      <c r="BD422">
        <f t="shared" si="925"/>
        <v>0</v>
      </c>
    </row>
    <row r="423" spans="1:56" x14ac:dyDescent="0.3">
      <c r="A423" t="str">
        <f t="shared" ref="A423:AA423" si="926">A239</f>
        <v>sum check row</v>
      </c>
      <c r="B423">
        <f t="shared" si="926"/>
        <v>0</v>
      </c>
      <c r="C423">
        <f t="shared" si="926"/>
        <v>0</v>
      </c>
      <c r="D423" s="11">
        <f t="shared" si="926"/>
        <v>0</v>
      </c>
      <c r="E423" s="14"/>
      <c r="F423" s="50"/>
      <c r="G423">
        <f t="shared" si="926"/>
        <v>0</v>
      </c>
      <c r="H423" s="11">
        <f t="shared" si="926"/>
        <v>0</v>
      </c>
      <c r="I423">
        <f t="shared" si="926"/>
        <v>0</v>
      </c>
      <c r="J423">
        <f t="shared" si="926"/>
        <v>0</v>
      </c>
      <c r="K423" t="str">
        <f t="shared" si="926"/>
        <v>sum check</v>
      </c>
      <c r="L423" s="8">
        <f t="shared" si="926"/>
        <v>1094017.5189999999</v>
      </c>
      <c r="M423">
        <f t="shared" si="926"/>
        <v>0</v>
      </c>
      <c r="N423">
        <f t="shared" si="926"/>
        <v>0</v>
      </c>
      <c r="O423" s="28">
        <f t="shared" si="926"/>
        <v>0</v>
      </c>
      <c r="P423">
        <f t="shared" si="926"/>
        <v>0</v>
      </c>
      <c r="Q423" s="2" t="str">
        <f t="shared" si="926"/>
        <v>sum check</v>
      </c>
      <c r="R423" s="28">
        <f t="shared" si="926"/>
        <v>9123.6363899214084</v>
      </c>
      <c r="S423" s="28">
        <f t="shared" si="926"/>
        <v>0</v>
      </c>
      <c r="T423">
        <f t="shared" si="926"/>
        <v>0</v>
      </c>
      <c r="U423">
        <f t="shared" si="926"/>
        <v>0</v>
      </c>
      <c r="V423" s="2" t="str">
        <f t="shared" si="926"/>
        <v>sum check</v>
      </c>
      <c r="W423" s="21">
        <f t="shared" si="926"/>
        <v>4653.054558859918</v>
      </c>
      <c r="X423">
        <f t="shared" si="926"/>
        <v>0</v>
      </c>
      <c r="Y423">
        <f t="shared" si="926"/>
        <v>0</v>
      </c>
      <c r="Z423">
        <f t="shared" si="926"/>
        <v>0</v>
      </c>
      <c r="AA423">
        <f t="shared" si="926"/>
        <v>0</v>
      </c>
      <c r="AD423" t="str">
        <f t="shared" ref="AD423:AG423" si="927">AD239</f>
        <v>sum check row</v>
      </c>
      <c r="AE423">
        <f t="shared" si="927"/>
        <v>0</v>
      </c>
      <c r="AF423">
        <f t="shared" si="927"/>
        <v>0</v>
      </c>
      <c r="AG423" s="11">
        <f t="shared" si="927"/>
        <v>0</v>
      </c>
      <c r="AH423" s="14"/>
      <c r="AI423" s="50"/>
      <c r="AJ423">
        <f t="shared" ref="AJ423:BD423" si="928">AJ239</f>
        <v>0</v>
      </c>
      <c r="AK423" s="11">
        <f t="shared" si="928"/>
        <v>0</v>
      </c>
      <c r="AL423">
        <f t="shared" si="928"/>
        <v>0</v>
      </c>
      <c r="AM423">
        <f t="shared" si="928"/>
        <v>0</v>
      </c>
      <c r="AN423" t="str">
        <f t="shared" si="928"/>
        <v>sum check</v>
      </c>
      <c r="AO423" s="8">
        <f t="shared" si="928"/>
        <v>1094017.5189999999</v>
      </c>
      <c r="AP423">
        <f t="shared" si="928"/>
        <v>0</v>
      </c>
      <c r="AQ423">
        <f t="shared" si="928"/>
        <v>0</v>
      </c>
      <c r="AR423" s="28">
        <f t="shared" si="928"/>
        <v>0</v>
      </c>
      <c r="AS423">
        <f t="shared" si="928"/>
        <v>0</v>
      </c>
      <c r="AT423" s="2" t="str">
        <f t="shared" si="928"/>
        <v>sum check</v>
      </c>
      <c r="AU423" s="28" t="e">
        <f t="shared" si="928"/>
        <v>#REF!</v>
      </c>
      <c r="AV423" s="28">
        <f t="shared" si="928"/>
        <v>0</v>
      </c>
      <c r="AW423">
        <f t="shared" si="928"/>
        <v>0</v>
      </c>
      <c r="AX423">
        <f t="shared" si="928"/>
        <v>0</v>
      </c>
      <c r="AY423" s="2" t="str">
        <f t="shared" si="928"/>
        <v>sum check</v>
      </c>
      <c r="AZ423" s="21">
        <f t="shared" si="928"/>
        <v>2333.8386416771882</v>
      </c>
      <c r="BA423">
        <f t="shared" si="928"/>
        <v>0</v>
      </c>
      <c r="BB423">
        <f t="shared" si="928"/>
        <v>0</v>
      </c>
      <c r="BC423">
        <f t="shared" si="928"/>
        <v>0</v>
      </c>
      <c r="BD423">
        <f t="shared" si="928"/>
        <v>0</v>
      </c>
    </row>
    <row r="424" spans="1:56" x14ac:dyDescent="0.3">
      <c r="A424" t="str">
        <f t="shared" ref="A424:AA424" si="929">A240</f>
        <v>sum check row</v>
      </c>
      <c r="B424">
        <f t="shared" si="929"/>
        <v>0</v>
      </c>
      <c r="C424">
        <f t="shared" si="929"/>
        <v>0</v>
      </c>
      <c r="D424" s="11">
        <f t="shared" si="929"/>
        <v>0</v>
      </c>
      <c r="G424">
        <f t="shared" si="929"/>
        <v>0</v>
      </c>
      <c r="H424" s="11">
        <f t="shared" si="929"/>
        <v>0</v>
      </c>
      <c r="I424">
        <f t="shared" si="929"/>
        <v>0</v>
      </c>
      <c r="J424">
        <f t="shared" si="929"/>
        <v>0</v>
      </c>
      <c r="K424">
        <f t="shared" si="929"/>
        <v>0</v>
      </c>
      <c r="L424">
        <f t="shared" si="929"/>
        <v>0</v>
      </c>
      <c r="M424">
        <f t="shared" si="929"/>
        <v>0</v>
      </c>
      <c r="N424">
        <f t="shared" si="929"/>
        <v>0</v>
      </c>
      <c r="O424">
        <f t="shared" si="929"/>
        <v>0</v>
      </c>
      <c r="P424">
        <f t="shared" si="929"/>
        <v>0</v>
      </c>
      <c r="Q424">
        <f t="shared" si="929"/>
        <v>0</v>
      </c>
      <c r="R424">
        <f t="shared" si="929"/>
        <v>0</v>
      </c>
      <c r="S424">
        <f t="shared" si="929"/>
        <v>0</v>
      </c>
      <c r="T424">
        <f t="shared" si="929"/>
        <v>0</v>
      </c>
      <c r="U424">
        <f t="shared" si="929"/>
        <v>0</v>
      </c>
      <c r="V424" s="2" t="str">
        <f t="shared" si="929"/>
        <v>sum check</v>
      </c>
      <c r="W424" s="21">
        <f t="shared" si="929"/>
        <v>6716.5163394128367</v>
      </c>
      <c r="X424">
        <f t="shared" si="929"/>
        <v>0</v>
      </c>
      <c r="Y424">
        <f t="shared" si="929"/>
        <v>0</v>
      </c>
      <c r="Z424">
        <f t="shared" si="929"/>
        <v>0</v>
      </c>
      <c r="AA424">
        <f t="shared" si="929"/>
        <v>0</v>
      </c>
      <c r="AD424" t="str">
        <f t="shared" ref="AD424:AG424" si="930">AD240</f>
        <v>sum check row</v>
      </c>
      <c r="AE424">
        <f t="shared" si="930"/>
        <v>0</v>
      </c>
      <c r="AF424">
        <f t="shared" si="930"/>
        <v>0</v>
      </c>
      <c r="AG424" s="11">
        <f t="shared" si="930"/>
        <v>0</v>
      </c>
      <c r="AJ424">
        <f t="shared" ref="AJ424:BD424" si="931">AJ240</f>
        <v>0</v>
      </c>
      <c r="AK424" s="11">
        <f t="shared" si="931"/>
        <v>0</v>
      </c>
      <c r="AL424">
        <f t="shared" si="931"/>
        <v>0</v>
      </c>
      <c r="AM424">
        <f t="shared" si="931"/>
        <v>0</v>
      </c>
      <c r="AN424">
        <f t="shared" si="931"/>
        <v>0</v>
      </c>
      <c r="AO424">
        <f t="shared" si="931"/>
        <v>0</v>
      </c>
      <c r="AP424">
        <f t="shared" si="931"/>
        <v>0</v>
      </c>
      <c r="AQ424">
        <f t="shared" si="931"/>
        <v>0</v>
      </c>
      <c r="AR424">
        <f t="shared" si="931"/>
        <v>0</v>
      </c>
      <c r="AS424">
        <f t="shared" si="931"/>
        <v>0</v>
      </c>
      <c r="AT424">
        <f t="shared" si="931"/>
        <v>0</v>
      </c>
      <c r="AU424">
        <f t="shared" si="931"/>
        <v>0</v>
      </c>
      <c r="AV424">
        <f t="shared" si="931"/>
        <v>0</v>
      </c>
      <c r="AW424">
        <f t="shared" si="931"/>
        <v>0</v>
      </c>
      <c r="AX424">
        <f t="shared" si="931"/>
        <v>0</v>
      </c>
      <c r="AY424" s="2" t="str">
        <f t="shared" si="931"/>
        <v>sum check</v>
      </c>
      <c r="AZ424" s="21">
        <f t="shared" si="931"/>
        <v>2242.3155576898475</v>
      </c>
      <c r="BA424">
        <f t="shared" si="931"/>
        <v>0</v>
      </c>
      <c r="BB424">
        <f t="shared" si="931"/>
        <v>0</v>
      </c>
      <c r="BC424">
        <f t="shared" si="931"/>
        <v>0</v>
      </c>
      <c r="BD424">
        <f t="shared" si="931"/>
        <v>0</v>
      </c>
    </row>
    <row r="425" spans="1:56" x14ac:dyDescent="0.3">
      <c r="A425">
        <f t="shared" ref="A425:AA425" si="932">A241</f>
        <v>0</v>
      </c>
      <c r="B425">
        <f t="shared" si="932"/>
        <v>0</v>
      </c>
      <c r="C425">
        <f t="shared" si="932"/>
        <v>0</v>
      </c>
      <c r="D425" s="11">
        <f t="shared" si="932"/>
        <v>0</v>
      </c>
      <c r="G425">
        <f t="shared" si="932"/>
        <v>0</v>
      </c>
      <c r="H425" s="11">
        <f t="shared" si="932"/>
        <v>0</v>
      </c>
      <c r="I425">
        <f t="shared" si="932"/>
        <v>0</v>
      </c>
      <c r="J425">
        <f t="shared" si="932"/>
        <v>0</v>
      </c>
      <c r="K425">
        <f t="shared" si="932"/>
        <v>0</v>
      </c>
      <c r="L425">
        <f t="shared" si="932"/>
        <v>0</v>
      </c>
      <c r="M425">
        <f t="shared" si="932"/>
        <v>0</v>
      </c>
      <c r="N425">
        <f t="shared" si="932"/>
        <v>0</v>
      </c>
      <c r="O425">
        <f t="shared" si="932"/>
        <v>0</v>
      </c>
      <c r="P425">
        <f t="shared" si="932"/>
        <v>0</v>
      </c>
      <c r="Q425">
        <f t="shared" si="932"/>
        <v>0</v>
      </c>
      <c r="R425">
        <f t="shared" si="932"/>
        <v>0</v>
      </c>
      <c r="S425">
        <f t="shared" si="932"/>
        <v>0</v>
      </c>
      <c r="T425">
        <f t="shared" si="932"/>
        <v>0</v>
      </c>
      <c r="U425">
        <f t="shared" si="932"/>
        <v>0</v>
      </c>
      <c r="V425">
        <f t="shared" si="932"/>
        <v>0</v>
      </c>
      <c r="W425">
        <f t="shared" si="932"/>
        <v>0</v>
      </c>
      <c r="Y425">
        <f t="shared" si="932"/>
        <v>0</v>
      </c>
      <c r="Z425">
        <f t="shared" si="932"/>
        <v>0</v>
      </c>
      <c r="AA425">
        <f t="shared" si="932"/>
        <v>0</v>
      </c>
      <c r="AD425">
        <f t="shared" ref="AD425:AG425" si="933">AD241</f>
        <v>0</v>
      </c>
      <c r="AE425">
        <f t="shared" si="933"/>
        <v>0</v>
      </c>
      <c r="AF425">
        <f t="shared" si="933"/>
        <v>0</v>
      </c>
      <c r="AG425" s="11">
        <f t="shared" si="933"/>
        <v>0</v>
      </c>
      <c r="AJ425">
        <f t="shared" ref="AJ425:AZ425" si="934">AJ241</f>
        <v>0</v>
      </c>
      <c r="AK425" s="11">
        <f t="shared" si="934"/>
        <v>0</v>
      </c>
      <c r="AL425">
        <f t="shared" si="934"/>
        <v>0</v>
      </c>
      <c r="AM425">
        <f t="shared" si="934"/>
        <v>0</v>
      </c>
      <c r="AN425">
        <f t="shared" si="934"/>
        <v>0</v>
      </c>
      <c r="AO425">
        <f t="shared" si="934"/>
        <v>0</v>
      </c>
      <c r="AP425">
        <f t="shared" si="934"/>
        <v>0</v>
      </c>
      <c r="AQ425">
        <f t="shared" si="934"/>
        <v>0</v>
      </c>
      <c r="AR425">
        <f t="shared" si="934"/>
        <v>0</v>
      </c>
      <c r="AS425">
        <f t="shared" si="934"/>
        <v>0</v>
      </c>
      <c r="AT425">
        <f t="shared" si="934"/>
        <v>0</v>
      </c>
      <c r="AU425">
        <f t="shared" si="934"/>
        <v>0</v>
      </c>
      <c r="AV425">
        <f t="shared" si="934"/>
        <v>0</v>
      </c>
      <c r="AW425">
        <f t="shared" si="934"/>
        <v>0</v>
      </c>
      <c r="AX425">
        <f t="shared" si="934"/>
        <v>0</v>
      </c>
      <c r="AY425">
        <f t="shared" si="934"/>
        <v>0</v>
      </c>
      <c r="AZ425">
        <f t="shared" si="934"/>
        <v>0</v>
      </c>
      <c r="BB425">
        <f t="shared" ref="BB425:BD425" si="935">BB241</f>
        <v>0</v>
      </c>
      <c r="BC425">
        <f t="shared" si="935"/>
        <v>0</v>
      </c>
      <c r="BD425">
        <f t="shared" si="935"/>
        <v>0</v>
      </c>
    </row>
    <row r="426" spans="1:56" x14ac:dyDescent="0.3">
      <c r="A426">
        <f t="shared" ref="A426:AA426" si="936">A242</f>
        <v>0</v>
      </c>
      <c r="B426">
        <f t="shared" si="936"/>
        <v>0</v>
      </c>
      <c r="C426">
        <f t="shared" si="936"/>
        <v>0</v>
      </c>
      <c r="D426" s="11">
        <f t="shared" si="936"/>
        <v>0</v>
      </c>
      <c r="E426">
        <f t="shared" si="936"/>
        <v>0</v>
      </c>
      <c r="F426">
        <f t="shared" si="936"/>
        <v>0</v>
      </c>
      <c r="G426">
        <f t="shared" si="936"/>
        <v>0</v>
      </c>
      <c r="H426" s="11">
        <f t="shared" si="936"/>
        <v>0</v>
      </c>
      <c r="I426">
        <f t="shared" si="936"/>
        <v>0</v>
      </c>
      <c r="J426">
        <f t="shared" si="936"/>
        <v>0</v>
      </c>
      <c r="K426">
        <f t="shared" si="936"/>
        <v>0</v>
      </c>
      <c r="L426" s="8">
        <f t="shared" si="936"/>
        <v>0</v>
      </c>
      <c r="M426">
        <f t="shared" si="936"/>
        <v>0</v>
      </c>
      <c r="N426">
        <f t="shared" si="936"/>
        <v>0</v>
      </c>
      <c r="O426" s="28">
        <f t="shared" si="936"/>
        <v>0</v>
      </c>
      <c r="P426">
        <f t="shared" si="936"/>
        <v>0</v>
      </c>
      <c r="Q426" s="2">
        <f t="shared" si="936"/>
        <v>0</v>
      </c>
      <c r="R426" s="28">
        <f t="shared" si="936"/>
        <v>0</v>
      </c>
      <c r="S426" s="19">
        <f t="shared" si="936"/>
        <v>0</v>
      </c>
      <c r="T426">
        <f t="shared" si="936"/>
        <v>0</v>
      </c>
      <c r="U426">
        <f t="shared" si="936"/>
        <v>0</v>
      </c>
      <c r="V426">
        <f t="shared" si="936"/>
        <v>0</v>
      </c>
      <c r="W426" s="437" t="str">
        <f t="shared" si="936"/>
        <v>base</v>
      </c>
      <c r="X426" s="449" t="str">
        <f t="shared" si="936"/>
        <v>low</v>
      </c>
      <c r="Y426" s="449" t="str">
        <f t="shared" si="936"/>
        <v>high</v>
      </c>
      <c r="Z426">
        <f t="shared" si="936"/>
        <v>0</v>
      </c>
      <c r="AA426">
        <f t="shared" si="936"/>
        <v>0</v>
      </c>
      <c r="AD426">
        <f t="shared" ref="AD426:BD426" si="937">AD242</f>
        <v>0</v>
      </c>
      <c r="AE426">
        <f t="shared" si="937"/>
        <v>0</v>
      </c>
      <c r="AF426">
        <f t="shared" si="937"/>
        <v>0</v>
      </c>
      <c r="AG426" s="11">
        <f t="shared" si="937"/>
        <v>0</v>
      </c>
      <c r="AH426">
        <f t="shared" si="937"/>
        <v>0</v>
      </c>
      <c r="AI426">
        <f t="shared" si="937"/>
        <v>0</v>
      </c>
      <c r="AJ426">
        <f t="shared" si="937"/>
        <v>0</v>
      </c>
      <c r="AK426" s="11">
        <f t="shared" si="937"/>
        <v>0</v>
      </c>
      <c r="AL426">
        <f t="shared" si="937"/>
        <v>0</v>
      </c>
      <c r="AM426">
        <f t="shared" si="937"/>
        <v>0</v>
      </c>
      <c r="AN426">
        <f t="shared" si="937"/>
        <v>0</v>
      </c>
      <c r="AO426" s="8">
        <f t="shared" si="937"/>
        <v>0</v>
      </c>
      <c r="AP426">
        <f t="shared" si="937"/>
        <v>0</v>
      </c>
      <c r="AQ426">
        <f t="shared" si="937"/>
        <v>0</v>
      </c>
      <c r="AR426" s="28">
        <f t="shared" si="937"/>
        <v>0</v>
      </c>
      <c r="AS426">
        <f t="shared" si="937"/>
        <v>0</v>
      </c>
      <c r="AT426" s="2">
        <f t="shared" si="937"/>
        <v>0</v>
      </c>
      <c r="AU426" s="28">
        <f t="shared" si="937"/>
        <v>0</v>
      </c>
      <c r="AV426" s="19">
        <f t="shared" si="937"/>
        <v>0</v>
      </c>
      <c r="AW426">
        <f t="shared" si="937"/>
        <v>0</v>
      </c>
      <c r="AX426">
        <f t="shared" si="937"/>
        <v>0</v>
      </c>
      <c r="AY426">
        <f t="shared" si="937"/>
        <v>0</v>
      </c>
      <c r="AZ426" s="684" t="str">
        <f t="shared" si="937"/>
        <v>base</v>
      </c>
      <c r="BA426" s="449" t="str">
        <f t="shared" si="937"/>
        <v>low</v>
      </c>
      <c r="BB426" s="449" t="str">
        <f t="shared" si="937"/>
        <v>high</v>
      </c>
      <c r="BC426">
        <f t="shared" si="937"/>
        <v>0</v>
      </c>
      <c r="BD426">
        <f t="shared" si="937"/>
        <v>0</v>
      </c>
    </row>
    <row r="427" spans="1:56" x14ac:dyDescent="0.3">
      <c r="A427">
        <f t="shared" ref="A427:S427" si="938">A243</f>
        <v>0</v>
      </c>
      <c r="B427">
        <f t="shared" si="938"/>
        <v>0</v>
      </c>
      <c r="C427">
        <f t="shared" si="938"/>
        <v>0</v>
      </c>
      <c r="D427" s="11">
        <f t="shared" si="938"/>
        <v>0</v>
      </c>
      <c r="E427">
        <f t="shared" si="938"/>
        <v>0</v>
      </c>
      <c r="F427">
        <f t="shared" si="938"/>
        <v>0</v>
      </c>
      <c r="G427">
        <f t="shared" si="938"/>
        <v>0</v>
      </c>
      <c r="H427" s="11">
        <f t="shared" si="938"/>
        <v>0</v>
      </c>
      <c r="I427">
        <f t="shared" si="938"/>
        <v>0</v>
      </c>
      <c r="J427">
        <f t="shared" si="938"/>
        <v>0</v>
      </c>
      <c r="K427">
        <f t="shared" si="938"/>
        <v>0</v>
      </c>
      <c r="L427" s="8">
        <f t="shared" si="938"/>
        <v>0</v>
      </c>
      <c r="M427">
        <f t="shared" si="938"/>
        <v>0</v>
      </c>
      <c r="N427">
        <f t="shared" si="938"/>
        <v>0</v>
      </c>
      <c r="O427" s="28">
        <f t="shared" si="938"/>
        <v>0</v>
      </c>
      <c r="P427">
        <f t="shared" si="938"/>
        <v>0</v>
      </c>
      <c r="Q427" s="2">
        <f t="shared" si="938"/>
        <v>0</v>
      </c>
      <c r="R427" s="28">
        <f t="shared" si="938"/>
        <v>0</v>
      </c>
      <c r="S427" s="19">
        <f t="shared" si="938"/>
        <v>0</v>
      </c>
      <c r="V427" s="2" t="str">
        <f t="shared" ref="V427:AA427" si="939">V243</f>
        <v>Outpatient visits prevented</v>
      </c>
      <c r="W427" s="33">
        <f>W243</f>
        <v>3128.8049063757953</v>
      </c>
      <c r="X427" s="450">
        <f t="shared" si="939"/>
        <v>2849.4473254493851</v>
      </c>
      <c r="Y427" s="450">
        <f t="shared" si="939"/>
        <v>3408.1624873022051</v>
      </c>
      <c r="Z427">
        <f t="shared" si="939"/>
        <v>0</v>
      </c>
      <c r="AA427">
        <f t="shared" si="939"/>
        <v>0</v>
      </c>
      <c r="AD427">
        <f t="shared" ref="AD427:AV427" si="940">AD243</f>
        <v>0</v>
      </c>
      <c r="AE427">
        <f t="shared" si="940"/>
        <v>0</v>
      </c>
      <c r="AF427">
        <f t="shared" si="940"/>
        <v>0</v>
      </c>
      <c r="AG427" s="11">
        <f t="shared" si="940"/>
        <v>0</v>
      </c>
      <c r="AH427">
        <f t="shared" si="940"/>
        <v>0</v>
      </c>
      <c r="AI427">
        <f t="shared" si="940"/>
        <v>0</v>
      </c>
      <c r="AJ427">
        <f t="shared" si="940"/>
        <v>0</v>
      </c>
      <c r="AK427" s="11">
        <f t="shared" si="940"/>
        <v>0</v>
      </c>
      <c r="AL427">
        <f t="shared" si="940"/>
        <v>0</v>
      </c>
      <c r="AM427">
        <f t="shared" si="940"/>
        <v>0</v>
      </c>
      <c r="AN427">
        <f t="shared" si="940"/>
        <v>0</v>
      </c>
      <c r="AO427" s="8">
        <f t="shared" si="940"/>
        <v>0</v>
      </c>
      <c r="AP427">
        <f t="shared" si="940"/>
        <v>0</v>
      </c>
      <c r="AQ427">
        <f t="shared" si="940"/>
        <v>0</v>
      </c>
      <c r="AR427" s="28">
        <f t="shared" si="940"/>
        <v>0</v>
      </c>
      <c r="AS427">
        <f t="shared" si="940"/>
        <v>0</v>
      </c>
      <c r="AT427" s="2">
        <f t="shared" si="940"/>
        <v>0</v>
      </c>
      <c r="AU427" s="28">
        <f t="shared" si="940"/>
        <v>0</v>
      </c>
      <c r="AV427" s="19">
        <f t="shared" si="940"/>
        <v>0</v>
      </c>
      <c r="AY427" s="2" t="str">
        <f t="shared" ref="AY427" si="941">AY243</f>
        <v>Outpatient visits prevented</v>
      </c>
      <c r="AZ427" s="33">
        <f>AZ243</f>
        <v>1607.0191797845375</v>
      </c>
      <c r="BA427" s="450">
        <f t="shared" ref="BA427:BD427" si="942">BA243</f>
        <v>1463.5353244466326</v>
      </c>
      <c r="BB427" s="450">
        <f t="shared" si="942"/>
        <v>1750.5030351224425</v>
      </c>
      <c r="BC427">
        <f t="shared" si="942"/>
        <v>0</v>
      </c>
      <c r="BD427">
        <f t="shared" si="942"/>
        <v>0</v>
      </c>
    </row>
    <row r="428" spans="1:56" x14ac:dyDescent="0.3">
      <c r="A428">
        <f t="shared" ref="A428:AA428" si="943">A244</f>
        <v>0</v>
      </c>
      <c r="B428">
        <f t="shared" si="943"/>
        <v>0</v>
      </c>
      <c r="C428">
        <f t="shared" si="943"/>
        <v>0</v>
      </c>
      <c r="D428" s="11">
        <f t="shared" si="943"/>
        <v>0</v>
      </c>
      <c r="E428">
        <f t="shared" si="943"/>
        <v>0</v>
      </c>
      <c r="F428">
        <f t="shared" si="943"/>
        <v>0</v>
      </c>
      <c r="G428">
        <f t="shared" si="943"/>
        <v>0</v>
      </c>
      <c r="H428" s="11">
        <f t="shared" si="943"/>
        <v>0</v>
      </c>
      <c r="I428">
        <f t="shared" si="943"/>
        <v>0</v>
      </c>
      <c r="J428">
        <f t="shared" si="943"/>
        <v>0</v>
      </c>
      <c r="K428">
        <f t="shared" si="943"/>
        <v>0</v>
      </c>
      <c r="L428">
        <f t="shared" si="943"/>
        <v>0</v>
      </c>
      <c r="M428">
        <f t="shared" si="943"/>
        <v>0</v>
      </c>
      <c r="N428">
        <f t="shared" si="943"/>
        <v>0</v>
      </c>
      <c r="O428">
        <f t="shared" si="943"/>
        <v>0</v>
      </c>
      <c r="P428">
        <f t="shared" si="943"/>
        <v>0</v>
      </c>
      <c r="S428">
        <f t="shared" si="943"/>
        <v>0</v>
      </c>
      <c r="T428" s="16">
        <f t="shared" si="943"/>
        <v>0</v>
      </c>
      <c r="U428" s="17">
        <f t="shared" si="943"/>
        <v>0</v>
      </c>
      <c r="V428" s="15" t="str">
        <f t="shared" si="943"/>
        <v>p4c</v>
      </c>
      <c r="W428" s="61">
        <f t="shared" si="943"/>
        <v>1.4910674201012974</v>
      </c>
      <c r="X428" s="451">
        <f t="shared" si="943"/>
        <v>1.4910674201012974</v>
      </c>
      <c r="Y428" s="451">
        <f t="shared" si="943"/>
        <v>1.4910674201012974</v>
      </c>
      <c r="Z428">
        <f t="shared" si="943"/>
        <v>0</v>
      </c>
      <c r="AA428">
        <f t="shared" si="943"/>
        <v>0</v>
      </c>
      <c r="AD428">
        <f t="shared" ref="AD428:AS428" si="944">AD244</f>
        <v>0</v>
      </c>
      <c r="AE428">
        <f t="shared" si="944"/>
        <v>0</v>
      </c>
      <c r="AF428">
        <f t="shared" si="944"/>
        <v>0</v>
      </c>
      <c r="AG428" s="11">
        <f t="shared" si="944"/>
        <v>0</v>
      </c>
      <c r="AH428">
        <f t="shared" si="944"/>
        <v>0</v>
      </c>
      <c r="AI428">
        <f t="shared" si="944"/>
        <v>0</v>
      </c>
      <c r="AJ428">
        <f t="shared" si="944"/>
        <v>0</v>
      </c>
      <c r="AK428" s="11">
        <f t="shared" si="944"/>
        <v>0</v>
      </c>
      <c r="AL428">
        <f t="shared" si="944"/>
        <v>0</v>
      </c>
      <c r="AM428">
        <f t="shared" si="944"/>
        <v>0</v>
      </c>
      <c r="AN428">
        <f t="shared" si="944"/>
        <v>0</v>
      </c>
      <c r="AO428">
        <f t="shared" si="944"/>
        <v>0</v>
      </c>
      <c r="AP428">
        <f t="shared" si="944"/>
        <v>0</v>
      </c>
      <c r="AQ428">
        <f t="shared" si="944"/>
        <v>0</v>
      </c>
      <c r="AR428">
        <f t="shared" si="944"/>
        <v>0</v>
      </c>
      <c r="AS428">
        <f t="shared" si="944"/>
        <v>0</v>
      </c>
      <c r="AV428">
        <f t="shared" ref="AV428:BD428" si="945">AV244</f>
        <v>0</v>
      </c>
      <c r="AW428" s="16">
        <f t="shared" si="945"/>
        <v>0</v>
      </c>
      <c r="AX428" s="17">
        <f t="shared" si="945"/>
        <v>0</v>
      </c>
      <c r="AY428" s="15" t="str">
        <f t="shared" si="945"/>
        <v>p4c</v>
      </c>
      <c r="AZ428" s="61">
        <f t="shared" si="945"/>
        <v>0.76584319385710953</v>
      </c>
      <c r="BA428" s="451">
        <f t="shared" si="945"/>
        <v>0.76584319385710953</v>
      </c>
      <c r="BB428" s="451">
        <f t="shared" si="945"/>
        <v>0.76584319385710953</v>
      </c>
      <c r="BC428">
        <f t="shared" si="945"/>
        <v>0</v>
      </c>
      <c r="BD428">
        <f t="shared" si="945"/>
        <v>0</v>
      </c>
    </row>
    <row r="429" spans="1:56" x14ac:dyDescent="0.3">
      <c r="A429">
        <f t="shared" ref="A429:AA429" si="946">A245</f>
        <v>0</v>
      </c>
      <c r="B429">
        <f t="shared" si="946"/>
        <v>0</v>
      </c>
      <c r="C429">
        <f t="shared" si="946"/>
        <v>0</v>
      </c>
      <c r="D429" s="11">
        <f t="shared" si="946"/>
        <v>0</v>
      </c>
      <c r="E429">
        <f t="shared" si="946"/>
        <v>0</v>
      </c>
      <c r="F429">
        <f t="shared" si="946"/>
        <v>0</v>
      </c>
      <c r="G429">
        <f t="shared" si="946"/>
        <v>0</v>
      </c>
      <c r="H429" s="11">
        <f t="shared" si="946"/>
        <v>0</v>
      </c>
      <c r="I429">
        <f t="shared" si="946"/>
        <v>0</v>
      </c>
      <c r="J429">
        <f t="shared" si="946"/>
        <v>0</v>
      </c>
      <c r="K429">
        <f t="shared" si="946"/>
        <v>0</v>
      </c>
      <c r="L429">
        <f t="shared" si="946"/>
        <v>0</v>
      </c>
      <c r="M429">
        <f t="shared" si="946"/>
        <v>0</v>
      </c>
      <c r="N429">
        <f t="shared" si="946"/>
        <v>0</v>
      </c>
      <c r="O429">
        <f t="shared" si="946"/>
        <v>0</v>
      </c>
      <c r="P429">
        <f t="shared" si="946"/>
        <v>0</v>
      </c>
      <c r="S429">
        <f t="shared" si="946"/>
        <v>0</v>
      </c>
      <c r="T429" s="11">
        <f t="shared" si="946"/>
        <v>0</v>
      </c>
      <c r="U429" s="13">
        <f t="shared" si="946"/>
        <v>0</v>
      </c>
      <c r="V429" s="2">
        <f t="shared" si="946"/>
        <v>0</v>
      </c>
      <c r="W429">
        <f t="shared" si="946"/>
        <v>0</v>
      </c>
      <c r="X429" s="452">
        <f t="shared" si="946"/>
        <v>0</v>
      </c>
      <c r="Y429" s="452">
        <f t="shared" si="946"/>
        <v>0</v>
      </c>
      <c r="Z429">
        <f t="shared" si="946"/>
        <v>0</v>
      </c>
      <c r="AA429">
        <f t="shared" si="946"/>
        <v>0</v>
      </c>
      <c r="AD429">
        <f t="shared" ref="AD429:AS429" si="947">AD245</f>
        <v>0</v>
      </c>
      <c r="AE429">
        <f t="shared" si="947"/>
        <v>0</v>
      </c>
      <c r="AF429">
        <f t="shared" si="947"/>
        <v>0</v>
      </c>
      <c r="AG429" s="11">
        <f t="shared" si="947"/>
        <v>0</v>
      </c>
      <c r="AH429">
        <f t="shared" si="947"/>
        <v>0</v>
      </c>
      <c r="AI429">
        <f t="shared" si="947"/>
        <v>0</v>
      </c>
      <c r="AJ429">
        <f t="shared" si="947"/>
        <v>0</v>
      </c>
      <c r="AK429" s="11">
        <f t="shared" si="947"/>
        <v>0</v>
      </c>
      <c r="AL429">
        <f t="shared" si="947"/>
        <v>0</v>
      </c>
      <c r="AM429">
        <f t="shared" si="947"/>
        <v>0</v>
      </c>
      <c r="AN429">
        <f t="shared" si="947"/>
        <v>0</v>
      </c>
      <c r="AO429">
        <f t="shared" si="947"/>
        <v>0</v>
      </c>
      <c r="AP429">
        <f t="shared" si="947"/>
        <v>0</v>
      </c>
      <c r="AQ429">
        <f t="shared" si="947"/>
        <v>0</v>
      </c>
      <c r="AR429">
        <f t="shared" si="947"/>
        <v>0</v>
      </c>
      <c r="AS429">
        <f t="shared" si="947"/>
        <v>0</v>
      </c>
      <c r="AV429">
        <f t="shared" ref="AV429:BD429" si="948">AV245</f>
        <v>0</v>
      </c>
      <c r="AW429" s="11">
        <f t="shared" si="948"/>
        <v>0</v>
      </c>
      <c r="AX429" s="13">
        <f t="shared" si="948"/>
        <v>0</v>
      </c>
      <c r="AY429" s="2">
        <f t="shared" si="948"/>
        <v>0</v>
      </c>
      <c r="AZ429">
        <f t="shared" si="948"/>
        <v>0</v>
      </c>
      <c r="BA429" s="452">
        <f t="shared" si="948"/>
        <v>0</v>
      </c>
      <c r="BB429" s="452">
        <f t="shared" si="948"/>
        <v>0</v>
      </c>
      <c r="BC429">
        <f t="shared" si="948"/>
        <v>0</v>
      </c>
      <c r="BD429">
        <f t="shared" si="948"/>
        <v>0</v>
      </c>
    </row>
    <row r="430" spans="1:56" x14ac:dyDescent="0.3">
      <c r="A430">
        <f t="shared" ref="A430:O430" si="949">A246</f>
        <v>0</v>
      </c>
      <c r="B430">
        <f t="shared" si="949"/>
        <v>0</v>
      </c>
      <c r="C430">
        <f t="shared" si="949"/>
        <v>0</v>
      </c>
      <c r="D430" s="11">
        <f t="shared" si="949"/>
        <v>0</v>
      </c>
      <c r="E430">
        <f t="shared" si="949"/>
        <v>0</v>
      </c>
      <c r="F430">
        <f t="shared" si="949"/>
        <v>0</v>
      </c>
      <c r="G430">
        <f t="shared" si="949"/>
        <v>0</v>
      </c>
      <c r="H430" s="11">
        <f t="shared" si="949"/>
        <v>0</v>
      </c>
      <c r="I430">
        <f t="shared" si="949"/>
        <v>0</v>
      </c>
      <c r="J430">
        <f t="shared" si="949"/>
        <v>0</v>
      </c>
      <c r="K430">
        <f t="shared" si="949"/>
        <v>0</v>
      </c>
      <c r="L430">
        <f t="shared" si="949"/>
        <v>0</v>
      </c>
      <c r="M430">
        <f t="shared" si="949"/>
        <v>0</v>
      </c>
      <c r="N430">
        <f t="shared" si="949"/>
        <v>0</v>
      </c>
      <c r="O430">
        <f t="shared" si="949"/>
        <v>0</v>
      </c>
      <c r="Q430" s="2" t="str">
        <f t="shared" ref="Q430:T430" si="950">Q246</f>
        <v>Vaccine Effective</v>
      </c>
      <c r="R430" s="33">
        <f t="shared" si="950"/>
        <v>4653.054558859918</v>
      </c>
      <c r="S430">
        <f t="shared" si="950"/>
        <v>0</v>
      </c>
      <c r="T430" s="18">
        <f t="shared" si="950"/>
        <v>0</v>
      </c>
      <c r="U430" s="438"/>
      <c r="V430" s="12" t="str">
        <f t="shared" ref="V430:AA430" si="951">V246</f>
        <v>ED visits prevented</v>
      </c>
      <c r="W430" s="33">
        <f t="shared" si="951"/>
        <v>1175.0532109326552</v>
      </c>
      <c r="X430" s="450">
        <f t="shared" si="951"/>
        <v>1070.137745670811</v>
      </c>
      <c r="Y430" s="450">
        <f t="shared" si="951"/>
        <v>1279.968676194499</v>
      </c>
      <c r="Z430">
        <f t="shared" si="951"/>
        <v>0</v>
      </c>
      <c r="AA430">
        <f t="shared" si="951"/>
        <v>0</v>
      </c>
      <c r="AD430">
        <f t="shared" ref="AD430:AR430" si="952">AD246</f>
        <v>0</v>
      </c>
      <c r="AE430">
        <f t="shared" si="952"/>
        <v>0</v>
      </c>
      <c r="AF430">
        <f t="shared" si="952"/>
        <v>0</v>
      </c>
      <c r="AG430" s="11">
        <f t="shared" si="952"/>
        <v>0</v>
      </c>
      <c r="AH430">
        <f t="shared" si="952"/>
        <v>0</v>
      </c>
      <c r="AI430">
        <f t="shared" si="952"/>
        <v>0</v>
      </c>
      <c r="AJ430">
        <f t="shared" si="952"/>
        <v>0</v>
      </c>
      <c r="AK430" s="11">
        <f t="shared" si="952"/>
        <v>0</v>
      </c>
      <c r="AL430">
        <f t="shared" si="952"/>
        <v>0</v>
      </c>
      <c r="AM430">
        <f t="shared" si="952"/>
        <v>0</v>
      </c>
      <c r="AN430">
        <f t="shared" si="952"/>
        <v>0</v>
      </c>
      <c r="AO430">
        <f t="shared" si="952"/>
        <v>0</v>
      </c>
      <c r="AP430">
        <f t="shared" si="952"/>
        <v>0</v>
      </c>
      <c r="AQ430">
        <f t="shared" si="952"/>
        <v>0</v>
      </c>
      <c r="AR430">
        <f t="shared" si="952"/>
        <v>0</v>
      </c>
      <c r="AT430" s="2" t="str">
        <f t="shared" ref="AT430:AW430" si="953">AT246</f>
        <v>Vaccine Effective</v>
      </c>
      <c r="AU430" s="33" t="e">
        <f t="shared" si="953"/>
        <v>#REF!</v>
      </c>
      <c r="AV430">
        <f t="shared" si="953"/>
        <v>0</v>
      </c>
      <c r="AW430" s="18">
        <f t="shared" si="953"/>
        <v>0</v>
      </c>
      <c r="AX430" s="500"/>
      <c r="AY430" s="12" t="str">
        <f t="shared" ref="AY430:BD430" si="954">AY246</f>
        <v>ED visits prevented</v>
      </c>
      <c r="AZ430" s="33">
        <f t="shared" si="954"/>
        <v>638.72292748453822</v>
      </c>
      <c r="BA430" s="450">
        <f t="shared" si="954"/>
        <v>581.6940946734187</v>
      </c>
      <c r="BB430" s="450">
        <f t="shared" si="954"/>
        <v>695.7517602956575</v>
      </c>
      <c r="BC430">
        <f t="shared" si="954"/>
        <v>0</v>
      </c>
      <c r="BD430">
        <f t="shared" si="954"/>
        <v>0</v>
      </c>
    </row>
    <row r="431" spans="1:56" x14ac:dyDescent="0.3">
      <c r="A431">
        <f t="shared" ref="A431:AA431" si="955">A247</f>
        <v>0</v>
      </c>
      <c r="B431">
        <f t="shared" si="955"/>
        <v>0</v>
      </c>
      <c r="C431">
        <f t="shared" si="955"/>
        <v>0</v>
      </c>
      <c r="D431" s="11">
        <f t="shared" si="955"/>
        <v>0</v>
      </c>
      <c r="E431">
        <f t="shared" si="955"/>
        <v>0</v>
      </c>
      <c r="F431">
        <f t="shared" si="955"/>
        <v>0</v>
      </c>
      <c r="G431">
        <f t="shared" si="955"/>
        <v>0</v>
      </c>
      <c r="H431" s="11">
        <f t="shared" si="955"/>
        <v>0</v>
      </c>
      <c r="I431">
        <f t="shared" si="955"/>
        <v>0</v>
      </c>
      <c r="J431">
        <f t="shared" si="955"/>
        <v>0</v>
      </c>
      <c r="K431">
        <f t="shared" si="955"/>
        <v>0</v>
      </c>
      <c r="L431">
        <f t="shared" si="955"/>
        <v>0</v>
      </c>
      <c r="M431">
        <f t="shared" si="955"/>
        <v>0</v>
      </c>
      <c r="N431">
        <f t="shared" si="955"/>
        <v>0</v>
      </c>
      <c r="O431">
        <f t="shared" si="955"/>
        <v>0</v>
      </c>
      <c r="P431">
        <f t="shared" si="955"/>
        <v>0</v>
      </c>
      <c r="Q431" s="64" t="str">
        <f t="shared" si="955"/>
        <v>p6</v>
      </c>
      <c r="R431" s="66">
        <f t="shared" si="955"/>
        <v>0.51</v>
      </c>
      <c r="S431" s="17">
        <f t="shared" si="955"/>
        <v>0</v>
      </c>
      <c r="T431" s="11">
        <f t="shared" si="955"/>
        <v>0</v>
      </c>
      <c r="U431" s="13">
        <f t="shared" si="955"/>
        <v>0</v>
      </c>
      <c r="V431" s="2" t="str">
        <f t="shared" si="955"/>
        <v>p4b</v>
      </c>
      <c r="W431" s="61">
        <f t="shared" si="955"/>
        <v>0.55998491824682028</v>
      </c>
      <c r="X431" s="451">
        <f t="shared" si="955"/>
        <v>0.55998491824682028</v>
      </c>
      <c r="Y431" s="451">
        <f t="shared" si="955"/>
        <v>0.55998491824682028</v>
      </c>
      <c r="Z431">
        <f t="shared" si="955"/>
        <v>0</v>
      </c>
      <c r="AA431">
        <f t="shared" si="955"/>
        <v>0</v>
      </c>
      <c r="AD431">
        <f t="shared" ref="AD431:BD431" si="956">AD247</f>
        <v>0</v>
      </c>
      <c r="AE431">
        <f t="shared" si="956"/>
        <v>0</v>
      </c>
      <c r="AF431">
        <f t="shared" si="956"/>
        <v>0</v>
      </c>
      <c r="AG431" s="11">
        <f t="shared" si="956"/>
        <v>0</v>
      </c>
      <c r="AH431">
        <f t="shared" si="956"/>
        <v>0</v>
      </c>
      <c r="AI431">
        <f t="shared" si="956"/>
        <v>0</v>
      </c>
      <c r="AJ431">
        <f t="shared" si="956"/>
        <v>0</v>
      </c>
      <c r="AK431" s="11">
        <f t="shared" si="956"/>
        <v>0</v>
      </c>
      <c r="AL431">
        <f t="shared" si="956"/>
        <v>0</v>
      </c>
      <c r="AM431">
        <f t="shared" si="956"/>
        <v>0</v>
      </c>
      <c r="AN431">
        <f t="shared" si="956"/>
        <v>0</v>
      </c>
      <c r="AO431">
        <f t="shared" si="956"/>
        <v>0</v>
      </c>
      <c r="AP431">
        <f t="shared" si="956"/>
        <v>0</v>
      </c>
      <c r="AQ431">
        <f t="shared" si="956"/>
        <v>0</v>
      </c>
      <c r="AR431">
        <f t="shared" si="956"/>
        <v>0</v>
      </c>
      <c r="AS431">
        <f t="shared" si="956"/>
        <v>0</v>
      </c>
      <c r="AT431" s="64" t="str">
        <f t="shared" si="956"/>
        <v>p6</v>
      </c>
      <c r="AU431" s="66">
        <f t="shared" si="956"/>
        <v>0.51</v>
      </c>
      <c r="AV431" s="17">
        <f t="shared" si="956"/>
        <v>0</v>
      </c>
      <c r="AW431" s="11">
        <f t="shared" si="956"/>
        <v>0</v>
      </c>
      <c r="AX431" s="13">
        <f t="shared" si="956"/>
        <v>0</v>
      </c>
      <c r="AY431" s="2" t="str">
        <f t="shared" si="956"/>
        <v>p4b</v>
      </c>
      <c r="AZ431" s="61">
        <f t="shared" si="956"/>
        <v>0.30439064631456758</v>
      </c>
      <c r="BA431" s="451">
        <f t="shared" si="956"/>
        <v>0.30439064631456758</v>
      </c>
      <c r="BB431" s="451">
        <f t="shared" si="956"/>
        <v>0.30439064631456758</v>
      </c>
      <c r="BC431">
        <f t="shared" si="956"/>
        <v>0</v>
      </c>
      <c r="BD431">
        <f t="shared" si="956"/>
        <v>0</v>
      </c>
    </row>
    <row r="432" spans="1:56" x14ac:dyDescent="0.3">
      <c r="A432">
        <f t="shared" ref="A432:AA432" si="957">A248</f>
        <v>0</v>
      </c>
      <c r="B432">
        <f t="shared" si="957"/>
        <v>0</v>
      </c>
      <c r="C432">
        <f t="shared" si="957"/>
        <v>0</v>
      </c>
      <c r="D432" s="11">
        <f t="shared" si="957"/>
        <v>0</v>
      </c>
      <c r="E432">
        <f t="shared" si="957"/>
        <v>0</v>
      </c>
      <c r="F432">
        <f t="shared" si="957"/>
        <v>0</v>
      </c>
      <c r="G432">
        <f t="shared" si="957"/>
        <v>0</v>
      </c>
      <c r="H432" s="11">
        <f t="shared" si="957"/>
        <v>0</v>
      </c>
      <c r="I432">
        <f t="shared" si="957"/>
        <v>0</v>
      </c>
      <c r="J432">
        <f t="shared" si="957"/>
        <v>0</v>
      </c>
      <c r="K432">
        <f t="shared" si="957"/>
        <v>0</v>
      </c>
      <c r="L432">
        <f t="shared" si="957"/>
        <v>0</v>
      </c>
      <c r="M432">
        <f t="shared" si="957"/>
        <v>0</v>
      </c>
      <c r="N432">
        <f t="shared" si="957"/>
        <v>0</v>
      </c>
      <c r="O432">
        <f t="shared" si="957"/>
        <v>0</v>
      </c>
      <c r="P432">
        <f t="shared" si="957"/>
        <v>0</v>
      </c>
      <c r="Q432" s="11">
        <f t="shared" si="957"/>
        <v>0</v>
      </c>
      <c r="R432">
        <f t="shared" si="957"/>
        <v>0</v>
      </c>
      <c r="S432">
        <f t="shared" si="957"/>
        <v>0</v>
      </c>
      <c r="T432" s="11">
        <f t="shared" si="957"/>
        <v>0</v>
      </c>
      <c r="U432" s="13">
        <f t="shared" si="957"/>
        <v>0</v>
      </c>
      <c r="V432" s="2">
        <f t="shared" si="957"/>
        <v>0</v>
      </c>
      <c r="W432">
        <f t="shared" si="957"/>
        <v>0</v>
      </c>
      <c r="X432" s="452">
        <f t="shared" si="957"/>
        <v>0</v>
      </c>
      <c r="Y432" s="452">
        <f t="shared" si="957"/>
        <v>0</v>
      </c>
      <c r="Z432">
        <f t="shared" si="957"/>
        <v>0</v>
      </c>
      <c r="AA432">
        <f t="shared" si="957"/>
        <v>0</v>
      </c>
      <c r="AD432">
        <f t="shared" ref="AD432:BD432" si="958">AD248</f>
        <v>0</v>
      </c>
      <c r="AE432">
        <f t="shared" si="958"/>
        <v>0</v>
      </c>
      <c r="AF432">
        <f t="shared" si="958"/>
        <v>0</v>
      </c>
      <c r="AG432" s="11">
        <f t="shared" si="958"/>
        <v>0</v>
      </c>
      <c r="AH432">
        <f t="shared" si="958"/>
        <v>0</v>
      </c>
      <c r="AI432">
        <f t="shared" si="958"/>
        <v>0</v>
      </c>
      <c r="AJ432">
        <f t="shared" si="958"/>
        <v>0</v>
      </c>
      <c r="AK432" s="11">
        <f t="shared" si="958"/>
        <v>0</v>
      </c>
      <c r="AL432">
        <f t="shared" si="958"/>
        <v>0</v>
      </c>
      <c r="AM432">
        <f t="shared" si="958"/>
        <v>0</v>
      </c>
      <c r="AN432">
        <f t="shared" si="958"/>
        <v>0</v>
      </c>
      <c r="AO432">
        <f t="shared" si="958"/>
        <v>0</v>
      </c>
      <c r="AP432">
        <f t="shared" si="958"/>
        <v>0</v>
      </c>
      <c r="AQ432">
        <f t="shared" si="958"/>
        <v>0</v>
      </c>
      <c r="AR432">
        <f t="shared" si="958"/>
        <v>0</v>
      </c>
      <c r="AS432">
        <f t="shared" si="958"/>
        <v>0</v>
      </c>
      <c r="AT432" s="11">
        <f t="shared" si="958"/>
        <v>0</v>
      </c>
      <c r="AU432">
        <f t="shared" si="958"/>
        <v>0</v>
      </c>
      <c r="AV432">
        <f t="shared" si="958"/>
        <v>0</v>
      </c>
      <c r="AW432" s="11">
        <f t="shared" si="958"/>
        <v>0</v>
      </c>
      <c r="AX432" s="13">
        <f t="shared" si="958"/>
        <v>0</v>
      </c>
      <c r="AY432" s="2">
        <f t="shared" si="958"/>
        <v>0</v>
      </c>
      <c r="AZ432">
        <f t="shared" si="958"/>
        <v>0</v>
      </c>
      <c r="BA432" s="452">
        <f t="shared" si="958"/>
        <v>0</v>
      </c>
      <c r="BB432" s="452">
        <f t="shared" si="958"/>
        <v>0</v>
      </c>
      <c r="BC432">
        <f t="shared" si="958"/>
        <v>0</v>
      </c>
      <c r="BD432">
        <f t="shared" si="958"/>
        <v>0</v>
      </c>
    </row>
    <row r="433" spans="1:56" x14ac:dyDescent="0.3">
      <c r="A433">
        <f t="shared" ref="A433:S433" si="959">A249</f>
        <v>0</v>
      </c>
      <c r="B433">
        <f t="shared" si="959"/>
        <v>0</v>
      </c>
      <c r="C433">
        <f t="shared" si="959"/>
        <v>0</v>
      </c>
      <c r="D433" s="11">
        <f t="shared" si="959"/>
        <v>0</v>
      </c>
      <c r="E433">
        <f t="shared" si="959"/>
        <v>0</v>
      </c>
      <c r="F433">
        <f t="shared" si="959"/>
        <v>0</v>
      </c>
      <c r="G433">
        <f t="shared" si="959"/>
        <v>0</v>
      </c>
      <c r="H433" s="11">
        <f t="shared" si="959"/>
        <v>0</v>
      </c>
      <c r="I433">
        <f t="shared" si="959"/>
        <v>0</v>
      </c>
      <c r="J433">
        <f t="shared" si="959"/>
        <v>0</v>
      </c>
      <c r="K433">
        <f t="shared" si="959"/>
        <v>0</v>
      </c>
      <c r="L433">
        <f t="shared" si="959"/>
        <v>0</v>
      </c>
      <c r="M433">
        <f t="shared" si="959"/>
        <v>0</v>
      </c>
      <c r="N433" s="14"/>
      <c r="O433" s="28"/>
      <c r="P433">
        <f t="shared" si="959"/>
        <v>0</v>
      </c>
      <c r="Q433" s="11">
        <f t="shared" si="959"/>
        <v>0</v>
      </c>
      <c r="R433">
        <f t="shared" si="959"/>
        <v>0</v>
      </c>
      <c r="S433">
        <f t="shared" si="959"/>
        <v>0</v>
      </c>
      <c r="T433" s="18"/>
      <c r="U433" s="438"/>
      <c r="V433" s="12" t="str">
        <f t="shared" ref="V433:AA433" si="960">V249</f>
        <v>Hospitalizations prevented</v>
      </c>
      <c r="W433" s="30">
        <f t="shared" si="960"/>
        <v>349.19644155146779</v>
      </c>
      <c r="X433" s="453">
        <f t="shared" si="960"/>
        <v>318.01818784151533</v>
      </c>
      <c r="Y433" s="453">
        <f t="shared" si="960"/>
        <v>380.37469526142024</v>
      </c>
      <c r="Z433">
        <f t="shared" si="960"/>
        <v>0</v>
      </c>
      <c r="AA433">
        <f t="shared" si="960"/>
        <v>0</v>
      </c>
      <c r="AD433">
        <f t="shared" ref="AD433:AP433" si="961">AD249</f>
        <v>0</v>
      </c>
      <c r="AE433">
        <f t="shared" si="961"/>
        <v>0</v>
      </c>
      <c r="AF433">
        <f t="shared" si="961"/>
        <v>0</v>
      </c>
      <c r="AG433" s="11">
        <f t="shared" si="961"/>
        <v>0</v>
      </c>
      <c r="AH433">
        <f t="shared" si="961"/>
        <v>0</v>
      </c>
      <c r="AI433">
        <f t="shared" si="961"/>
        <v>0</v>
      </c>
      <c r="AJ433">
        <f t="shared" si="961"/>
        <v>0</v>
      </c>
      <c r="AK433" s="11">
        <f t="shared" si="961"/>
        <v>0</v>
      </c>
      <c r="AL433">
        <f t="shared" si="961"/>
        <v>0</v>
      </c>
      <c r="AM433">
        <f t="shared" si="961"/>
        <v>0</v>
      </c>
      <c r="AN433">
        <f t="shared" si="961"/>
        <v>0</v>
      </c>
      <c r="AO433">
        <f t="shared" si="961"/>
        <v>0</v>
      </c>
      <c r="AP433">
        <f t="shared" si="961"/>
        <v>0</v>
      </c>
      <c r="AQ433" s="14"/>
      <c r="AR433" s="28"/>
      <c r="AS433">
        <f t="shared" ref="AS433:AV433" si="962">AS249</f>
        <v>0</v>
      </c>
      <c r="AT433" s="11">
        <f t="shared" si="962"/>
        <v>0</v>
      </c>
      <c r="AU433">
        <f t="shared" si="962"/>
        <v>0</v>
      </c>
      <c r="AV433">
        <f t="shared" si="962"/>
        <v>0</v>
      </c>
      <c r="AW433" s="18"/>
      <c r="AX433" s="500"/>
      <c r="AY433" s="12" t="str">
        <f t="shared" ref="AY433:BD433" si="963">AY249</f>
        <v>Hospitalizations prevented</v>
      </c>
      <c r="AZ433" s="30">
        <f t="shared" si="963"/>
        <v>88.096534408112319</v>
      </c>
      <c r="BA433" s="453">
        <f t="shared" si="963"/>
        <v>80.230772407388017</v>
      </c>
      <c r="BB433" s="453">
        <f t="shared" si="963"/>
        <v>95.962296408836622</v>
      </c>
      <c r="BC433">
        <f t="shared" si="963"/>
        <v>0</v>
      </c>
      <c r="BD433">
        <f t="shared" si="963"/>
        <v>0</v>
      </c>
    </row>
    <row r="434" spans="1:56" x14ac:dyDescent="0.3">
      <c r="A434">
        <f t="shared" ref="A434:AA434" si="964">A250</f>
        <v>0</v>
      </c>
      <c r="B434">
        <f t="shared" si="964"/>
        <v>0</v>
      </c>
      <c r="C434">
        <f t="shared" si="964"/>
        <v>0</v>
      </c>
      <c r="D434" s="11">
        <f t="shared" si="964"/>
        <v>0</v>
      </c>
      <c r="E434">
        <f t="shared" si="964"/>
        <v>0</v>
      </c>
      <c r="F434">
        <f t="shared" si="964"/>
        <v>0</v>
      </c>
      <c r="G434">
        <f t="shared" si="964"/>
        <v>0</v>
      </c>
      <c r="H434" s="11">
        <f t="shared" si="964"/>
        <v>0</v>
      </c>
      <c r="I434">
        <f t="shared" si="964"/>
        <v>0</v>
      </c>
      <c r="J434" s="13">
        <f t="shared" si="964"/>
        <v>0</v>
      </c>
      <c r="K434">
        <f t="shared" si="964"/>
        <v>0</v>
      </c>
      <c r="L434">
        <f t="shared" si="964"/>
        <v>0</v>
      </c>
      <c r="M434">
        <f t="shared" si="964"/>
        <v>0</v>
      </c>
      <c r="N434" s="285"/>
      <c r="O434" s="28"/>
      <c r="P434">
        <f t="shared" si="964"/>
        <v>0</v>
      </c>
      <c r="Q434" s="11">
        <f t="shared" si="964"/>
        <v>0</v>
      </c>
      <c r="R434" s="13">
        <f t="shared" si="964"/>
        <v>0</v>
      </c>
      <c r="S434">
        <f t="shared" si="964"/>
        <v>0</v>
      </c>
      <c r="T434">
        <f t="shared" si="964"/>
        <v>0</v>
      </c>
      <c r="U434">
        <f t="shared" si="964"/>
        <v>0</v>
      </c>
      <c r="V434" s="2" t="str">
        <f t="shared" si="964"/>
        <v>p4c</v>
      </c>
      <c r="W434" s="61">
        <f t="shared" si="964"/>
        <v>0.16641351979207206</v>
      </c>
      <c r="X434" s="451">
        <f t="shared" si="964"/>
        <v>0.16641351979207206</v>
      </c>
      <c r="Y434" s="451">
        <f t="shared" si="964"/>
        <v>0.16641351979207206</v>
      </c>
      <c r="Z434">
        <f t="shared" si="964"/>
        <v>0</v>
      </c>
      <c r="AA434">
        <f t="shared" si="964"/>
        <v>0</v>
      </c>
      <c r="AD434">
        <f t="shared" ref="AD434:AP434" si="965">AD250</f>
        <v>0</v>
      </c>
      <c r="AE434">
        <f t="shared" si="965"/>
        <v>0</v>
      </c>
      <c r="AF434">
        <f t="shared" si="965"/>
        <v>0</v>
      </c>
      <c r="AG434" s="11">
        <f t="shared" si="965"/>
        <v>0</v>
      </c>
      <c r="AH434">
        <f t="shared" si="965"/>
        <v>0</v>
      </c>
      <c r="AI434">
        <f t="shared" si="965"/>
        <v>0</v>
      </c>
      <c r="AJ434">
        <f t="shared" si="965"/>
        <v>0</v>
      </c>
      <c r="AK434" s="11">
        <f t="shared" si="965"/>
        <v>0</v>
      </c>
      <c r="AL434">
        <f t="shared" si="965"/>
        <v>0</v>
      </c>
      <c r="AM434" s="13">
        <f t="shared" si="965"/>
        <v>0</v>
      </c>
      <c r="AN434">
        <f t="shared" si="965"/>
        <v>0</v>
      </c>
      <c r="AO434">
        <f t="shared" si="965"/>
        <v>0</v>
      </c>
      <c r="AP434">
        <f t="shared" si="965"/>
        <v>0</v>
      </c>
      <c r="AQ434" s="285"/>
      <c r="AR434" s="28"/>
      <c r="AS434">
        <f t="shared" ref="AS434:BD434" si="966">AS250</f>
        <v>0</v>
      </c>
      <c r="AT434" s="11">
        <f t="shared" si="966"/>
        <v>0</v>
      </c>
      <c r="AU434" s="13">
        <f t="shared" si="966"/>
        <v>0</v>
      </c>
      <c r="AV434">
        <f t="shared" si="966"/>
        <v>0</v>
      </c>
      <c r="AW434">
        <f t="shared" si="966"/>
        <v>0</v>
      </c>
      <c r="AX434">
        <f t="shared" si="966"/>
        <v>0</v>
      </c>
      <c r="AY434" s="2" t="str">
        <f t="shared" si="966"/>
        <v>p4c</v>
      </c>
      <c r="AZ434" s="61">
        <f t="shared" si="966"/>
        <v>4.1983401397796216E-2</v>
      </c>
      <c r="BA434" s="451">
        <f t="shared" si="966"/>
        <v>4.1983401397796216E-2</v>
      </c>
      <c r="BB434" s="451">
        <f t="shared" si="966"/>
        <v>4.1983401397796216E-2</v>
      </c>
      <c r="BC434">
        <f t="shared" si="966"/>
        <v>0</v>
      </c>
      <c r="BD434">
        <f t="shared" si="966"/>
        <v>0</v>
      </c>
    </row>
    <row r="435" spans="1:56" x14ac:dyDescent="0.3">
      <c r="A435">
        <f t="shared" ref="A435:H435" si="967">A251</f>
        <v>0</v>
      </c>
      <c r="B435">
        <f t="shared" si="967"/>
        <v>0</v>
      </c>
      <c r="C435">
        <f t="shared" si="967"/>
        <v>0</v>
      </c>
      <c r="D435" s="11">
        <f t="shared" si="967"/>
        <v>0</v>
      </c>
      <c r="E435">
        <f t="shared" si="967"/>
        <v>0</v>
      </c>
      <c r="F435">
        <f t="shared" si="967"/>
        <v>0</v>
      </c>
      <c r="G435">
        <f t="shared" si="967"/>
        <v>0</v>
      </c>
      <c r="H435" s="11">
        <f t="shared" si="967"/>
        <v>0</v>
      </c>
      <c r="N435" s="2" t="str">
        <f t="shared" ref="N435:AA435" si="968">N251</f>
        <v>Expected hlthcare visits had palivizumab not been obtained</v>
      </c>
      <c r="O435" s="33">
        <f t="shared" si="968"/>
        <v>9123.6363899214084</v>
      </c>
      <c r="P435">
        <f t="shared" si="968"/>
        <v>0</v>
      </c>
      <c r="Q435" s="11">
        <f t="shared" si="968"/>
        <v>0</v>
      </c>
      <c r="R435">
        <f t="shared" si="968"/>
        <v>0</v>
      </c>
      <c r="S435">
        <f t="shared" si="968"/>
        <v>0</v>
      </c>
      <c r="T435">
        <f t="shared" si="968"/>
        <v>0</v>
      </c>
      <c r="U435">
        <f t="shared" si="968"/>
        <v>0</v>
      </c>
      <c r="V435">
        <f t="shared" si="968"/>
        <v>0</v>
      </c>
      <c r="W435">
        <f t="shared" si="968"/>
        <v>0</v>
      </c>
      <c r="X435">
        <f t="shared" si="968"/>
        <v>0</v>
      </c>
      <c r="Y435">
        <f t="shared" si="968"/>
        <v>0</v>
      </c>
      <c r="Z435">
        <f t="shared" si="968"/>
        <v>0</v>
      </c>
      <c r="AA435">
        <f t="shared" si="968"/>
        <v>0</v>
      </c>
      <c r="AD435">
        <f t="shared" ref="AD435:AK435" si="969">AD251</f>
        <v>0</v>
      </c>
      <c r="AE435">
        <f t="shared" si="969"/>
        <v>0</v>
      </c>
      <c r="AF435">
        <f t="shared" si="969"/>
        <v>0</v>
      </c>
      <c r="AG435" s="11">
        <f t="shared" si="969"/>
        <v>0</v>
      </c>
      <c r="AH435">
        <f t="shared" si="969"/>
        <v>0</v>
      </c>
      <c r="AI435">
        <f t="shared" si="969"/>
        <v>0</v>
      </c>
      <c r="AJ435">
        <f t="shared" si="969"/>
        <v>0</v>
      </c>
      <c r="AK435" s="11">
        <f t="shared" si="969"/>
        <v>0</v>
      </c>
      <c r="AQ435" s="2" t="str">
        <f t="shared" ref="AQ435:BD435" si="970">AQ251</f>
        <v>Expected hlthcare visits had palivizumab not been obtained</v>
      </c>
      <c r="AR435" s="33" t="e">
        <f t="shared" si="970"/>
        <v>#REF!</v>
      </c>
      <c r="AS435">
        <f t="shared" si="970"/>
        <v>0</v>
      </c>
      <c r="AT435" s="11">
        <f t="shared" si="970"/>
        <v>0</v>
      </c>
      <c r="AU435">
        <f t="shared" si="970"/>
        <v>0</v>
      </c>
      <c r="AV435">
        <f t="shared" si="970"/>
        <v>0</v>
      </c>
      <c r="AW435">
        <f t="shared" si="970"/>
        <v>0</v>
      </c>
      <c r="AX435">
        <f t="shared" si="970"/>
        <v>0</v>
      </c>
      <c r="AY435">
        <f t="shared" si="970"/>
        <v>0</v>
      </c>
      <c r="AZ435">
        <f t="shared" si="970"/>
        <v>0</v>
      </c>
      <c r="BA435">
        <f t="shared" si="970"/>
        <v>0</v>
      </c>
      <c r="BB435">
        <f t="shared" si="970"/>
        <v>0</v>
      </c>
      <c r="BC435">
        <f t="shared" si="970"/>
        <v>0</v>
      </c>
      <c r="BD435">
        <f t="shared" si="970"/>
        <v>0</v>
      </c>
    </row>
    <row r="436" spans="1:56" x14ac:dyDescent="0.3">
      <c r="A436">
        <f t="shared" ref="A436:L436" si="971">A252</f>
        <v>0</v>
      </c>
      <c r="B436">
        <f t="shared" si="971"/>
        <v>0</v>
      </c>
      <c r="C436">
        <f t="shared" si="971"/>
        <v>0</v>
      </c>
      <c r="D436" s="11">
        <f t="shared" si="971"/>
        <v>0</v>
      </c>
      <c r="E436">
        <f t="shared" si="971"/>
        <v>0</v>
      </c>
      <c r="F436">
        <f t="shared" si="971"/>
        <v>0</v>
      </c>
      <c r="G436">
        <f t="shared" si="971"/>
        <v>0</v>
      </c>
      <c r="H436" s="11">
        <f t="shared" si="971"/>
        <v>0</v>
      </c>
      <c r="I436">
        <f t="shared" si="971"/>
        <v>0</v>
      </c>
      <c r="J436">
        <f t="shared" si="971"/>
        <v>0</v>
      </c>
      <c r="K436">
        <f t="shared" si="971"/>
        <v>0</v>
      </c>
      <c r="L436">
        <f t="shared" si="971"/>
        <v>0</v>
      </c>
      <c r="N436" s="16" t="str">
        <f t="shared" ref="N436:AA436" si="972">N252</f>
        <v>sum p4a-c</v>
      </c>
      <c r="O436" s="68">
        <f t="shared" si="972"/>
        <v>2.2174658581401898</v>
      </c>
      <c r="P436" s="17">
        <f t="shared" si="972"/>
        <v>0</v>
      </c>
      <c r="Q436" s="11">
        <f t="shared" si="972"/>
        <v>0</v>
      </c>
      <c r="R436">
        <f t="shared" si="972"/>
        <v>0</v>
      </c>
      <c r="S436">
        <f t="shared" si="972"/>
        <v>0</v>
      </c>
      <c r="T436">
        <f t="shared" si="972"/>
        <v>0</v>
      </c>
      <c r="U436">
        <f t="shared" si="972"/>
        <v>0</v>
      </c>
      <c r="V436">
        <f t="shared" si="972"/>
        <v>0</v>
      </c>
      <c r="W436">
        <f t="shared" si="972"/>
        <v>0</v>
      </c>
      <c r="Y436">
        <f t="shared" si="972"/>
        <v>0</v>
      </c>
      <c r="Z436">
        <f t="shared" si="972"/>
        <v>0</v>
      </c>
      <c r="AA436">
        <f t="shared" si="972"/>
        <v>0</v>
      </c>
      <c r="AD436">
        <f t="shared" ref="AD436:AO436" si="973">AD252</f>
        <v>0</v>
      </c>
      <c r="AE436">
        <f t="shared" si="973"/>
        <v>0</v>
      </c>
      <c r="AF436">
        <f t="shared" si="973"/>
        <v>0</v>
      </c>
      <c r="AG436" s="11">
        <f t="shared" si="973"/>
        <v>0</v>
      </c>
      <c r="AH436">
        <f t="shared" si="973"/>
        <v>0</v>
      </c>
      <c r="AI436">
        <f t="shared" si="973"/>
        <v>0</v>
      </c>
      <c r="AJ436">
        <f t="shared" si="973"/>
        <v>0</v>
      </c>
      <c r="AK436" s="11">
        <f t="shared" si="973"/>
        <v>0</v>
      </c>
      <c r="AL436">
        <f t="shared" si="973"/>
        <v>0</v>
      </c>
      <c r="AM436">
        <f t="shared" si="973"/>
        <v>0</v>
      </c>
      <c r="AN436">
        <f t="shared" si="973"/>
        <v>0</v>
      </c>
      <c r="AO436">
        <f t="shared" si="973"/>
        <v>0</v>
      </c>
      <c r="AQ436" s="16" t="str">
        <f t="shared" ref="AQ436:AZ436" si="974">AQ252</f>
        <v>sum p4a-c</v>
      </c>
      <c r="AR436" s="68">
        <f t="shared" si="974"/>
        <v>2.2174658581401898</v>
      </c>
      <c r="AS436" s="17">
        <f t="shared" si="974"/>
        <v>0</v>
      </c>
      <c r="AT436" s="11">
        <f t="shared" si="974"/>
        <v>0</v>
      </c>
      <c r="AU436">
        <f t="shared" si="974"/>
        <v>0</v>
      </c>
      <c r="AV436">
        <f t="shared" si="974"/>
        <v>0</v>
      </c>
      <c r="AW436">
        <f t="shared" si="974"/>
        <v>0</v>
      </c>
      <c r="AX436">
        <f t="shared" si="974"/>
        <v>0</v>
      </c>
      <c r="AY436">
        <f t="shared" si="974"/>
        <v>0</v>
      </c>
      <c r="AZ436">
        <f t="shared" si="974"/>
        <v>0</v>
      </c>
      <c r="BB436">
        <f t="shared" ref="BB436:BD436" si="975">BB252</f>
        <v>0</v>
      </c>
      <c r="BC436">
        <f t="shared" si="975"/>
        <v>0</v>
      </c>
      <c r="BD436">
        <f t="shared" si="975"/>
        <v>0</v>
      </c>
    </row>
    <row r="437" spans="1:56" x14ac:dyDescent="0.3">
      <c r="A437">
        <f t="shared" ref="A437:AA437" si="976">A253</f>
        <v>0</v>
      </c>
      <c r="B437">
        <f t="shared" si="976"/>
        <v>0</v>
      </c>
      <c r="C437">
        <f t="shared" si="976"/>
        <v>0</v>
      </c>
      <c r="D437" s="11">
        <f t="shared" si="976"/>
        <v>0</v>
      </c>
      <c r="E437">
        <f t="shared" si="976"/>
        <v>0</v>
      </c>
      <c r="F437">
        <f t="shared" si="976"/>
        <v>0</v>
      </c>
      <c r="G437">
        <f t="shared" si="976"/>
        <v>0</v>
      </c>
      <c r="H437" s="11">
        <f t="shared" si="976"/>
        <v>0</v>
      </c>
      <c r="I437">
        <f t="shared" si="976"/>
        <v>0</v>
      </c>
      <c r="J437">
        <f t="shared" si="976"/>
        <v>0</v>
      </c>
      <c r="K437">
        <f t="shared" si="976"/>
        <v>0</v>
      </c>
      <c r="L437">
        <f t="shared" si="976"/>
        <v>0</v>
      </c>
      <c r="M437">
        <f t="shared" si="976"/>
        <v>0</v>
      </c>
      <c r="N437" s="59"/>
      <c r="O437" s="68"/>
      <c r="P437">
        <f t="shared" si="976"/>
        <v>0</v>
      </c>
      <c r="Q437" s="11">
        <f t="shared" si="976"/>
        <v>0</v>
      </c>
      <c r="R437" s="13">
        <f t="shared" si="976"/>
        <v>0</v>
      </c>
      <c r="S437" s="13">
        <f t="shared" si="976"/>
        <v>0</v>
      </c>
      <c r="T437">
        <f t="shared" si="976"/>
        <v>0</v>
      </c>
      <c r="U437">
        <f t="shared" si="976"/>
        <v>0</v>
      </c>
      <c r="V437">
        <f t="shared" si="976"/>
        <v>0</v>
      </c>
      <c r="W437" s="437" t="str">
        <f t="shared" si="976"/>
        <v>base</v>
      </c>
      <c r="X437" s="449" t="str">
        <f t="shared" si="976"/>
        <v>low</v>
      </c>
      <c r="Y437" s="449" t="str">
        <f t="shared" si="976"/>
        <v>high</v>
      </c>
      <c r="Z437">
        <f t="shared" si="976"/>
        <v>0</v>
      </c>
      <c r="AA437">
        <f t="shared" si="976"/>
        <v>0</v>
      </c>
      <c r="AD437">
        <f t="shared" ref="AD437:AP437" si="977">AD253</f>
        <v>0</v>
      </c>
      <c r="AE437">
        <f t="shared" si="977"/>
        <v>0</v>
      </c>
      <c r="AF437">
        <f t="shared" si="977"/>
        <v>0</v>
      </c>
      <c r="AG437" s="11">
        <f t="shared" si="977"/>
        <v>0</v>
      </c>
      <c r="AH437">
        <f t="shared" si="977"/>
        <v>0</v>
      </c>
      <c r="AI437">
        <f t="shared" si="977"/>
        <v>0</v>
      </c>
      <c r="AJ437">
        <f t="shared" si="977"/>
        <v>0</v>
      </c>
      <c r="AK437" s="11">
        <f t="shared" si="977"/>
        <v>0</v>
      </c>
      <c r="AL437">
        <f t="shared" si="977"/>
        <v>0</v>
      </c>
      <c r="AM437">
        <f t="shared" si="977"/>
        <v>0</v>
      </c>
      <c r="AN437">
        <f t="shared" si="977"/>
        <v>0</v>
      </c>
      <c r="AO437">
        <f t="shared" si="977"/>
        <v>0</v>
      </c>
      <c r="AP437">
        <f t="shared" si="977"/>
        <v>0</v>
      </c>
      <c r="AQ437" s="59"/>
      <c r="AR437" s="68"/>
      <c r="AS437">
        <f t="shared" ref="AS437:BD437" si="978">AS253</f>
        <v>0</v>
      </c>
      <c r="AT437" s="11">
        <f t="shared" si="978"/>
        <v>0</v>
      </c>
      <c r="AU437" s="13">
        <f t="shared" si="978"/>
        <v>0</v>
      </c>
      <c r="AV437" s="13">
        <f t="shared" si="978"/>
        <v>0</v>
      </c>
      <c r="AW437">
        <f t="shared" si="978"/>
        <v>0</v>
      </c>
      <c r="AX437">
        <f t="shared" si="978"/>
        <v>0</v>
      </c>
      <c r="AY437">
        <f t="shared" si="978"/>
        <v>0</v>
      </c>
      <c r="AZ437" s="684" t="str">
        <f t="shared" si="978"/>
        <v>base</v>
      </c>
      <c r="BA437" s="449" t="str">
        <f t="shared" si="978"/>
        <v>low</v>
      </c>
      <c r="BB437" s="449" t="str">
        <f t="shared" si="978"/>
        <v>high</v>
      </c>
      <c r="BC437">
        <f t="shared" si="978"/>
        <v>0</v>
      </c>
      <c r="BD437">
        <f t="shared" si="978"/>
        <v>0</v>
      </c>
    </row>
    <row r="438" spans="1:56" x14ac:dyDescent="0.3">
      <c r="A438">
        <f t="shared" ref="A438:T438" si="979">A254</f>
        <v>0</v>
      </c>
      <c r="B438">
        <f t="shared" si="979"/>
        <v>0</v>
      </c>
      <c r="C438">
        <f t="shared" si="979"/>
        <v>0</v>
      </c>
      <c r="D438" s="11">
        <f t="shared" si="979"/>
        <v>0</v>
      </c>
      <c r="E438">
        <f t="shared" si="979"/>
        <v>0</v>
      </c>
      <c r="F438">
        <f t="shared" si="979"/>
        <v>0</v>
      </c>
      <c r="G438">
        <f t="shared" si="979"/>
        <v>0</v>
      </c>
      <c r="H438" s="11">
        <f t="shared" si="979"/>
        <v>0</v>
      </c>
      <c r="I438">
        <f t="shared" si="979"/>
        <v>0</v>
      </c>
      <c r="J438">
        <f t="shared" si="979"/>
        <v>0</v>
      </c>
      <c r="M438">
        <f t="shared" si="979"/>
        <v>0</v>
      </c>
      <c r="N438" s="59"/>
      <c r="O438" s="68"/>
      <c r="P438">
        <f t="shared" si="979"/>
        <v>0</v>
      </c>
      <c r="Q438" s="11">
        <f t="shared" si="979"/>
        <v>0</v>
      </c>
      <c r="R438" s="13">
        <f t="shared" si="979"/>
        <v>0</v>
      </c>
      <c r="S438">
        <f t="shared" si="979"/>
        <v>0</v>
      </c>
      <c r="T438">
        <f t="shared" si="979"/>
        <v>0</v>
      </c>
      <c r="V438" s="2" t="str">
        <f t="shared" ref="V438:AA438" si="980">V254</f>
        <v>Outpatient</v>
      </c>
      <c r="W438" s="33">
        <f t="shared" si="980"/>
        <v>4771.6718347318292</v>
      </c>
      <c r="X438" s="450">
        <f t="shared" si="980"/>
        <v>4345.6297066307734</v>
      </c>
      <c r="Y438" s="450">
        <f t="shared" si="980"/>
        <v>5197.7139628328841</v>
      </c>
      <c r="Z438">
        <f t="shared" si="980"/>
        <v>0</v>
      </c>
      <c r="AA438">
        <f t="shared" si="980"/>
        <v>0</v>
      </c>
      <c r="AD438">
        <f t="shared" ref="AD438:AM438" si="981">AD254</f>
        <v>0</v>
      </c>
      <c r="AE438">
        <f t="shared" si="981"/>
        <v>0</v>
      </c>
      <c r="AF438">
        <f t="shared" si="981"/>
        <v>0</v>
      </c>
      <c r="AG438" s="11">
        <f t="shared" si="981"/>
        <v>0</v>
      </c>
      <c r="AH438">
        <f t="shared" si="981"/>
        <v>0</v>
      </c>
      <c r="AI438">
        <f t="shared" si="981"/>
        <v>0</v>
      </c>
      <c r="AJ438">
        <f t="shared" si="981"/>
        <v>0</v>
      </c>
      <c r="AK438" s="11">
        <f t="shared" si="981"/>
        <v>0</v>
      </c>
      <c r="AL438">
        <f t="shared" si="981"/>
        <v>0</v>
      </c>
      <c r="AM438">
        <f t="shared" si="981"/>
        <v>0</v>
      </c>
      <c r="AP438">
        <f t="shared" ref="AP438" si="982">AP254</f>
        <v>0</v>
      </c>
      <c r="AQ438" s="59"/>
      <c r="AR438" s="68"/>
      <c r="AS438">
        <f t="shared" ref="AS438:AW438" si="983">AS254</f>
        <v>0</v>
      </c>
      <c r="AT438" s="11">
        <f t="shared" si="983"/>
        <v>0</v>
      </c>
      <c r="AU438" s="13">
        <f t="shared" si="983"/>
        <v>0</v>
      </c>
      <c r="AV438">
        <f t="shared" si="983"/>
        <v>0</v>
      </c>
      <c r="AW438">
        <f t="shared" si="983"/>
        <v>0</v>
      </c>
      <c r="AY438" s="2" t="str">
        <f t="shared" ref="AY438:BD438" si="984">AY254</f>
        <v>Outpatient</v>
      </c>
      <c r="AZ438" s="33">
        <f t="shared" si="984"/>
        <v>1543.9988197929872</v>
      </c>
      <c r="BA438" s="450">
        <f t="shared" si="984"/>
        <v>1462.4440063350116</v>
      </c>
      <c r="BB438" s="450">
        <f t="shared" si="984"/>
        <v>1749.1977330673665</v>
      </c>
      <c r="BC438">
        <f t="shared" si="984"/>
        <v>0</v>
      </c>
      <c r="BD438">
        <f t="shared" si="984"/>
        <v>0</v>
      </c>
    </row>
    <row r="439" spans="1:56" x14ac:dyDescent="0.3">
      <c r="A439">
        <f t="shared" ref="A439:AA439" si="985">A255</f>
        <v>0</v>
      </c>
      <c r="B439">
        <f t="shared" si="985"/>
        <v>0</v>
      </c>
      <c r="C439">
        <f t="shared" si="985"/>
        <v>0</v>
      </c>
      <c r="D439" s="11">
        <f t="shared" si="985"/>
        <v>0</v>
      </c>
      <c r="E439">
        <f t="shared" si="985"/>
        <v>0</v>
      </c>
      <c r="F439">
        <f t="shared" si="985"/>
        <v>0</v>
      </c>
      <c r="G439">
        <f t="shared" si="985"/>
        <v>0</v>
      </c>
      <c r="H439" s="11">
        <f t="shared" si="985"/>
        <v>0</v>
      </c>
      <c r="I439">
        <f t="shared" si="985"/>
        <v>0</v>
      </c>
      <c r="J439">
        <f t="shared" si="985"/>
        <v>0</v>
      </c>
      <c r="M439">
        <f t="shared" si="985"/>
        <v>0</v>
      </c>
      <c r="N439" s="11">
        <f t="shared" si="985"/>
        <v>0</v>
      </c>
      <c r="O439">
        <f t="shared" si="985"/>
        <v>0</v>
      </c>
      <c r="P439">
        <f t="shared" si="985"/>
        <v>0</v>
      </c>
      <c r="Q439" s="11">
        <f t="shared" si="985"/>
        <v>0</v>
      </c>
      <c r="R439" s="13">
        <f t="shared" si="985"/>
        <v>0</v>
      </c>
      <c r="S439">
        <f t="shared" si="985"/>
        <v>0</v>
      </c>
      <c r="T439" s="16">
        <f t="shared" si="985"/>
        <v>0</v>
      </c>
      <c r="U439" s="17">
        <f t="shared" si="985"/>
        <v>0</v>
      </c>
      <c r="V439" s="15" t="str">
        <f t="shared" si="985"/>
        <v>p4c</v>
      </c>
      <c r="W439" s="61">
        <f t="shared" si="985"/>
        <v>1.4910674201012974</v>
      </c>
      <c r="X439" s="451">
        <f t="shared" si="985"/>
        <v>1.4910674201012974</v>
      </c>
      <c r="Y439" s="451">
        <f t="shared" si="985"/>
        <v>1.4910674201012974</v>
      </c>
      <c r="Z439">
        <f t="shared" si="985"/>
        <v>0</v>
      </c>
      <c r="AA439">
        <f t="shared" si="985"/>
        <v>0</v>
      </c>
      <c r="AD439">
        <f t="shared" ref="AD439:AM439" si="986">AD255</f>
        <v>0</v>
      </c>
      <c r="AE439">
        <f t="shared" si="986"/>
        <v>0</v>
      </c>
      <c r="AF439">
        <f t="shared" si="986"/>
        <v>0</v>
      </c>
      <c r="AG439" s="11">
        <f t="shared" si="986"/>
        <v>0</v>
      </c>
      <c r="AH439">
        <f t="shared" si="986"/>
        <v>0</v>
      </c>
      <c r="AI439">
        <f t="shared" si="986"/>
        <v>0</v>
      </c>
      <c r="AJ439">
        <f t="shared" si="986"/>
        <v>0</v>
      </c>
      <c r="AK439" s="11">
        <f t="shared" si="986"/>
        <v>0</v>
      </c>
      <c r="AL439">
        <f t="shared" si="986"/>
        <v>0</v>
      </c>
      <c r="AM439">
        <f t="shared" si="986"/>
        <v>0</v>
      </c>
      <c r="AP439">
        <f t="shared" ref="AP439:BD439" si="987">AP255</f>
        <v>0</v>
      </c>
      <c r="AQ439" s="11">
        <f t="shared" si="987"/>
        <v>0</v>
      </c>
      <c r="AR439">
        <f t="shared" si="987"/>
        <v>0</v>
      </c>
      <c r="AS439">
        <f t="shared" si="987"/>
        <v>0</v>
      </c>
      <c r="AT439" s="11">
        <f t="shared" si="987"/>
        <v>0</v>
      </c>
      <c r="AU439" s="13">
        <f t="shared" si="987"/>
        <v>0</v>
      </c>
      <c r="AV439">
        <f t="shared" si="987"/>
        <v>0</v>
      </c>
      <c r="AW439" s="16">
        <f t="shared" si="987"/>
        <v>0</v>
      </c>
      <c r="AX439" s="17">
        <f t="shared" si="987"/>
        <v>0</v>
      </c>
      <c r="AY439" s="15" t="str">
        <f t="shared" si="987"/>
        <v>p4c</v>
      </c>
      <c r="AZ439" s="61">
        <f t="shared" si="987"/>
        <v>0.76584319385710953</v>
      </c>
      <c r="BA439" s="451">
        <f t="shared" si="987"/>
        <v>0.76584319385710953</v>
      </c>
      <c r="BB439" s="451">
        <f t="shared" si="987"/>
        <v>0.76584319385710953</v>
      </c>
      <c r="BC439">
        <f t="shared" si="987"/>
        <v>0</v>
      </c>
      <c r="BD439">
        <f t="shared" si="987"/>
        <v>0</v>
      </c>
    </row>
    <row r="440" spans="1:56" x14ac:dyDescent="0.3">
      <c r="A440">
        <f t="shared" ref="A440:H440" si="988">A256</f>
        <v>0</v>
      </c>
      <c r="B440">
        <f t="shared" si="988"/>
        <v>0</v>
      </c>
      <c r="C440">
        <f t="shared" si="988"/>
        <v>0</v>
      </c>
      <c r="D440" s="11">
        <f t="shared" si="988"/>
        <v>0</v>
      </c>
      <c r="E440">
        <f t="shared" si="988"/>
        <v>0</v>
      </c>
      <c r="F440">
        <f t="shared" si="988"/>
        <v>0</v>
      </c>
      <c r="G440">
        <f t="shared" si="988"/>
        <v>0</v>
      </c>
      <c r="H440" s="11">
        <f t="shared" si="988"/>
        <v>0</v>
      </c>
      <c r="K440" s="12" t="str">
        <f t="shared" ref="K440:AA440" si="989">K256</f>
        <v>obtain palivizumab product</v>
      </c>
      <c r="L440" s="30">
        <f t="shared" si="989"/>
        <v>4114.4427800000003</v>
      </c>
      <c r="M440" s="438">
        <f t="shared" si="989"/>
        <v>0</v>
      </c>
      <c r="N440" s="11">
        <f t="shared" si="989"/>
        <v>0</v>
      </c>
      <c r="O440" s="13">
        <f t="shared" si="989"/>
        <v>0</v>
      </c>
      <c r="P440" s="13">
        <f t="shared" si="989"/>
        <v>0</v>
      </c>
      <c r="Q440" s="11">
        <f t="shared" si="989"/>
        <v>0</v>
      </c>
      <c r="R440" s="13">
        <f t="shared" si="989"/>
        <v>0</v>
      </c>
      <c r="S440">
        <f t="shared" si="989"/>
        <v>0</v>
      </c>
      <c r="T440" s="11">
        <f t="shared" si="989"/>
        <v>0</v>
      </c>
      <c r="U440" s="13">
        <f t="shared" si="989"/>
        <v>0</v>
      </c>
      <c r="V440" s="2">
        <f t="shared" si="989"/>
        <v>0</v>
      </c>
      <c r="W440">
        <f t="shared" si="989"/>
        <v>0.42911403910169688</v>
      </c>
      <c r="X440" s="452">
        <f t="shared" si="989"/>
        <v>0.42911403910169688</v>
      </c>
      <c r="Y440" s="452">
        <f t="shared" si="989"/>
        <v>0.42911403910169688</v>
      </c>
      <c r="Z440">
        <f t="shared" si="989"/>
        <v>0</v>
      </c>
      <c r="AA440">
        <f t="shared" si="989"/>
        <v>0</v>
      </c>
      <c r="AD440">
        <f t="shared" ref="AD440:AK440" si="990">AD256</f>
        <v>0</v>
      </c>
      <c r="AE440">
        <f t="shared" si="990"/>
        <v>0</v>
      </c>
      <c r="AF440">
        <f t="shared" si="990"/>
        <v>0</v>
      </c>
      <c r="AG440" s="11">
        <f t="shared" si="990"/>
        <v>0</v>
      </c>
      <c r="AH440">
        <f t="shared" si="990"/>
        <v>0</v>
      </c>
      <c r="AI440">
        <f t="shared" si="990"/>
        <v>0</v>
      </c>
      <c r="AJ440">
        <f t="shared" si="990"/>
        <v>0</v>
      </c>
      <c r="AK440" s="11">
        <f t="shared" si="990"/>
        <v>0</v>
      </c>
      <c r="AN440" s="12" t="str">
        <f t="shared" ref="AN440:BD440" si="991">AN256</f>
        <v>obtain palivizumab product</v>
      </c>
      <c r="AO440" s="30">
        <f t="shared" si="991"/>
        <v>4114.4427800000003</v>
      </c>
      <c r="AP440" s="500">
        <f t="shared" si="991"/>
        <v>0</v>
      </c>
      <c r="AQ440" s="11">
        <f t="shared" si="991"/>
        <v>0</v>
      </c>
      <c r="AR440" s="13">
        <f t="shared" si="991"/>
        <v>0</v>
      </c>
      <c r="AS440" s="13">
        <f t="shared" si="991"/>
        <v>0</v>
      </c>
      <c r="AT440" s="11">
        <f t="shared" si="991"/>
        <v>0</v>
      </c>
      <c r="AU440" s="13">
        <f t="shared" si="991"/>
        <v>0</v>
      </c>
      <c r="AV440">
        <f t="shared" si="991"/>
        <v>0</v>
      </c>
      <c r="AW440" s="11">
        <f t="shared" si="991"/>
        <v>0</v>
      </c>
      <c r="AX440" s="13">
        <f t="shared" si="991"/>
        <v>0</v>
      </c>
      <c r="AY440" s="2">
        <f t="shared" si="991"/>
        <v>0</v>
      </c>
      <c r="AZ440">
        <f t="shared" si="991"/>
        <v>1.5025619072578801E-2</v>
      </c>
      <c r="BA440" s="452">
        <f t="shared" si="991"/>
        <v>1.5025619072578801E-2</v>
      </c>
      <c r="BB440" s="452">
        <f t="shared" si="991"/>
        <v>1.5025619072578801E-2</v>
      </c>
      <c r="BC440">
        <f t="shared" si="991"/>
        <v>0</v>
      </c>
      <c r="BD440">
        <f t="shared" si="991"/>
        <v>0</v>
      </c>
    </row>
    <row r="441" spans="1:56" x14ac:dyDescent="0.3">
      <c r="A441">
        <f t="shared" ref="A441:AA441" si="992">A257</f>
        <v>0</v>
      </c>
      <c r="B441">
        <f t="shared" si="992"/>
        <v>0</v>
      </c>
      <c r="C441">
        <f t="shared" si="992"/>
        <v>0</v>
      </c>
      <c r="D441" s="11">
        <f t="shared" si="992"/>
        <v>0</v>
      </c>
      <c r="E441">
        <f t="shared" si="992"/>
        <v>0</v>
      </c>
      <c r="F441">
        <f t="shared" si="992"/>
        <v>0</v>
      </c>
      <c r="G441">
        <f t="shared" si="992"/>
        <v>0</v>
      </c>
      <c r="H441" s="11">
        <f t="shared" si="992"/>
        <v>0</v>
      </c>
      <c r="I441">
        <f t="shared" si="992"/>
        <v>0</v>
      </c>
      <c r="J441">
        <f t="shared" si="992"/>
        <v>0</v>
      </c>
      <c r="K441" s="59" t="str">
        <f t="shared" si="992"/>
        <v>p2</v>
      </c>
      <c r="L441" s="60">
        <f t="shared" si="992"/>
        <v>0.38</v>
      </c>
      <c r="M441">
        <f t="shared" si="992"/>
        <v>0</v>
      </c>
      <c r="N441" s="11">
        <f t="shared" si="992"/>
        <v>0</v>
      </c>
      <c r="O441" s="13">
        <f t="shared" si="992"/>
        <v>0</v>
      </c>
      <c r="P441">
        <f t="shared" si="992"/>
        <v>0</v>
      </c>
      <c r="Q441" s="65" t="str">
        <f t="shared" si="992"/>
        <v>1-p6</v>
      </c>
      <c r="R441" s="67">
        <f t="shared" si="992"/>
        <v>0.49</v>
      </c>
      <c r="S441" s="438">
        <f t="shared" si="992"/>
        <v>0</v>
      </c>
      <c r="T441" s="18">
        <f t="shared" si="992"/>
        <v>0</v>
      </c>
      <c r="U441" s="438">
        <f t="shared" si="992"/>
        <v>0</v>
      </c>
      <c r="V441" s="12" t="str">
        <f t="shared" si="992"/>
        <v>ED</v>
      </c>
      <c r="W441" s="33">
        <f t="shared" si="992"/>
        <v>1564.2589857561568</v>
      </c>
      <c r="X441" s="450">
        <f t="shared" si="992"/>
        <v>1424.5930048850714</v>
      </c>
      <c r="Y441" s="450">
        <f t="shared" si="992"/>
        <v>1703.9249666272419</v>
      </c>
      <c r="Z441">
        <f t="shared" si="992"/>
        <v>0</v>
      </c>
      <c r="AA441">
        <f t="shared" si="992"/>
        <v>0</v>
      </c>
      <c r="AD441">
        <f t="shared" ref="AD441:BD441" si="993">AD257</f>
        <v>0</v>
      </c>
      <c r="AE441">
        <f t="shared" si="993"/>
        <v>0</v>
      </c>
      <c r="AF441">
        <f t="shared" si="993"/>
        <v>0</v>
      </c>
      <c r="AG441" s="11">
        <f t="shared" si="993"/>
        <v>0</v>
      </c>
      <c r="AH441">
        <f t="shared" si="993"/>
        <v>0</v>
      </c>
      <c r="AI441">
        <f t="shared" si="993"/>
        <v>0</v>
      </c>
      <c r="AJ441">
        <f t="shared" si="993"/>
        <v>0</v>
      </c>
      <c r="AK441" s="11">
        <f t="shared" si="993"/>
        <v>0</v>
      </c>
      <c r="AL441">
        <f t="shared" si="993"/>
        <v>0</v>
      </c>
      <c r="AM441">
        <f t="shared" si="993"/>
        <v>0</v>
      </c>
      <c r="AN441" s="59" t="str">
        <f t="shared" si="993"/>
        <v>p2</v>
      </c>
      <c r="AO441" s="60">
        <f t="shared" si="993"/>
        <v>0.38</v>
      </c>
      <c r="AP441">
        <f t="shared" si="993"/>
        <v>0</v>
      </c>
      <c r="AQ441" s="11">
        <f t="shared" si="993"/>
        <v>0</v>
      </c>
      <c r="AR441" s="13">
        <f t="shared" si="993"/>
        <v>0</v>
      </c>
      <c r="AS441">
        <f t="shared" si="993"/>
        <v>0</v>
      </c>
      <c r="AT441" s="65" t="str">
        <f t="shared" si="993"/>
        <v>1-p6</v>
      </c>
      <c r="AU441" s="67">
        <f t="shared" si="993"/>
        <v>0.49</v>
      </c>
      <c r="AV441" s="500">
        <f t="shared" si="993"/>
        <v>0</v>
      </c>
      <c r="AW441" s="18">
        <f t="shared" si="993"/>
        <v>0</v>
      </c>
      <c r="AX441" s="500">
        <f t="shared" si="993"/>
        <v>0</v>
      </c>
      <c r="AY441" s="12" t="str">
        <f t="shared" si="993"/>
        <v>ED</v>
      </c>
      <c r="AZ441" s="33">
        <f t="shared" si="993"/>
        <v>613.67496954396802</v>
      </c>
      <c r="BA441" s="450">
        <f t="shared" si="993"/>
        <v>581.91025115144487</v>
      </c>
      <c r="BB441" s="450">
        <f t="shared" si="993"/>
        <v>696.01030039682587</v>
      </c>
      <c r="BC441">
        <f t="shared" si="993"/>
        <v>0</v>
      </c>
      <c r="BD441">
        <f t="shared" si="993"/>
        <v>0</v>
      </c>
    </row>
    <row r="442" spans="1:56" x14ac:dyDescent="0.3">
      <c r="A442">
        <f t="shared" ref="A442:O442" si="994">A258</f>
        <v>0</v>
      </c>
      <c r="B442">
        <f t="shared" si="994"/>
        <v>0</v>
      </c>
      <c r="C442">
        <f t="shared" si="994"/>
        <v>0</v>
      </c>
      <c r="D442" s="11">
        <f t="shared" si="994"/>
        <v>0</v>
      </c>
      <c r="E442">
        <f t="shared" si="994"/>
        <v>0</v>
      </c>
      <c r="F442">
        <f t="shared" si="994"/>
        <v>0</v>
      </c>
      <c r="G442">
        <f t="shared" si="994"/>
        <v>0</v>
      </c>
      <c r="H442" s="11">
        <f t="shared" si="994"/>
        <v>0</v>
      </c>
      <c r="I442">
        <f t="shared" si="994"/>
        <v>0</v>
      </c>
      <c r="J442">
        <f t="shared" si="994"/>
        <v>0</v>
      </c>
      <c r="K442" s="11">
        <f t="shared" si="994"/>
        <v>0</v>
      </c>
      <c r="L442">
        <f t="shared" si="994"/>
        <v>0</v>
      </c>
      <c r="M442">
        <f t="shared" si="994"/>
        <v>0</v>
      </c>
      <c r="N442" s="11">
        <f t="shared" si="994"/>
        <v>0</v>
      </c>
      <c r="O442" s="13">
        <f t="shared" si="994"/>
        <v>0</v>
      </c>
      <c r="Q442" s="2" t="str">
        <f t="shared" ref="Q442:AA442" si="995">Q258</f>
        <v>MA attended for RSV due to Vaccine Failure &amp;</v>
      </c>
      <c r="R442" s="71">
        <f t="shared" si="995"/>
        <v>4470.5818310614904</v>
      </c>
      <c r="S442">
        <f t="shared" si="995"/>
        <v>0</v>
      </c>
      <c r="T442" s="11">
        <f t="shared" si="995"/>
        <v>0</v>
      </c>
      <c r="U442" s="13">
        <f t="shared" si="995"/>
        <v>0</v>
      </c>
      <c r="V442" s="2" t="str">
        <f t="shared" si="995"/>
        <v>p4b</v>
      </c>
      <c r="W442" s="61">
        <f t="shared" si="995"/>
        <v>0.55998491824682028</v>
      </c>
      <c r="X442" s="451">
        <f t="shared" si="995"/>
        <v>0.55998491824682028</v>
      </c>
      <c r="Y442" s="451">
        <f t="shared" si="995"/>
        <v>0.55998491824682028</v>
      </c>
      <c r="Z442">
        <f t="shared" si="995"/>
        <v>0</v>
      </c>
      <c r="AA442">
        <f t="shared" si="995"/>
        <v>0</v>
      </c>
      <c r="AD442">
        <f t="shared" ref="AD442:AR442" si="996">AD258</f>
        <v>0</v>
      </c>
      <c r="AE442">
        <f t="shared" si="996"/>
        <v>0</v>
      </c>
      <c r="AF442">
        <f t="shared" si="996"/>
        <v>0</v>
      </c>
      <c r="AG442" s="11">
        <f t="shared" si="996"/>
        <v>0</v>
      </c>
      <c r="AH442">
        <f t="shared" si="996"/>
        <v>0</v>
      </c>
      <c r="AI442">
        <f t="shared" si="996"/>
        <v>0</v>
      </c>
      <c r="AJ442">
        <f t="shared" si="996"/>
        <v>0</v>
      </c>
      <c r="AK442" s="11">
        <f t="shared" si="996"/>
        <v>0</v>
      </c>
      <c r="AL442">
        <f t="shared" si="996"/>
        <v>0</v>
      </c>
      <c r="AM442">
        <f t="shared" si="996"/>
        <v>0</v>
      </c>
      <c r="AN442" s="11">
        <f t="shared" si="996"/>
        <v>0</v>
      </c>
      <c r="AO442">
        <f t="shared" si="996"/>
        <v>0</v>
      </c>
      <c r="AP442">
        <f t="shared" si="996"/>
        <v>0</v>
      </c>
      <c r="AQ442" s="11">
        <f t="shared" si="996"/>
        <v>0</v>
      </c>
      <c r="AR442" s="13">
        <f t="shared" si="996"/>
        <v>0</v>
      </c>
      <c r="AT442" s="2" t="str">
        <f t="shared" ref="AT442:BD442" si="997">AT258</f>
        <v>MA attended for RSV due to Vaccine Failure &amp;</v>
      </c>
      <c r="AU442" s="71" t="e">
        <f t="shared" si="997"/>
        <v>#REF!</v>
      </c>
      <c r="AV442">
        <f t="shared" si="997"/>
        <v>0</v>
      </c>
      <c r="AW442" s="11">
        <f t="shared" si="997"/>
        <v>0</v>
      </c>
      <c r="AX442" s="13">
        <f t="shared" si="997"/>
        <v>0</v>
      </c>
      <c r="AY442" s="2" t="str">
        <f t="shared" si="997"/>
        <v>p4b</v>
      </c>
      <c r="AZ442" s="61">
        <f t="shared" si="997"/>
        <v>0.30439064631456758</v>
      </c>
      <c r="BA442" s="451">
        <f t="shared" si="997"/>
        <v>0.30439064631456758</v>
      </c>
      <c r="BB442" s="451">
        <f t="shared" si="997"/>
        <v>0.30439064631456758</v>
      </c>
      <c r="BC442">
        <f t="shared" si="997"/>
        <v>0</v>
      </c>
      <c r="BD442">
        <f t="shared" si="997"/>
        <v>0</v>
      </c>
    </row>
    <row r="443" spans="1:56" x14ac:dyDescent="0.3">
      <c r="A443">
        <f t="shared" ref="A443:N443" si="998">A259</f>
        <v>0</v>
      </c>
      <c r="B443">
        <f t="shared" si="998"/>
        <v>0</v>
      </c>
      <c r="C443">
        <f t="shared" si="998"/>
        <v>0</v>
      </c>
      <c r="D443" s="11">
        <f t="shared" si="998"/>
        <v>0</v>
      </c>
      <c r="E443">
        <f t="shared" si="998"/>
        <v>0</v>
      </c>
      <c r="F443">
        <f t="shared" si="998"/>
        <v>0</v>
      </c>
      <c r="G443">
        <f t="shared" si="998"/>
        <v>0</v>
      </c>
      <c r="H443" s="11">
        <f t="shared" si="998"/>
        <v>0</v>
      </c>
      <c r="I443">
        <f t="shared" si="998"/>
        <v>0</v>
      </c>
      <c r="J443">
        <f t="shared" si="998"/>
        <v>0</v>
      </c>
      <c r="K443" s="11">
        <f t="shared" si="998"/>
        <v>0</v>
      </c>
      <c r="L443">
        <f t="shared" si="998"/>
        <v>0</v>
      </c>
      <c r="M443">
        <f t="shared" si="998"/>
        <v>0</v>
      </c>
      <c r="N443" s="11">
        <f t="shared" si="998"/>
        <v>0</v>
      </c>
      <c r="O443" s="13"/>
      <c r="Q443" s="2" t="str">
        <f t="shared" ref="Q443:AA443" si="999">Q259</f>
        <v>post-immun. protection period</v>
      </c>
      <c r="R443" s="13">
        <f t="shared" si="999"/>
        <v>0</v>
      </c>
      <c r="S443">
        <f t="shared" si="999"/>
        <v>0</v>
      </c>
      <c r="T443" s="11">
        <f t="shared" si="999"/>
        <v>0</v>
      </c>
      <c r="U443" s="13">
        <f t="shared" si="999"/>
        <v>0</v>
      </c>
      <c r="V443" s="2">
        <f t="shared" si="999"/>
        <v>0</v>
      </c>
      <c r="W443">
        <f t="shared" si="999"/>
        <v>0.10579471295971989</v>
      </c>
      <c r="X443" s="452">
        <f t="shared" si="999"/>
        <v>0.10579471295971989</v>
      </c>
      <c r="Y443" s="452">
        <f t="shared" si="999"/>
        <v>0.10579471295971989</v>
      </c>
      <c r="Z443">
        <f t="shared" si="999"/>
        <v>0</v>
      </c>
      <c r="AA443">
        <f t="shared" si="999"/>
        <v>0</v>
      </c>
      <c r="AD443">
        <f t="shared" ref="AD443:AQ443" si="1000">AD259</f>
        <v>0</v>
      </c>
      <c r="AE443">
        <f t="shared" si="1000"/>
        <v>0</v>
      </c>
      <c r="AF443">
        <f t="shared" si="1000"/>
        <v>0</v>
      </c>
      <c r="AG443" s="11">
        <f t="shared" si="1000"/>
        <v>0</v>
      </c>
      <c r="AH443">
        <f t="shared" si="1000"/>
        <v>0</v>
      </c>
      <c r="AI443">
        <f t="shared" si="1000"/>
        <v>0</v>
      </c>
      <c r="AJ443">
        <f t="shared" si="1000"/>
        <v>0</v>
      </c>
      <c r="AK443" s="11">
        <f t="shared" si="1000"/>
        <v>0</v>
      </c>
      <c r="AL443">
        <f t="shared" si="1000"/>
        <v>0</v>
      </c>
      <c r="AM443">
        <f t="shared" si="1000"/>
        <v>0</v>
      </c>
      <c r="AN443" s="11">
        <f t="shared" si="1000"/>
        <v>0</v>
      </c>
      <c r="AO443">
        <f t="shared" si="1000"/>
        <v>0</v>
      </c>
      <c r="AP443">
        <f t="shared" si="1000"/>
        <v>0</v>
      </c>
      <c r="AQ443" s="11">
        <f t="shared" si="1000"/>
        <v>0</v>
      </c>
      <c r="AR443" s="13"/>
      <c r="AT443" s="2" t="str">
        <f t="shared" ref="AT443:BD443" si="1001">AT259</f>
        <v>post-immun. protection period</v>
      </c>
      <c r="AU443" s="13">
        <f t="shared" si="1001"/>
        <v>0</v>
      </c>
      <c r="AV443">
        <f t="shared" si="1001"/>
        <v>0</v>
      </c>
      <c r="AW443" s="11">
        <f t="shared" si="1001"/>
        <v>0</v>
      </c>
      <c r="AX443" s="13">
        <f t="shared" si="1001"/>
        <v>0</v>
      </c>
      <c r="AY443" s="2">
        <f t="shared" si="1001"/>
        <v>0</v>
      </c>
      <c r="AZ443">
        <f t="shared" si="1001"/>
        <v>6.1454995444528478E-3</v>
      </c>
      <c r="BA443" s="452">
        <f t="shared" si="1001"/>
        <v>6.1454995444528478E-3</v>
      </c>
      <c r="BB443" s="452">
        <f t="shared" si="1001"/>
        <v>6.1454995444528478E-3</v>
      </c>
      <c r="BC443">
        <f t="shared" si="1001"/>
        <v>0</v>
      </c>
      <c r="BD443">
        <f t="shared" si="1001"/>
        <v>0</v>
      </c>
    </row>
    <row r="444" spans="1:56" x14ac:dyDescent="0.3">
      <c r="A444">
        <f t="shared" ref="A444:T444" si="1002">A260</f>
        <v>0</v>
      </c>
      <c r="B444">
        <f t="shared" si="1002"/>
        <v>0</v>
      </c>
      <c r="C444">
        <f t="shared" si="1002"/>
        <v>0</v>
      </c>
      <c r="D444" s="11">
        <f t="shared" si="1002"/>
        <v>0</v>
      </c>
      <c r="E444">
        <f t="shared" si="1002"/>
        <v>0</v>
      </c>
      <c r="F444">
        <f t="shared" si="1002"/>
        <v>0</v>
      </c>
      <c r="G444">
        <f t="shared" si="1002"/>
        <v>0</v>
      </c>
      <c r="H444" s="11">
        <f t="shared" si="1002"/>
        <v>0</v>
      </c>
      <c r="I444">
        <f t="shared" si="1002"/>
        <v>0</v>
      </c>
      <c r="J444">
        <f t="shared" si="1002"/>
        <v>0</v>
      </c>
      <c r="K444" s="11">
        <f t="shared" si="1002"/>
        <v>0</v>
      </c>
      <c r="L444">
        <f t="shared" si="1002"/>
        <v>0</v>
      </c>
      <c r="M444">
        <f t="shared" si="1002"/>
        <v>0</v>
      </c>
      <c r="N444" s="11">
        <f t="shared" si="1002"/>
        <v>0</v>
      </c>
      <c r="O444">
        <f t="shared" si="1002"/>
        <v>0</v>
      </c>
      <c r="P444">
        <f t="shared" si="1002"/>
        <v>0</v>
      </c>
      <c r="Q444">
        <f t="shared" si="1002"/>
        <v>0</v>
      </c>
      <c r="R444">
        <f t="shared" si="1002"/>
        <v>0</v>
      </c>
      <c r="S444">
        <f t="shared" si="1002"/>
        <v>0</v>
      </c>
      <c r="T444" s="18">
        <f t="shared" si="1002"/>
        <v>0</v>
      </c>
      <c r="U444" s="438"/>
      <c r="V444" s="12" t="str">
        <f t="shared" ref="V444:AA444" si="1003">V260</f>
        <v>Hospitalized</v>
      </c>
      <c r="W444" s="30">
        <f t="shared" si="1003"/>
        <v>380.58551892485076</v>
      </c>
      <c r="X444" s="453">
        <f t="shared" si="1003"/>
        <v>346.60466902084625</v>
      </c>
      <c r="Y444" s="453">
        <f t="shared" si="1003"/>
        <v>414.56636882885516</v>
      </c>
      <c r="Z444">
        <f t="shared" si="1003"/>
        <v>0</v>
      </c>
      <c r="AA444">
        <f t="shared" si="1003"/>
        <v>0</v>
      </c>
      <c r="AD444">
        <f t="shared" ref="AD444:AW444" si="1004">AD260</f>
        <v>0</v>
      </c>
      <c r="AE444">
        <f t="shared" si="1004"/>
        <v>0</v>
      </c>
      <c r="AF444">
        <f t="shared" si="1004"/>
        <v>0</v>
      </c>
      <c r="AG444" s="11">
        <f t="shared" si="1004"/>
        <v>0</v>
      </c>
      <c r="AH444">
        <f t="shared" si="1004"/>
        <v>0</v>
      </c>
      <c r="AI444">
        <f t="shared" si="1004"/>
        <v>0</v>
      </c>
      <c r="AJ444">
        <f t="shared" si="1004"/>
        <v>0</v>
      </c>
      <c r="AK444" s="11">
        <f t="shared" si="1004"/>
        <v>0</v>
      </c>
      <c r="AL444">
        <f t="shared" si="1004"/>
        <v>0</v>
      </c>
      <c r="AM444">
        <f t="shared" si="1004"/>
        <v>0</v>
      </c>
      <c r="AN444" s="11">
        <f t="shared" si="1004"/>
        <v>0</v>
      </c>
      <c r="AO444">
        <f t="shared" si="1004"/>
        <v>0</v>
      </c>
      <c r="AP444">
        <f t="shared" si="1004"/>
        <v>0</v>
      </c>
      <c r="AQ444" s="11">
        <f t="shared" si="1004"/>
        <v>0</v>
      </c>
      <c r="AR444">
        <f t="shared" si="1004"/>
        <v>0</v>
      </c>
      <c r="AS444">
        <f t="shared" si="1004"/>
        <v>0</v>
      </c>
      <c r="AT444">
        <f t="shared" si="1004"/>
        <v>0</v>
      </c>
      <c r="AU444">
        <f t="shared" si="1004"/>
        <v>0</v>
      </c>
      <c r="AV444">
        <f t="shared" si="1004"/>
        <v>0</v>
      </c>
      <c r="AW444" s="18">
        <f t="shared" si="1004"/>
        <v>0</v>
      </c>
      <c r="AX444" s="500"/>
      <c r="AY444" s="12" t="str">
        <f t="shared" ref="AY444:BD444" si="1005">AY260</f>
        <v>Hospitalized</v>
      </c>
      <c r="AZ444" s="30">
        <f t="shared" si="1005"/>
        <v>84.641768352892228</v>
      </c>
      <c r="BA444" s="453">
        <f t="shared" si="1005"/>
        <v>80.090486045193956</v>
      </c>
      <c r="BB444" s="453">
        <f t="shared" si="1005"/>
        <v>95.794502916800582</v>
      </c>
      <c r="BC444">
        <f t="shared" si="1005"/>
        <v>0</v>
      </c>
      <c r="BD444">
        <f t="shared" si="1005"/>
        <v>0</v>
      </c>
    </row>
    <row r="445" spans="1:56" x14ac:dyDescent="0.3">
      <c r="A445">
        <f t="shared" ref="A445:AA445" si="1006">A261</f>
        <v>0</v>
      </c>
      <c r="B445">
        <f t="shared" si="1006"/>
        <v>0</v>
      </c>
      <c r="C445">
        <f t="shared" si="1006"/>
        <v>0</v>
      </c>
      <c r="D445" s="11">
        <f t="shared" si="1006"/>
        <v>0</v>
      </c>
      <c r="E445">
        <f t="shared" si="1006"/>
        <v>0</v>
      </c>
      <c r="F445">
        <f t="shared" si="1006"/>
        <v>0</v>
      </c>
      <c r="G445">
        <f t="shared" si="1006"/>
        <v>0</v>
      </c>
      <c r="H445" s="11">
        <f t="shared" si="1006"/>
        <v>0</v>
      </c>
      <c r="I445">
        <f t="shared" si="1006"/>
        <v>0</v>
      </c>
      <c r="J445">
        <f t="shared" si="1006"/>
        <v>0</v>
      </c>
      <c r="K445" s="11">
        <f t="shared" si="1006"/>
        <v>0</v>
      </c>
      <c r="L445">
        <f t="shared" si="1006"/>
        <v>0</v>
      </c>
      <c r="M445">
        <f t="shared" si="1006"/>
        <v>0</v>
      </c>
      <c r="N445" s="18">
        <f t="shared" si="1006"/>
        <v>0</v>
      </c>
      <c r="O445" s="438">
        <f t="shared" si="1006"/>
        <v>0</v>
      </c>
      <c r="P445" s="438">
        <f t="shared" si="1006"/>
        <v>0</v>
      </c>
      <c r="Q445">
        <f t="shared" si="1006"/>
        <v>0</v>
      </c>
      <c r="R445">
        <f t="shared" si="1006"/>
        <v>0</v>
      </c>
      <c r="S445">
        <f t="shared" si="1006"/>
        <v>0</v>
      </c>
      <c r="T445">
        <f t="shared" si="1006"/>
        <v>0</v>
      </c>
      <c r="U445">
        <f t="shared" si="1006"/>
        <v>0</v>
      </c>
      <c r="V445" s="2" t="str">
        <f t="shared" si="1006"/>
        <v>p4c</v>
      </c>
      <c r="W445" s="61">
        <f t="shared" si="1006"/>
        <v>0.16641351979207206</v>
      </c>
      <c r="X445" s="451">
        <f t="shared" si="1006"/>
        <v>0.16641351979207206</v>
      </c>
      <c r="Y445" s="451">
        <f t="shared" si="1006"/>
        <v>0.16641351979207206</v>
      </c>
      <c r="Z445">
        <f t="shared" si="1006"/>
        <v>0</v>
      </c>
      <c r="AA445">
        <f t="shared" si="1006"/>
        <v>0</v>
      </c>
      <c r="AD445">
        <f t="shared" ref="AD445:BD445" si="1007">AD261</f>
        <v>0</v>
      </c>
      <c r="AE445">
        <f t="shared" si="1007"/>
        <v>0</v>
      </c>
      <c r="AF445">
        <f t="shared" si="1007"/>
        <v>0</v>
      </c>
      <c r="AG445" s="11">
        <f t="shared" si="1007"/>
        <v>0</v>
      </c>
      <c r="AH445">
        <f t="shared" si="1007"/>
        <v>0</v>
      </c>
      <c r="AI445">
        <f t="shared" si="1007"/>
        <v>0</v>
      </c>
      <c r="AJ445">
        <f t="shared" si="1007"/>
        <v>0</v>
      </c>
      <c r="AK445" s="11">
        <f t="shared" si="1007"/>
        <v>0</v>
      </c>
      <c r="AL445">
        <f t="shared" si="1007"/>
        <v>0</v>
      </c>
      <c r="AM445">
        <f t="shared" si="1007"/>
        <v>0</v>
      </c>
      <c r="AN445" s="11">
        <f t="shared" si="1007"/>
        <v>0</v>
      </c>
      <c r="AO445">
        <f t="shared" si="1007"/>
        <v>0</v>
      </c>
      <c r="AP445">
        <f t="shared" si="1007"/>
        <v>0</v>
      </c>
      <c r="AQ445" s="18">
        <f t="shared" si="1007"/>
        <v>0</v>
      </c>
      <c r="AR445" s="500">
        <f t="shared" si="1007"/>
        <v>0</v>
      </c>
      <c r="AS445" s="500">
        <f t="shared" si="1007"/>
        <v>0</v>
      </c>
      <c r="AT445">
        <f t="shared" si="1007"/>
        <v>0</v>
      </c>
      <c r="AU445">
        <f t="shared" si="1007"/>
        <v>0</v>
      </c>
      <c r="AV445">
        <f t="shared" si="1007"/>
        <v>0</v>
      </c>
      <c r="AW445">
        <f t="shared" si="1007"/>
        <v>0</v>
      </c>
      <c r="AX445">
        <f t="shared" si="1007"/>
        <v>0</v>
      </c>
      <c r="AY445" s="2" t="str">
        <f t="shared" si="1007"/>
        <v>p4c</v>
      </c>
      <c r="AZ445" s="61">
        <f t="shared" si="1007"/>
        <v>4.1983401397796216E-2</v>
      </c>
      <c r="BA445" s="451">
        <f t="shared" si="1007"/>
        <v>4.1983401397796216E-2</v>
      </c>
      <c r="BB445" s="451">
        <f t="shared" si="1007"/>
        <v>4.1983401397796216E-2</v>
      </c>
      <c r="BC445">
        <f t="shared" si="1007"/>
        <v>0</v>
      </c>
      <c r="BD445">
        <f t="shared" si="1007"/>
        <v>0</v>
      </c>
    </row>
    <row r="446" spans="1:56" x14ac:dyDescent="0.3">
      <c r="A446">
        <f t="shared" ref="A446:L446" si="1008">A262</f>
        <v>0</v>
      </c>
      <c r="B446">
        <f t="shared" si="1008"/>
        <v>0</v>
      </c>
      <c r="C446">
        <f t="shared" si="1008"/>
        <v>0</v>
      </c>
      <c r="D446" s="11">
        <f t="shared" si="1008"/>
        <v>0</v>
      </c>
      <c r="E446">
        <f t="shared" si="1008"/>
        <v>0</v>
      </c>
      <c r="F446">
        <f t="shared" si="1008"/>
        <v>0</v>
      </c>
      <c r="G446">
        <f t="shared" si="1008"/>
        <v>0</v>
      </c>
      <c r="H446" s="59" t="str">
        <f t="shared" si="1008"/>
        <v>p1</v>
      </c>
      <c r="I446" s="281">
        <f t="shared" si="1008"/>
        <v>9.7999999999999997E-3</v>
      </c>
      <c r="J446" s="51">
        <f t="shared" si="1008"/>
        <v>0</v>
      </c>
      <c r="K446" s="11">
        <f t="shared" si="1008"/>
        <v>0</v>
      </c>
      <c r="L446">
        <f t="shared" si="1008"/>
        <v>0</v>
      </c>
      <c r="N446" s="2" t="str">
        <f t="shared" ref="N446:AA446" si="1009">N262</f>
        <v>Not MA for RSV</v>
      </c>
      <c r="O446" s="63" t="str">
        <f t="shared" si="1009"/>
        <v>unknown</v>
      </c>
      <c r="P446" s="13">
        <f t="shared" si="1009"/>
        <v>0</v>
      </c>
      <c r="Q446">
        <f t="shared" si="1009"/>
        <v>0</v>
      </c>
      <c r="R446">
        <f t="shared" si="1009"/>
        <v>0</v>
      </c>
      <c r="S446">
        <f t="shared" si="1009"/>
        <v>0</v>
      </c>
      <c r="T446">
        <f t="shared" si="1009"/>
        <v>0</v>
      </c>
      <c r="U446">
        <f t="shared" si="1009"/>
        <v>0</v>
      </c>
      <c r="V446">
        <f t="shared" si="1009"/>
        <v>0</v>
      </c>
      <c r="W446">
        <f t="shared" si="1009"/>
        <v>1.095726879289363E-2</v>
      </c>
      <c r="X446">
        <f t="shared" si="1009"/>
        <v>1.095726879289363E-2</v>
      </c>
      <c r="Y446">
        <f t="shared" si="1009"/>
        <v>1.095726879289363E-2</v>
      </c>
      <c r="Z446">
        <f t="shared" si="1009"/>
        <v>0</v>
      </c>
      <c r="AA446">
        <f t="shared" si="1009"/>
        <v>0</v>
      </c>
      <c r="AD446">
        <f t="shared" ref="AD446:AO446" si="1010">AD262</f>
        <v>0</v>
      </c>
      <c r="AE446">
        <f t="shared" si="1010"/>
        <v>0</v>
      </c>
      <c r="AF446">
        <f t="shared" si="1010"/>
        <v>0</v>
      </c>
      <c r="AG446" s="11">
        <f t="shared" si="1010"/>
        <v>0</v>
      </c>
      <c r="AH446">
        <f t="shared" si="1010"/>
        <v>0</v>
      </c>
      <c r="AI446">
        <f t="shared" si="1010"/>
        <v>0</v>
      </c>
      <c r="AJ446">
        <f t="shared" si="1010"/>
        <v>0</v>
      </c>
      <c r="AK446" s="59" t="str">
        <f t="shared" si="1010"/>
        <v>p1</v>
      </c>
      <c r="AL446" s="281">
        <f t="shared" si="1010"/>
        <v>9.7999999999999997E-3</v>
      </c>
      <c r="AM446" s="51">
        <f t="shared" si="1010"/>
        <v>0</v>
      </c>
      <c r="AN446" s="11">
        <f t="shared" si="1010"/>
        <v>0</v>
      </c>
      <c r="AO446">
        <f t="shared" si="1010"/>
        <v>0</v>
      </c>
      <c r="AQ446" s="2" t="str">
        <f t="shared" ref="AQ446:BD446" si="1011">AQ262</f>
        <v>Not MA for RSV</v>
      </c>
      <c r="AR446" s="63" t="str">
        <f t="shared" si="1011"/>
        <v>unknown</v>
      </c>
      <c r="AS446" s="13">
        <f t="shared" si="1011"/>
        <v>0</v>
      </c>
      <c r="AT446">
        <f t="shared" si="1011"/>
        <v>0</v>
      </c>
      <c r="AU446">
        <f t="shared" si="1011"/>
        <v>0</v>
      </c>
      <c r="AV446">
        <f t="shared" si="1011"/>
        <v>0</v>
      </c>
      <c r="AW446">
        <f t="shared" si="1011"/>
        <v>0</v>
      </c>
      <c r="AX446">
        <f t="shared" si="1011"/>
        <v>0</v>
      </c>
      <c r="AY446">
        <f t="shared" si="1011"/>
        <v>0</v>
      </c>
      <c r="AZ446">
        <f t="shared" si="1011"/>
        <v>8.0222919714660352E-4</v>
      </c>
      <c r="BA446">
        <f t="shared" si="1011"/>
        <v>8.0222919714660352E-4</v>
      </c>
      <c r="BB446">
        <f t="shared" si="1011"/>
        <v>8.0222919714660352E-4</v>
      </c>
      <c r="BC446">
        <f t="shared" si="1011"/>
        <v>0</v>
      </c>
      <c r="BD446">
        <f t="shared" si="1011"/>
        <v>0</v>
      </c>
    </row>
    <row r="447" spans="1:56" x14ac:dyDescent="0.3">
      <c r="A447">
        <f t="shared" ref="A447:E447" si="1012">A263</f>
        <v>0</v>
      </c>
      <c r="B447">
        <f t="shared" si="1012"/>
        <v>0</v>
      </c>
      <c r="C447">
        <f t="shared" si="1012"/>
        <v>0</v>
      </c>
      <c r="D447" s="11">
        <f t="shared" si="1012"/>
        <v>0</v>
      </c>
      <c r="E447">
        <f t="shared" si="1012"/>
        <v>0</v>
      </c>
      <c r="H447" s="15" t="str">
        <f t="shared" ref="H447:AA447" si="1013">H263</f>
        <v>WiS high-risk births obtaining Mat Cand.</v>
      </c>
      <c r="I447" s="28">
        <f t="shared" si="1013"/>
        <v>10827.481</v>
      </c>
      <c r="J447">
        <f t="shared" si="1013"/>
        <v>0</v>
      </c>
      <c r="K447" s="11">
        <f t="shared" si="1013"/>
        <v>0</v>
      </c>
      <c r="L447">
        <f t="shared" si="1013"/>
        <v>0</v>
      </c>
      <c r="M447">
        <f t="shared" si="1013"/>
        <v>0</v>
      </c>
      <c r="N447">
        <f t="shared" si="1013"/>
        <v>0</v>
      </c>
      <c r="O447">
        <f t="shared" si="1013"/>
        <v>0</v>
      </c>
      <c r="P447">
        <f t="shared" si="1013"/>
        <v>0</v>
      </c>
      <c r="Q447">
        <f t="shared" si="1013"/>
        <v>0</v>
      </c>
      <c r="R447">
        <f t="shared" si="1013"/>
        <v>0</v>
      </c>
      <c r="S447">
        <f t="shared" si="1013"/>
        <v>0</v>
      </c>
      <c r="T447">
        <f t="shared" si="1013"/>
        <v>0</v>
      </c>
      <c r="U447">
        <f t="shared" si="1013"/>
        <v>0</v>
      </c>
      <c r="V447">
        <f t="shared" si="1013"/>
        <v>0</v>
      </c>
      <c r="W447">
        <f t="shared" si="1013"/>
        <v>0</v>
      </c>
      <c r="X447">
        <f t="shared" si="1013"/>
        <v>0</v>
      </c>
      <c r="Y447">
        <f t="shared" si="1013"/>
        <v>0</v>
      </c>
      <c r="Z447">
        <f t="shared" si="1013"/>
        <v>0</v>
      </c>
      <c r="AA447">
        <f t="shared" si="1013"/>
        <v>0</v>
      </c>
      <c r="AD447">
        <f t="shared" ref="AD447:AI447" si="1014">AD263</f>
        <v>0</v>
      </c>
      <c r="AE447">
        <f t="shared" si="1014"/>
        <v>0</v>
      </c>
      <c r="AF447">
        <f t="shared" si="1014"/>
        <v>0</v>
      </c>
      <c r="AG447" s="11">
        <f t="shared" si="1014"/>
        <v>0</v>
      </c>
      <c r="AH447">
        <f t="shared" si="1014"/>
        <v>0</v>
      </c>
      <c r="AI447">
        <f t="shared" si="1014"/>
        <v>0</v>
      </c>
      <c r="AK447" s="15" t="str">
        <f t="shared" ref="AK447:BD447" si="1015">AK263</f>
        <v>OoS high-risk births obtaining Mat Cand.</v>
      </c>
      <c r="AL447" s="28">
        <f t="shared" si="1015"/>
        <v>10827.481</v>
      </c>
      <c r="AM447">
        <f t="shared" si="1015"/>
        <v>0</v>
      </c>
      <c r="AN447" s="11">
        <f t="shared" si="1015"/>
        <v>0</v>
      </c>
      <c r="AO447">
        <f t="shared" si="1015"/>
        <v>0</v>
      </c>
      <c r="AP447">
        <f t="shared" si="1015"/>
        <v>0</v>
      </c>
      <c r="AQ447">
        <f t="shared" si="1015"/>
        <v>0</v>
      </c>
      <c r="AR447">
        <f t="shared" si="1015"/>
        <v>0</v>
      </c>
      <c r="AS447">
        <f t="shared" si="1015"/>
        <v>0</v>
      </c>
      <c r="AT447">
        <f t="shared" si="1015"/>
        <v>0</v>
      </c>
      <c r="AU447">
        <f t="shared" si="1015"/>
        <v>0</v>
      </c>
      <c r="AV447">
        <f t="shared" si="1015"/>
        <v>0</v>
      </c>
      <c r="AW447">
        <f t="shared" si="1015"/>
        <v>0</v>
      </c>
      <c r="AX447">
        <f t="shared" si="1015"/>
        <v>0</v>
      </c>
      <c r="AY447">
        <f t="shared" si="1015"/>
        <v>0</v>
      </c>
      <c r="AZ447">
        <f t="shared" si="1015"/>
        <v>0</v>
      </c>
      <c r="BA447">
        <f t="shared" si="1015"/>
        <v>0</v>
      </c>
      <c r="BB447">
        <f t="shared" si="1015"/>
        <v>0</v>
      </c>
      <c r="BC447">
        <f t="shared" si="1015"/>
        <v>0</v>
      </c>
      <c r="BD447">
        <f t="shared" si="1015"/>
        <v>0</v>
      </c>
    </row>
    <row r="448" spans="1:56" x14ac:dyDescent="0.3">
      <c r="A448">
        <f t="shared" ref="A448:AA448" si="1016">A264</f>
        <v>0</v>
      </c>
      <c r="B448">
        <f t="shared" si="1016"/>
        <v>0</v>
      </c>
      <c r="C448">
        <f t="shared" si="1016"/>
        <v>0</v>
      </c>
      <c r="D448" s="11">
        <f t="shared" si="1016"/>
        <v>0</v>
      </c>
      <c r="E448">
        <f t="shared" si="1016"/>
        <v>0</v>
      </c>
      <c r="F448">
        <f t="shared" si="1016"/>
        <v>0</v>
      </c>
      <c r="G448">
        <f t="shared" si="1016"/>
        <v>0</v>
      </c>
      <c r="J448">
        <f t="shared" si="1016"/>
        <v>0</v>
      </c>
      <c r="K448" s="11">
        <f t="shared" si="1016"/>
        <v>0</v>
      </c>
      <c r="L448">
        <f t="shared" si="1016"/>
        <v>0</v>
      </c>
      <c r="M448">
        <f t="shared" si="1016"/>
        <v>0</v>
      </c>
      <c r="N448">
        <f t="shared" si="1016"/>
        <v>0</v>
      </c>
      <c r="O448">
        <f t="shared" si="1016"/>
        <v>0</v>
      </c>
      <c r="P448">
        <f t="shared" si="1016"/>
        <v>0</v>
      </c>
      <c r="Q448">
        <f t="shared" si="1016"/>
        <v>0</v>
      </c>
      <c r="R448">
        <f t="shared" si="1016"/>
        <v>0</v>
      </c>
      <c r="S448">
        <f t="shared" si="1016"/>
        <v>0</v>
      </c>
      <c r="T448">
        <f t="shared" si="1016"/>
        <v>0</v>
      </c>
      <c r="U448">
        <f t="shared" si="1016"/>
        <v>0</v>
      </c>
      <c r="V448">
        <f t="shared" si="1016"/>
        <v>0</v>
      </c>
      <c r="W448">
        <f t="shared" si="1016"/>
        <v>0</v>
      </c>
      <c r="X448">
        <f t="shared" si="1016"/>
        <v>0</v>
      </c>
      <c r="Y448">
        <f t="shared" si="1016"/>
        <v>0</v>
      </c>
      <c r="Z448">
        <f t="shared" si="1016"/>
        <v>0</v>
      </c>
      <c r="AA448">
        <f t="shared" si="1016"/>
        <v>0</v>
      </c>
      <c r="AD448">
        <f t="shared" ref="AD448:AJ448" si="1017">AD264</f>
        <v>0</v>
      </c>
      <c r="AE448">
        <f t="shared" si="1017"/>
        <v>0</v>
      </c>
      <c r="AF448">
        <f t="shared" si="1017"/>
        <v>0</v>
      </c>
      <c r="AG448" s="11">
        <f t="shared" si="1017"/>
        <v>0</v>
      </c>
      <c r="AH448">
        <f t="shared" si="1017"/>
        <v>0</v>
      </c>
      <c r="AI448">
        <f t="shared" si="1017"/>
        <v>0</v>
      </c>
      <c r="AJ448" t="str">
        <f t="shared" si="1017"/>
        <v>OoS</v>
      </c>
      <c r="AM448">
        <f t="shared" ref="AM448:BD448" si="1018">AM264</f>
        <v>0</v>
      </c>
      <c r="AN448" s="11">
        <f t="shared" si="1018"/>
        <v>0</v>
      </c>
      <c r="AO448">
        <f t="shared" si="1018"/>
        <v>0</v>
      </c>
      <c r="AP448">
        <f t="shared" si="1018"/>
        <v>0</v>
      </c>
      <c r="AQ448">
        <f t="shared" si="1018"/>
        <v>0</v>
      </c>
      <c r="AR448">
        <f t="shared" si="1018"/>
        <v>0</v>
      </c>
      <c r="AS448">
        <f t="shared" si="1018"/>
        <v>0</v>
      </c>
      <c r="AT448">
        <f t="shared" si="1018"/>
        <v>0</v>
      </c>
      <c r="AU448">
        <f t="shared" si="1018"/>
        <v>0</v>
      </c>
      <c r="AV448">
        <f t="shared" si="1018"/>
        <v>0</v>
      </c>
      <c r="AW448">
        <f t="shared" si="1018"/>
        <v>0</v>
      </c>
      <c r="AX448">
        <f t="shared" si="1018"/>
        <v>0</v>
      </c>
      <c r="AY448">
        <f t="shared" si="1018"/>
        <v>0</v>
      </c>
      <c r="AZ448">
        <f t="shared" si="1018"/>
        <v>0</v>
      </c>
      <c r="BA448">
        <f t="shared" si="1018"/>
        <v>0</v>
      </c>
      <c r="BB448">
        <f t="shared" si="1018"/>
        <v>0</v>
      </c>
      <c r="BC448">
        <f t="shared" si="1018"/>
        <v>0</v>
      </c>
      <c r="BD448">
        <f t="shared" si="1018"/>
        <v>0</v>
      </c>
    </row>
    <row r="449" spans="1:56" x14ac:dyDescent="0.3">
      <c r="A449">
        <f t="shared" ref="A449:L449" si="1019">A265</f>
        <v>0</v>
      </c>
      <c r="B449">
        <f t="shared" si="1019"/>
        <v>0</v>
      </c>
      <c r="C449">
        <f t="shared" si="1019"/>
        <v>0</v>
      </c>
      <c r="D449" s="11">
        <f t="shared" si="1019"/>
        <v>0</v>
      </c>
      <c r="E449">
        <f t="shared" si="1019"/>
        <v>0</v>
      </c>
      <c r="F449">
        <f t="shared" si="1019"/>
        <v>0</v>
      </c>
      <c r="G449">
        <f t="shared" si="1019"/>
        <v>0</v>
      </c>
      <c r="J449">
        <f t="shared" si="1019"/>
        <v>0</v>
      </c>
      <c r="K449" s="11">
        <f t="shared" si="1019"/>
        <v>0</v>
      </c>
      <c r="L449">
        <f t="shared" si="1019"/>
        <v>0</v>
      </c>
      <c r="N449" s="2" t="str">
        <f t="shared" ref="N449:AA449" si="1020">N265</f>
        <v>Not MA for RSV</v>
      </c>
      <c r="O449" s="62" t="str">
        <f t="shared" si="1020"/>
        <v>unknown</v>
      </c>
      <c r="P449">
        <f t="shared" si="1020"/>
        <v>0</v>
      </c>
      <c r="Q449">
        <f t="shared" si="1020"/>
        <v>0</v>
      </c>
      <c r="R449">
        <f t="shared" si="1020"/>
        <v>0</v>
      </c>
      <c r="S449">
        <f t="shared" si="1020"/>
        <v>0</v>
      </c>
      <c r="T449">
        <f t="shared" si="1020"/>
        <v>0</v>
      </c>
      <c r="U449">
        <f t="shared" si="1020"/>
        <v>0</v>
      </c>
      <c r="V449">
        <f t="shared" si="1020"/>
        <v>0</v>
      </c>
      <c r="W449">
        <f t="shared" si="1020"/>
        <v>0</v>
      </c>
      <c r="X449">
        <f t="shared" si="1020"/>
        <v>0</v>
      </c>
      <c r="Y449">
        <f t="shared" si="1020"/>
        <v>0</v>
      </c>
      <c r="Z449">
        <f t="shared" si="1020"/>
        <v>0</v>
      </c>
      <c r="AA449">
        <f t="shared" si="1020"/>
        <v>0</v>
      </c>
      <c r="AD449">
        <f t="shared" ref="AD449:AJ449" si="1021">AD265</f>
        <v>0</v>
      </c>
      <c r="AE449">
        <f t="shared" si="1021"/>
        <v>0</v>
      </c>
      <c r="AF449">
        <f t="shared" si="1021"/>
        <v>0</v>
      </c>
      <c r="AG449" s="11">
        <f t="shared" si="1021"/>
        <v>0</v>
      </c>
      <c r="AH449">
        <f t="shared" si="1021"/>
        <v>0</v>
      </c>
      <c r="AI449">
        <f t="shared" si="1021"/>
        <v>0</v>
      </c>
      <c r="AJ449" t="str">
        <f t="shared" si="1021"/>
        <v>OoS</v>
      </c>
      <c r="AM449">
        <f t="shared" ref="AM449:AO449" si="1022">AM265</f>
        <v>0</v>
      </c>
      <c r="AN449" s="11">
        <f t="shared" si="1022"/>
        <v>0</v>
      </c>
      <c r="AO449">
        <f t="shared" si="1022"/>
        <v>0</v>
      </c>
      <c r="AQ449" s="2" t="str">
        <f t="shared" ref="AQ449:BD449" si="1023">AQ265</f>
        <v>Not MA for RSV</v>
      </c>
      <c r="AR449" s="62" t="str">
        <f t="shared" si="1023"/>
        <v>unknown</v>
      </c>
      <c r="AS449">
        <f t="shared" si="1023"/>
        <v>0</v>
      </c>
      <c r="AT449">
        <f t="shared" si="1023"/>
        <v>0</v>
      </c>
      <c r="AU449">
        <f t="shared" si="1023"/>
        <v>0</v>
      </c>
      <c r="AV449">
        <f t="shared" si="1023"/>
        <v>0</v>
      </c>
      <c r="AW449">
        <f t="shared" si="1023"/>
        <v>0</v>
      </c>
      <c r="AX449">
        <f t="shared" si="1023"/>
        <v>0</v>
      </c>
      <c r="AY449">
        <f t="shared" si="1023"/>
        <v>0</v>
      </c>
      <c r="AZ449">
        <f t="shared" si="1023"/>
        <v>0</v>
      </c>
      <c r="BA449">
        <f t="shared" si="1023"/>
        <v>0</v>
      </c>
      <c r="BB449">
        <f t="shared" si="1023"/>
        <v>0</v>
      </c>
      <c r="BC449">
        <f t="shared" si="1023"/>
        <v>0</v>
      </c>
      <c r="BD449">
        <f t="shared" si="1023"/>
        <v>0</v>
      </c>
    </row>
    <row r="450" spans="1:56" x14ac:dyDescent="0.3">
      <c r="A450">
        <f t="shared" ref="A450:AA450" si="1024">A266</f>
        <v>0</v>
      </c>
      <c r="B450">
        <f t="shared" si="1024"/>
        <v>0</v>
      </c>
      <c r="C450">
        <f t="shared" si="1024"/>
        <v>0</v>
      </c>
      <c r="D450" s="11">
        <f t="shared" si="1024"/>
        <v>0</v>
      </c>
      <c r="E450">
        <f t="shared" si="1024"/>
        <v>0</v>
      </c>
      <c r="F450">
        <f t="shared" si="1024"/>
        <v>0</v>
      </c>
      <c r="G450">
        <f t="shared" si="1024"/>
        <v>0</v>
      </c>
      <c r="H450">
        <f t="shared" si="1024"/>
        <v>0</v>
      </c>
      <c r="I450">
        <f t="shared" si="1024"/>
        <v>0</v>
      </c>
      <c r="J450">
        <f t="shared" si="1024"/>
        <v>0</v>
      </c>
      <c r="K450" s="11">
        <f t="shared" si="1024"/>
        <v>0</v>
      </c>
      <c r="L450">
        <f t="shared" si="1024"/>
        <v>0</v>
      </c>
      <c r="M450">
        <f t="shared" si="1024"/>
        <v>0</v>
      </c>
      <c r="N450" s="16">
        <f t="shared" si="1024"/>
        <v>0</v>
      </c>
      <c r="O450">
        <f t="shared" si="1024"/>
        <v>0</v>
      </c>
      <c r="P450" s="17">
        <f t="shared" si="1024"/>
        <v>0</v>
      </c>
      <c r="Q450">
        <f t="shared" si="1024"/>
        <v>0</v>
      </c>
      <c r="R450">
        <f t="shared" si="1024"/>
        <v>0</v>
      </c>
      <c r="S450">
        <f t="shared" si="1024"/>
        <v>0</v>
      </c>
      <c r="U450">
        <f t="shared" si="1024"/>
        <v>0</v>
      </c>
      <c r="V450">
        <f t="shared" si="1024"/>
        <v>0</v>
      </c>
      <c r="W450">
        <f t="shared" si="1024"/>
        <v>0</v>
      </c>
      <c r="X450" s="29">
        <f t="shared" si="1024"/>
        <v>0</v>
      </c>
      <c r="Y450">
        <f t="shared" si="1024"/>
        <v>0</v>
      </c>
      <c r="Z450">
        <f t="shared" si="1024"/>
        <v>0</v>
      </c>
      <c r="AA450">
        <f t="shared" si="1024"/>
        <v>0</v>
      </c>
      <c r="AD450">
        <f t="shared" ref="AD450:AV450" si="1025">AD266</f>
        <v>0</v>
      </c>
      <c r="AE450">
        <f t="shared" si="1025"/>
        <v>0</v>
      </c>
      <c r="AF450">
        <f t="shared" si="1025"/>
        <v>0</v>
      </c>
      <c r="AG450" s="11">
        <f t="shared" si="1025"/>
        <v>0</v>
      </c>
      <c r="AH450">
        <f t="shared" si="1025"/>
        <v>0</v>
      </c>
      <c r="AI450">
        <f t="shared" si="1025"/>
        <v>0</v>
      </c>
      <c r="AJ450">
        <f t="shared" si="1025"/>
        <v>0</v>
      </c>
      <c r="AK450">
        <f t="shared" si="1025"/>
        <v>0</v>
      </c>
      <c r="AL450">
        <f t="shared" si="1025"/>
        <v>0</v>
      </c>
      <c r="AM450">
        <f t="shared" si="1025"/>
        <v>0</v>
      </c>
      <c r="AN450" s="11">
        <f t="shared" si="1025"/>
        <v>0</v>
      </c>
      <c r="AO450">
        <f t="shared" si="1025"/>
        <v>0</v>
      </c>
      <c r="AP450">
        <f t="shared" si="1025"/>
        <v>0</v>
      </c>
      <c r="AQ450" s="16">
        <f t="shared" si="1025"/>
        <v>0</v>
      </c>
      <c r="AR450">
        <f t="shared" si="1025"/>
        <v>0</v>
      </c>
      <c r="AS450" s="17">
        <f t="shared" si="1025"/>
        <v>0</v>
      </c>
      <c r="AT450">
        <f t="shared" si="1025"/>
        <v>0</v>
      </c>
      <c r="AU450">
        <f t="shared" si="1025"/>
        <v>0</v>
      </c>
      <c r="AV450">
        <f t="shared" si="1025"/>
        <v>0</v>
      </c>
      <c r="AX450">
        <f t="shared" ref="AX450:BD450" si="1026">AX266</f>
        <v>0</v>
      </c>
      <c r="AY450">
        <f t="shared" si="1026"/>
        <v>0</v>
      </c>
      <c r="AZ450">
        <f t="shared" si="1026"/>
        <v>0</v>
      </c>
      <c r="BA450" s="29">
        <f t="shared" si="1026"/>
        <v>0</v>
      </c>
      <c r="BB450">
        <f t="shared" si="1026"/>
        <v>0</v>
      </c>
      <c r="BC450">
        <f t="shared" si="1026"/>
        <v>0</v>
      </c>
      <c r="BD450">
        <f t="shared" si="1026"/>
        <v>0</v>
      </c>
    </row>
    <row r="451" spans="1:56" x14ac:dyDescent="0.3">
      <c r="A451">
        <f t="shared" ref="A451:AA451" si="1027">A267</f>
        <v>0</v>
      </c>
      <c r="B451">
        <f t="shared" si="1027"/>
        <v>0</v>
      </c>
      <c r="C451">
        <f t="shared" si="1027"/>
        <v>0</v>
      </c>
      <c r="D451" s="11">
        <f t="shared" si="1027"/>
        <v>0</v>
      </c>
      <c r="E451">
        <f t="shared" si="1027"/>
        <v>0</v>
      </c>
      <c r="F451">
        <f t="shared" si="1027"/>
        <v>0</v>
      </c>
      <c r="G451">
        <f t="shared" si="1027"/>
        <v>0</v>
      </c>
      <c r="H451">
        <f t="shared" si="1027"/>
        <v>0</v>
      </c>
      <c r="I451">
        <f t="shared" si="1027"/>
        <v>0</v>
      </c>
      <c r="J451">
        <f t="shared" si="1027"/>
        <v>0</v>
      </c>
      <c r="K451" s="11">
        <f t="shared" si="1027"/>
        <v>0</v>
      </c>
      <c r="L451">
        <f t="shared" si="1027"/>
        <v>0</v>
      </c>
      <c r="M451">
        <f t="shared" si="1027"/>
        <v>0</v>
      </c>
      <c r="N451" s="11">
        <f t="shared" si="1027"/>
        <v>0</v>
      </c>
      <c r="O451" s="13">
        <f t="shared" si="1027"/>
        <v>0</v>
      </c>
      <c r="P451" s="13">
        <f t="shared" si="1027"/>
        <v>0</v>
      </c>
      <c r="Q451">
        <f t="shared" si="1027"/>
        <v>0</v>
      </c>
      <c r="R451">
        <f t="shared" si="1027"/>
        <v>0</v>
      </c>
      <c r="S451" s="437" t="str">
        <f t="shared" si="1027"/>
        <v>base</v>
      </c>
      <c r="T451" s="449" t="str">
        <f t="shared" si="1027"/>
        <v>low</v>
      </c>
      <c r="U451" s="449" t="str">
        <f t="shared" si="1027"/>
        <v>high</v>
      </c>
      <c r="V451">
        <f t="shared" si="1027"/>
        <v>0</v>
      </c>
      <c r="W451" s="37">
        <f t="shared" si="1027"/>
        <v>0</v>
      </c>
      <c r="X451" s="20">
        <f t="shared" si="1027"/>
        <v>0</v>
      </c>
      <c r="Y451">
        <f t="shared" si="1027"/>
        <v>0</v>
      </c>
      <c r="Z451">
        <f t="shared" si="1027"/>
        <v>0</v>
      </c>
      <c r="AA451">
        <f t="shared" si="1027"/>
        <v>0</v>
      </c>
      <c r="AD451">
        <f t="shared" ref="AD451:BD451" si="1028">AD267</f>
        <v>0</v>
      </c>
      <c r="AE451">
        <f t="shared" si="1028"/>
        <v>0</v>
      </c>
      <c r="AF451">
        <f t="shared" si="1028"/>
        <v>0</v>
      </c>
      <c r="AG451" s="11">
        <f t="shared" si="1028"/>
        <v>0</v>
      </c>
      <c r="AH451">
        <f t="shared" si="1028"/>
        <v>0</v>
      </c>
      <c r="AI451">
        <f t="shared" si="1028"/>
        <v>0</v>
      </c>
      <c r="AJ451">
        <f t="shared" si="1028"/>
        <v>0</v>
      </c>
      <c r="AK451">
        <f t="shared" si="1028"/>
        <v>0</v>
      </c>
      <c r="AL451">
        <f t="shared" si="1028"/>
        <v>0</v>
      </c>
      <c r="AM451">
        <f t="shared" si="1028"/>
        <v>0</v>
      </c>
      <c r="AN451" s="11">
        <f t="shared" si="1028"/>
        <v>0</v>
      </c>
      <c r="AO451">
        <f t="shared" si="1028"/>
        <v>0</v>
      </c>
      <c r="AP451">
        <f t="shared" si="1028"/>
        <v>0</v>
      </c>
      <c r="AQ451" s="11">
        <f t="shared" si="1028"/>
        <v>0</v>
      </c>
      <c r="AR451" s="13">
        <f t="shared" si="1028"/>
        <v>0</v>
      </c>
      <c r="AS451" s="13">
        <f t="shared" si="1028"/>
        <v>0</v>
      </c>
      <c r="AT451">
        <f t="shared" si="1028"/>
        <v>0</v>
      </c>
      <c r="AU451">
        <f t="shared" si="1028"/>
        <v>0</v>
      </c>
      <c r="AV451" s="684" t="str">
        <f t="shared" si="1028"/>
        <v>base</v>
      </c>
      <c r="AW451" s="449" t="str">
        <f t="shared" si="1028"/>
        <v>low</v>
      </c>
      <c r="AX451" s="449" t="str">
        <f t="shared" si="1028"/>
        <v>high</v>
      </c>
      <c r="AY451">
        <f t="shared" si="1028"/>
        <v>0</v>
      </c>
      <c r="AZ451" s="37">
        <f t="shared" si="1028"/>
        <v>0</v>
      </c>
      <c r="BA451" s="20">
        <f t="shared" si="1028"/>
        <v>0</v>
      </c>
      <c r="BB451">
        <f t="shared" si="1028"/>
        <v>0</v>
      </c>
      <c r="BC451">
        <f t="shared" si="1028"/>
        <v>0</v>
      </c>
      <c r="BD451">
        <f t="shared" si="1028"/>
        <v>0</v>
      </c>
    </row>
    <row r="452" spans="1:56" x14ac:dyDescent="0.3">
      <c r="A452">
        <f t="shared" ref="A452:AA452" si="1029">A268</f>
        <v>0</v>
      </c>
      <c r="B452">
        <f t="shared" si="1029"/>
        <v>0</v>
      </c>
      <c r="C452">
        <f t="shared" si="1029"/>
        <v>0</v>
      </c>
      <c r="D452" s="11">
        <f t="shared" si="1029"/>
        <v>0</v>
      </c>
      <c r="E452">
        <f t="shared" si="1029"/>
        <v>0</v>
      </c>
      <c r="F452">
        <f t="shared" si="1029"/>
        <v>0</v>
      </c>
      <c r="G452">
        <f t="shared" si="1029"/>
        <v>0</v>
      </c>
      <c r="H452">
        <f t="shared" si="1029"/>
        <v>0</v>
      </c>
      <c r="I452">
        <f t="shared" si="1029"/>
        <v>0</v>
      </c>
      <c r="J452">
        <f t="shared" si="1029"/>
        <v>0</v>
      </c>
      <c r="K452" s="59" t="str">
        <f t="shared" si="1029"/>
        <v>1-p2</v>
      </c>
      <c r="L452" s="67">
        <f t="shared" si="1029"/>
        <v>0.62</v>
      </c>
      <c r="M452" s="438">
        <f t="shared" si="1029"/>
        <v>0</v>
      </c>
      <c r="N452" s="59">
        <f t="shared" si="1029"/>
        <v>0</v>
      </c>
      <c r="O452">
        <f t="shared" si="1029"/>
        <v>0</v>
      </c>
      <c r="P452">
        <f t="shared" si="1029"/>
        <v>0</v>
      </c>
      <c r="Q452">
        <f t="shared" si="1029"/>
        <v>0</v>
      </c>
      <c r="R452" s="12" t="str">
        <f t="shared" si="1029"/>
        <v>Outpatient</v>
      </c>
      <c r="S452" s="30">
        <f t="shared" si="1029"/>
        <v>12890.25152496507</v>
      </c>
      <c r="T452" s="453">
        <f t="shared" si="1029"/>
        <v>11739.336210236048</v>
      </c>
      <c r="U452" s="453">
        <f t="shared" si="1029"/>
        <v>14041.166839694095</v>
      </c>
      <c r="V452">
        <f t="shared" si="1029"/>
        <v>0</v>
      </c>
      <c r="W452" s="69">
        <f t="shared" si="1029"/>
        <v>0</v>
      </c>
      <c r="X452">
        <f t="shared" si="1029"/>
        <v>0</v>
      </c>
      <c r="Y452">
        <f t="shared" si="1029"/>
        <v>0</v>
      </c>
      <c r="Z452">
        <f t="shared" si="1029"/>
        <v>0</v>
      </c>
      <c r="AA452">
        <f t="shared" si="1029"/>
        <v>0</v>
      </c>
      <c r="AD452">
        <f t="shared" ref="AD452:BD452" si="1030">AD268</f>
        <v>0</v>
      </c>
      <c r="AE452">
        <f t="shared" si="1030"/>
        <v>0</v>
      </c>
      <c r="AF452">
        <f t="shared" si="1030"/>
        <v>0</v>
      </c>
      <c r="AG452" s="11">
        <f t="shared" si="1030"/>
        <v>0</v>
      </c>
      <c r="AH452">
        <f t="shared" si="1030"/>
        <v>0</v>
      </c>
      <c r="AI452">
        <f t="shared" si="1030"/>
        <v>0</v>
      </c>
      <c r="AJ452">
        <f t="shared" si="1030"/>
        <v>0</v>
      </c>
      <c r="AK452">
        <f t="shared" si="1030"/>
        <v>0</v>
      </c>
      <c r="AL452">
        <f t="shared" si="1030"/>
        <v>0</v>
      </c>
      <c r="AM452">
        <f t="shared" si="1030"/>
        <v>0</v>
      </c>
      <c r="AN452" s="59" t="str">
        <f t="shared" si="1030"/>
        <v>1-p2</v>
      </c>
      <c r="AO452" s="67">
        <f t="shared" si="1030"/>
        <v>0.62</v>
      </c>
      <c r="AP452" s="500">
        <f t="shared" si="1030"/>
        <v>0</v>
      </c>
      <c r="AQ452" s="59">
        <f t="shared" si="1030"/>
        <v>0</v>
      </c>
      <c r="AR452">
        <f t="shared" si="1030"/>
        <v>0</v>
      </c>
      <c r="AS452">
        <f t="shared" si="1030"/>
        <v>0</v>
      </c>
      <c r="AT452">
        <f t="shared" si="1030"/>
        <v>0</v>
      </c>
      <c r="AU452" s="12" t="str">
        <f t="shared" si="1030"/>
        <v>Outpatient</v>
      </c>
      <c r="AV452" s="30">
        <f t="shared" si="1030"/>
        <v>5242.0021860030274</v>
      </c>
      <c r="AW452" s="453">
        <f t="shared" si="1030"/>
        <v>4773.9662765384719</v>
      </c>
      <c r="AX452" s="453">
        <f t="shared" si="1030"/>
        <v>5710.0380954675838</v>
      </c>
      <c r="AY452">
        <f t="shared" si="1030"/>
        <v>0</v>
      </c>
      <c r="AZ452" s="69">
        <f t="shared" si="1030"/>
        <v>0</v>
      </c>
      <c r="BA452">
        <f t="shared" si="1030"/>
        <v>0</v>
      </c>
      <c r="BB452">
        <f t="shared" si="1030"/>
        <v>0</v>
      </c>
      <c r="BC452">
        <f t="shared" si="1030"/>
        <v>0</v>
      </c>
      <c r="BD452">
        <f t="shared" si="1030"/>
        <v>0</v>
      </c>
    </row>
    <row r="453" spans="1:56" x14ac:dyDescent="0.3">
      <c r="A453">
        <f t="shared" ref="A453:H453" si="1031">A269</f>
        <v>0</v>
      </c>
      <c r="B453">
        <f t="shared" si="1031"/>
        <v>0</v>
      </c>
      <c r="C453">
        <f t="shared" si="1031"/>
        <v>0</v>
      </c>
      <c r="D453" s="11">
        <f t="shared" si="1031"/>
        <v>0</v>
      </c>
      <c r="E453">
        <f t="shared" si="1031"/>
        <v>0</v>
      </c>
      <c r="F453">
        <f t="shared" si="1031"/>
        <v>0</v>
      </c>
      <c r="G453">
        <f t="shared" si="1031"/>
        <v>0</v>
      </c>
      <c r="H453">
        <f t="shared" si="1031"/>
        <v>0</v>
      </c>
      <c r="K453" s="15" t="str">
        <f t="shared" ref="K453:AA453" si="1032">K269</f>
        <v>do not obtain palivizumab product</v>
      </c>
      <c r="L453" s="28">
        <f t="shared" si="1032"/>
        <v>6713.0382199999995</v>
      </c>
      <c r="M453">
        <f t="shared" si="1032"/>
        <v>0</v>
      </c>
      <c r="N453" s="59"/>
      <c r="O453" s="50"/>
      <c r="P453">
        <f t="shared" si="1032"/>
        <v>0</v>
      </c>
      <c r="Q453" s="16">
        <f t="shared" si="1032"/>
        <v>0</v>
      </c>
      <c r="R453" s="2" t="str">
        <f t="shared" si="1032"/>
        <v>p4c</v>
      </c>
      <c r="S453" s="61">
        <f t="shared" si="1032"/>
        <v>1.9201814592029942</v>
      </c>
      <c r="T453" s="451">
        <f t="shared" si="1032"/>
        <v>1.9201814592029942</v>
      </c>
      <c r="U453" s="451">
        <f t="shared" si="1032"/>
        <v>1.9201814592029942</v>
      </c>
      <c r="V453">
        <f t="shared" si="1032"/>
        <v>0</v>
      </c>
      <c r="W453">
        <f t="shared" si="1032"/>
        <v>0</v>
      </c>
      <c r="X453">
        <f t="shared" si="1032"/>
        <v>0</v>
      </c>
      <c r="Y453">
        <f t="shared" si="1032"/>
        <v>0</v>
      </c>
      <c r="Z453">
        <f t="shared" si="1032"/>
        <v>0</v>
      </c>
      <c r="AA453">
        <f t="shared" si="1032"/>
        <v>0</v>
      </c>
      <c r="AD453">
        <f t="shared" ref="AD453:AK453" si="1033">AD269</f>
        <v>0</v>
      </c>
      <c r="AE453">
        <f t="shared" si="1033"/>
        <v>0</v>
      </c>
      <c r="AF453">
        <f t="shared" si="1033"/>
        <v>0</v>
      </c>
      <c r="AG453" s="11">
        <f t="shared" si="1033"/>
        <v>0</v>
      </c>
      <c r="AH453">
        <f t="shared" si="1033"/>
        <v>0</v>
      </c>
      <c r="AI453">
        <f t="shared" si="1033"/>
        <v>0</v>
      </c>
      <c r="AJ453">
        <f t="shared" si="1033"/>
        <v>0</v>
      </c>
      <c r="AK453">
        <f t="shared" si="1033"/>
        <v>0</v>
      </c>
      <c r="AN453" s="15" t="str">
        <f t="shared" ref="AN453:AP453" si="1034">AN269</f>
        <v>do not obtain palivizumab product</v>
      </c>
      <c r="AO453" s="28">
        <f t="shared" si="1034"/>
        <v>6713.0382199999995</v>
      </c>
      <c r="AP453">
        <f t="shared" si="1034"/>
        <v>0</v>
      </c>
      <c r="AQ453" s="59"/>
      <c r="AR453" s="50"/>
      <c r="AS453">
        <f t="shared" ref="AS453:BD453" si="1035">AS269</f>
        <v>0</v>
      </c>
      <c r="AT453" s="16">
        <f t="shared" si="1035"/>
        <v>0</v>
      </c>
      <c r="AU453" s="2" t="str">
        <f t="shared" si="1035"/>
        <v>p4c</v>
      </c>
      <c r="AV453" s="61">
        <f t="shared" si="1035"/>
        <v>0.78086881292968835</v>
      </c>
      <c r="AW453" s="451">
        <f t="shared" si="1035"/>
        <v>0.78086881292968835</v>
      </c>
      <c r="AX453" s="451">
        <f t="shared" si="1035"/>
        <v>0.78086881292968835</v>
      </c>
      <c r="AY453">
        <f t="shared" si="1035"/>
        <v>0</v>
      </c>
      <c r="AZ453">
        <f t="shared" si="1035"/>
        <v>0</v>
      </c>
      <c r="BA453">
        <f t="shared" si="1035"/>
        <v>0</v>
      </c>
      <c r="BB453">
        <f t="shared" si="1035"/>
        <v>0</v>
      </c>
      <c r="BC453">
        <f t="shared" si="1035"/>
        <v>0</v>
      </c>
      <c r="BD453">
        <f t="shared" si="1035"/>
        <v>0</v>
      </c>
    </row>
    <row r="454" spans="1:56" x14ac:dyDescent="0.3">
      <c r="A454">
        <f t="shared" ref="A454:AA454" si="1036">A270</f>
        <v>0</v>
      </c>
      <c r="B454">
        <f t="shared" si="1036"/>
        <v>0</v>
      </c>
      <c r="C454">
        <f t="shared" si="1036"/>
        <v>0</v>
      </c>
      <c r="D454" s="11">
        <f t="shared" si="1036"/>
        <v>0</v>
      </c>
      <c r="E454">
        <f t="shared" si="1036"/>
        <v>0</v>
      </c>
      <c r="F454">
        <f t="shared" si="1036"/>
        <v>0</v>
      </c>
      <c r="G454">
        <f t="shared" si="1036"/>
        <v>0</v>
      </c>
      <c r="H454">
        <f t="shared" si="1036"/>
        <v>0</v>
      </c>
      <c r="I454">
        <f t="shared" si="1036"/>
        <v>0</v>
      </c>
      <c r="J454">
        <f t="shared" si="1036"/>
        <v>0</v>
      </c>
      <c r="K454" s="14"/>
      <c r="L454" s="58"/>
      <c r="M454">
        <f t="shared" si="1036"/>
        <v>0</v>
      </c>
      <c r="N454" s="59"/>
      <c r="O454" s="50"/>
      <c r="P454">
        <f t="shared" si="1036"/>
        <v>0</v>
      </c>
      <c r="Q454" s="11">
        <f t="shared" si="1036"/>
        <v>0</v>
      </c>
      <c r="R454" s="2">
        <f t="shared" si="1036"/>
        <v>0</v>
      </c>
      <c r="S454">
        <f t="shared" si="1036"/>
        <v>0</v>
      </c>
      <c r="T454" s="452">
        <f t="shared" si="1036"/>
        <v>0</v>
      </c>
      <c r="U454" s="452">
        <f t="shared" si="1036"/>
        <v>0</v>
      </c>
      <c r="V454">
        <f t="shared" si="1036"/>
        <v>0</v>
      </c>
      <c r="W454">
        <f t="shared" si="1036"/>
        <v>0</v>
      </c>
      <c r="X454">
        <f t="shared" si="1036"/>
        <v>0</v>
      </c>
      <c r="Y454">
        <f t="shared" si="1036"/>
        <v>0</v>
      </c>
      <c r="Z454">
        <f t="shared" si="1036"/>
        <v>0</v>
      </c>
      <c r="AA454">
        <f t="shared" si="1036"/>
        <v>0</v>
      </c>
      <c r="AD454">
        <f t="shared" ref="AD454:AM454" si="1037">AD270</f>
        <v>0</v>
      </c>
      <c r="AE454">
        <f t="shared" si="1037"/>
        <v>0</v>
      </c>
      <c r="AF454">
        <f t="shared" si="1037"/>
        <v>0</v>
      </c>
      <c r="AG454" s="11">
        <f t="shared" si="1037"/>
        <v>0</v>
      </c>
      <c r="AH454">
        <f t="shared" si="1037"/>
        <v>0</v>
      </c>
      <c r="AI454">
        <f t="shared" si="1037"/>
        <v>0</v>
      </c>
      <c r="AJ454">
        <f t="shared" si="1037"/>
        <v>0</v>
      </c>
      <c r="AK454">
        <f t="shared" si="1037"/>
        <v>0</v>
      </c>
      <c r="AL454">
        <f t="shared" si="1037"/>
        <v>0</v>
      </c>
      <c r="AM454">
        <f t="shared" si="1037"/>
        <v>0</v>
      </c>
      <c r="AN454" s="14"/>
      <c r="AO454" s="58"/>
      <c r="AP454">
        <f t="shared" ref="AP454" si="1038">AP270</f>
        <v>0</v>
      </c>
      <c r="AQ454" s="59"/>
      <c r="AR454" s="50"/>
      <c r="AS454">
        <f t="shared" ref="AS454:BD454" si="1039">AS270</f>
        <v>0</v>
      </c>
      <c r="AT454" s="11">
        <f t="shared" si="1039"/>
        <v>0</v>
      </c>
      <c r="AU454" s="2">
        <f t="shared" si="1039"/>
        <v>0</v>
      </c>
      <c r="AV454">
        <f t="shared" si="1039"/>
        <v>0</v>
      </c>
      <c r="AW454" s="452">
        <f t="shared" si="1039"/>
        <v>0</v>
      </c>
      <c r="AX454" s="452">
        <f t="shared" si="1039"/>
        <v>0</v>
      </c>
      <c r="AY454">
        <f t="shared" si="1039"/>
        <v>0</v>
      </c>
      <c r="AZ454">
        <f t="shared" si="1039"/>
        <v>0</v>
      </c>
      <c r="BA454">
        <f t="shared" si="1039"/>
        <v>0</v>
      </c>
      <c r="BB454">
        <f t="shared" si="1039"/>
        <v>0</v>
      </c>
      <c r="BC454">
        <f t="shared" si="1039"/>
        <v>0</v>
      </c>
      <c r="BD454">
        <f t="shared" si="1039"/>
        <v>0</v>
      </c>
    </row>
    <row r="455" spans="1:56" x14ac:dyDescent="0.3">
      <c r="A455">
        <f t="shared" ref="A455:AA455" si="1040">A271</f>
        <v>0</v>
      </c>
      <c r="B455">
        <f t="shared" si="1040"/>
        <v>0</v>
      </c>
      <c r="C455">
        <f t="shared" si="1040"/>
        <v>0</v>
      </c>
      <c r="D455" s="11">
        <f t="shared" si="1040"/>
        <v>0</v>
      </c>
      <c r="E455">
        <f t="shared" si="1040"/>
        <v>0</v>
      </c>
      <c r="F455">
        <f t="shared" si="1040"/>
        <v>0</v>
      </c>
      <c r="G455">
        <f t="shared" si="1040"/>
        <v>0</v>
      </c>
      <c r="H455">
        <f t="shared" si="1040"/>
        <v>0</v>
      </c>
      <c r="I455">
        <f t="shared" si="1040"/>
        <v>0</v>
      </c>
      <c r="J455">
        <f t="shared" si="1040"/>
        <v>0</v>
      </c>
      <c r="K455" s="22"/>
      <c r="M455">
        <f t="shared" si="1040"/>
        <v>0</v>
      </c>
      <c r="N455" s="18" t="str">
        <f t="shared" si="1040"/>
        <v>sum p4a-c</v>
      </c>
      <c r="O455" s="50">
        <f t="shared" si="1040"/>
        <v>2.7633318789944998</v>
      </c>
      <c r="P455" s="438">
        <f t="shared" si="1040"/>
        <v>0</v>
      </c>
      <c r="Q455" s="18">
        <f t="shared" si="1040"/>
        <v>0</v>
      </c>
      <c r="R455" s="12" t="str">
        <f t="shared" si="1040"/>
        <v>ED</v>
      </c>
      <c r="S455" s="30">
        <f t="shared" si="1040"/>
        <v>4469.4041103870086</v>
      </c>
      <c r="T455" s="453">
        <f t="shared" si="1040"/>
        <v>4070.3501719595974</v>
      </c>
      <c r="U455" s="453">
        <f t="shared" si="1040"/>
        <v>4868.4580488144202</v>
      </c>
      <c r="V455">
        <f t="shared" si="1040"/>
        <v>0</v>
      </c>
      <c r="W455">
        <f t="shared" si="1040"/>
        <v>0</v>
      </c>
      <c r="X455">
        <f t="shared" si="1040"/>
        <v>0</v>
      </c>
      <c r="Y455">
        <f t="shared" si="1040"/>
        <v>0</v>
      </c>
      <c r="Z455">
        <f t="shared" si="1040"/>
        <v>0</v>
      </c>
      <c r="AA455">
        <f t="shared" si="1040"/>
        <v>0</v>
      </c>
      <c r="AD455">
        <f t="shared" ref="AD455:AM455" si="1041">AD271</f>
        <v>0</v>
      </c>
      <c r="AE455">
        <f t="shared" si="1041"/>
        <v>0</v>
      </c>
      <c r="AF455">
        <f t="shared" si="1041"/>
        <v>0</v>
      </c>
      <c r="AG455" s="11">
        <f t="shared" si="1041"/>
        <v>0</v>
      </c>
      <c r="AH455">
        <f t="shared" si="1041"/>
        <v>0</v>
      </c>
      <c r="AI455">
        <f t="shared" si="1041"/>
        <v>0</v>
      </c>
      <c r="AJ455">
        <f t="shared" si="1041"/>
        <v>0</v>
      </c>
      <c r="AK455">
        <f t="shared" si="1041"/>
        <v>0</v>
      </c>
      <c r="AL455">
        <f t="shared" si="1041"/>
        <v>0</v>
      </c>
      <c r="AM455">
        <f t="shared" si="1041"/>
        <v>0</v>
      </c>
      <c r="AN455" s="22"/>
      <c r="AP455">
        <f t="shared" ref="AP455:BD455" si="1042">AP271</f>
        <v>0</v>
      </c>
      <c r="AQ455" s="18" t="str">
        <f t="shared" si="1042"/>
        <v>sum p4a-c</v>
      </c>
      <c r="AR455" s="50">
        <f t="shared" si="1042"/>
        <v>2.7633318789944998</v>
      </c>
      <c r="AS455" s="500">
        <f t="shared" si="1042"/>
        <v>0</v>
      </c>
      <c r="AT455" s="18">
        <f t="shared" si="1042"/>
        <v>0</v>
      </c>
      <c r="AU455" s="12" t="str">
        <f t="shared" si="1042"/>
        <v>ED</v>
      </c>
      <c r="AV455" s="30">
        <f t="shared" si="1042"/>
        <v>2084.641015843099</v>
      </c>
      <c r="AW455" s="453">
        <f t="shared" si="1042"/>
        <v>1898.512353714251</v>
      </c>
      <c r="AX455" s="453">
        <f t="shared" si="1042"/>
        <v>2270.7696779719472</v>
      </c>
      <c r="AY455">
        <f t="shared" si="1042"/>
        <v>0</v>
      </c>
      <c r="AZ455">
        <f t="shared" si="1042"/>
        <v>0</v>
      </c>
      <c r="BA455">
        <f t="shared" si="1042"/>
        <v>0</v>
      </c>
      <c r="BB455">
        <f t="shared" si="1042"/>
        <v>0</v>
      </c>
      <c r="BC455">
        <f t="shared" si="1042"/>
        <v>0</v>
      </c>
      <c r="BD455">
        <f t="shared" si="1042"/>
        <v>0</v>
      </c>
    </row>
    <row r="456" spans="1:56" x14ac:dyDescent="0.3">
      <c r="A456">
        <f t="shared" ref="A456:K456" si="1043">A272</f>
        <v>0</v>
      </c>
      <c r="B456">
        <f t="shared" si="1043"/>
        <v>0</v>
      </c>
      <c r="C456">
        <f t="shared" si="1043"/>
        <v>0</v>
      </c>
      <c r="D456" s="11">
        <f t="shared" si="1043"/>
        <v>0</v>
      </c>
      <c r="E456">
        <f t="shared" si="1043"/>
        <v>0</v>
      </c>
      <c r="F456">
        <f t="shared" si="1043"/>
        <v>0</v>
      </c>
      <c r="G456">
        <f t="shared" si="1043"/>
        <v>0</v>
      </c>
      <c r="H456">
        <f t="shared" si="1043"/>
        <v>0</v>
      </c>
      <c r="I456">
        <f t="shared" si="1043"/>
        <v>0</v>
      </c>
      <c r="J456">
        <f t="shared" si="1043"/>
        <v>0</v>
      </c>
      <c r="K456">
        <f t="shared" si="1043"/>
        <v>0</v>
      </c>
      <c r="N456" s="2" t="str">
        <f t="shared" ref="N456:AA456" si="1044">N272</f>
        <v>Medically Attended for RSV</v>
      </c>
      <c r="O456" s="54">
        <f t="shared" si="1044"/>
        <v>18550.352518234489</v>
      </c>
      <c r="P456">
        <f t="shared" si="1044"/>
        <v>0</v>
      </c>
      <c r="Q456" s="11">
        <f t="shared" si="1044"/>
        <v>0</v>
      </c>
      <c r="R456" s="2" t="str">
        <f t="shared" si="1044"/>
        <v>p4b</v>
      </c>
      <c r="S456" s="61">
        <f t="shared" si="1044"/>
        <v>0.66577963120654016</v>
      </c>
      <c r="T456" s="451">
        <f t="shared" si="1044"/>
        <v>0.66577963120654016</v>
      </c>
      <c r="U456" s="451">
        <f t="shared" si="1044"/>
        <v>0.66577963120654016</v>
      </c>
      <c r="V456">
        <f t="shared" si="1044"/>
        <v>0</v>
      </c>
      <c r="W456">
        <f t="shared" si="1044"/>
        <v>0</v>
      </c>
      <c r="X456">
        <f t="shared" si="1044"/>
        <v>0</v>
      </c>
      <c r="Y456">
        <f t="shared" si="1044"/>
        <v>0</v>
      </c>
      <c r="Z456">
        <f t="shared" si="1044"/>
        <v>0</v>
      </c>
      <c r="AA456">
        <f t="shared" si="1044"/>
        <v>0</v>
      </c>
      <c r="AD456">
        <f t="shared" ref="AD456:AN456" si="1045">AD272</f>
        <v>0</v>
      </c>
      <c r="AE456">
        <f t="shared" si="1045"/>
        <v>0</v>
      </c>
      <c r="AF456">
        <f t="shared" si="1045"/>
        <v>0</v>
      </c>
      <c r="AG456" s="11">
        <f t="shared" si="1045"/>
        <v>0</v>
      </c>
      <c r="AH456">
        <f t="shared" si="1045"/>
        <v>0</v>
      </c>
      <c r="AI456">
        <f t="shared" si="1045"/>
        <v>0</v>
      </c>
      <c r="AJ456">
        <f t="shared" si="1045"/>
        <v>0</v>
      </c>
      <c r="AK456">
        <f t="shared" si="1045"/>
        <v>0</v>
      </c>
      <c r="AL456">
        <f t="shared" si="1045"/>
        <v>0</v>
      </c>
      <c r="AM456">
        <f t="shared" si="1045"/>
        <v>0</v>
      </c>
      <c r="AN456">
        <f t="shared" si="1045"/>
        <v>0</v>
      </c>
      <c r="AQ456" s="2" t="str">
        <f t="shared" ref="AQ456:BD456" si="1046">AQ272</f>
        <v>Medically Attended for RSV</v>
      </c>
      <c r="AR456" s="54" t="e">
        <f t="shared" si="1046"/>
        <v>#REF!</v>
      </c>
      <c r="AS456">
        <f t="shared" si="1046"/>
        <v>0</v>
      </c>
      <c r="AT456" s="11">
        <f t="shared" si="1046"/>
        <v>0</v>
      </c>
      <c r="AU456" s="2" t="str">
        <f t="shared" si="1046"/>
        <v>p4b</v>
      </c>
      <c r="AV456" s="61">
        <f t="shared" si="1046"/>
        <v>0.31053614585902045</v>
      </c>
      <c r="AW456" s="451">
        <f t="shared" si="1046"/>
        <v>0.31053614585902045</v>
      </c>
      <c r="AX456" s="451">
        <f t="shared" si="1046"/>
        <v>0.31053614585902045</v>
      </c>
      <c r="AY456">
        <f t="shared" si="1046"/>
        <v>0</v>
      </c>
      <c r="AZ456">
        <f t="shared" si="1046"/>
        <v>0</v>
      </c>
      <c r="BA456">
        <f t="shared" si="1046"/>
        <v>0</v>
      </c>
      <c r="BB456">
        <f t="shared" si="1046"/>
        <v>0</v>
      </c>
      <c r="BC456">
        <f t="shared" si="1046"/>
        <v>0</v>
      </c>
      <c r="BD456">
        <f t="shared" si="1046"/>
        <v>0</v>
      </c>
    </row>
    <row r="457" spans="1:56" x14ac:dyDescent="0.3">
      <c r="A457">
        <f t="shared" ref="A457:AA457" si="1047">A273</f>
        <v>0</v>
      </c>
      <c r="B457">
        <f t="shared" si="1047"/>
        <v>0</v>
      </c>
      <c r="C457">
        <f t="shared" si="1047"/>
        <v>0</v>
      </c>
      <c r="D457" s="11">
        <f t="shared" si="1047"/>
        <v>0</v>
      </c>
      <c r="E457">
        <f t="shared" si="1047"/>
        <v>0</v>
      </c>
      <c r="F457">
        <f t="shared" si="1047"/>
        <v>0</v>
      </c>
      <c r="G457">
        <f t="shared" si="1047"/>
        <v>0</v>
      </c>
      <c r="H457">
        <f t="shared" si="1047"/>
        <v>0</v>
      </c>
      <c r="I457">
        <f t="shared" si="1047"/>
        <v>0</v>
      </c>
      <c r="J457">
        <f t="shared" si="1047"/>
        <v>0</v>
      </c>
      <c r="K457">
        <f t="shared" si="1047"/>
        <v>0</v>
      </c>
      <c r="L457">
        <f t="shared" si="1047"/>
        <v>0</v>
      </c>
      <c r="M457">
        <f t="shared" si="1047"/>
        <v>0</v>
      </c>
      <c r="N457" s="14"/>
      <c r="O457" s="28"/>
      <c r="P457">
        <f t="shared" si="1047"/>
        <v>0</v>
      </c>
      <c r="Q457" s="11">
        <f t="shared" si="1047"/>
        <v>0</v>
      </c>
      <c r="R457" s="2">
        <f t="shared" si="1047"/>
        <v>0</v>
      </c>
      <c r="S457">
        <f t="shared" si="1047"/>
        <v>0</v>
      </c>
      <c r="T457" s="452">
        <f t="shared" si="1047"/>
        <v>0</v>
      </c>
      <c r="U457" s="452">
        <f t="shared" si="1047"/>
        <v>0</v>
      </c>
      <c r="V457">
        <f t="shared" si="1047"/>
        <v>0</v>
      </c>
      <c r="W457">
        <f t="shared" si="1047"/>
        <v>0</v>
      </c>
      <c r="X457">
        <f t="shared" si="1047"/>
        <v>0</v>
      </c>
      <c r="Y457">
        <f t="shared" si="1047"/>
        <v>0</v>
      </c>
      <c r="Z457">
        <f t="shared" si="1047"/>
        <v>0</v>
      </c>
      <c r="AA457">
        <f t="shared" si="1047"/>
        <v>0</v>
      </c>
      <c r="AD457">
        <f t="shared" ref="AD457:AP457" si="1048">AD273</f>
        <v>0</v>
      </c>
      <c r="AE457">
        <f t="shared" si="1048"/>
        <v>0</v>
      </c>
      <c r="AF457">
        <f t="shared" si="1048"/>
        <v>0</v>
      </c>
      <c r="AG457" s="11">
        <f t="shared" si="1048"/>
        <v>0</v>
      </c>
      <c r="AH457">
        <f t="shared" si="1048"/>
        <v>0</v>
      </c>
      <c r="AI457">
        <f t="shared" si="1048"/>
        <v>0</v>
      </c>
      <c r="AJ457">
        <f t="shared" si="1048"/>
        <v>0</v>
      </c>
      <c r="AK457">
        <f t="shared" si="1048"/>
        <v>0</v>
      </c>
      <c r="AL457">
        <f t="shared" si="1048"/>
        <v>0</v>
      </c>
      <c r="AM457">
        <f t="shared" si="1048"/>
        <v>0</v>
      </c>
      <c r="AN457">
        <f t="shared" si="1048"/>
        <v>0</v>
      </c>
      <c r="AO457">
        <f t="shared" si="1048"/>
        <v>0</v>
      </c>
      <c r="AP457">
        <f t="shared" si="1048"/>
        <v>0</v>
      </c>
      <c r="AQ457" s="14"/>
      <c r="AR457" s="28"/>
      <c r="AS457">
        <f t="shared" ref="AS457:BD457" si="1049">AS273</f>
        <v>0</v>
      </c>
      <c r="AT457" s="11">
        <f t="shared" si="1049"/>
        <v>0</v>
      </c>
      <c r="AU457" s="2">
        <f t="shared" si="1049"/>
        <v>0</v>
      </c>
      <c r="AV457">
        <f t="shared" si="1049"/>
        <v>0</v>
      </c>
      <c r="AW457" s="452">
        <f t="shared" si="1049"/>
        <v>0</v>
      </c>
      <c r="AX457" s="452">
        <f t="shared" si="1049"/>
        <v>0</v>
      </c>
      <c r="AY457">
        <f t="shared" si="1049"/>
        <v>0</v>
      </c>
      <c r="AZ457">
        <f t="shared" si="1049"/>
        <v>0</v>
      </c>
      <c r="BA457">
        <f t="shared" si="1049"/>
        <v>0</v>
      </c>
      <c r="BB457">
        <f t="shared" si="1049"/>
        <v>0</v>
      </c>
      <c r="BC457">
        <f t="shared" si="1049"/>
        <v>0</v>
      </c>
      <c r="BD457">
        <f t="shared" si="1049"/>
        <v>0</v>
      </c>
    </row>
    <row r="458" spans="1:56" x14ac:dyDescent="0.3">
      <c r="A458">
        <f t="shared" ref="A458:AA458" si="1050">A274</f>
        <v>0</v>
      </c>
      <c r="B458">
        <f t="shared" si="1050"/>
        <v>0</v>
      </c>
      <c r="C458">
        <f t="shared" si="1050"/>
        <v>0</v>
      </c>
      <c r="D458" s="11">
        <f t="shared" si="1050"/>
        <v>0</v>
      </c>
      <c r="E458">
        <f t="shared" si="1050"/>
        <v>0</v>
      </c>
      <c r="F458">
        <f t="shared" si="1050"/>
        <v>0</v>
      </c>
      <c r="G458">
        <f t="shared" si="1050"/>
        <v>0</v>
      </c>
      <c r="H458">
        <f t="shared" si="1050"/>
        <v>0</v>
      </c>
      <c r="I458">
        <f t="shared" si="1050"/>
        <v>0</v>
      </c>
      <c r="J458">
        <f t="shared" si="1050"/>
        <v>0</v>
      </c>
      <c r="K458">
        <f t="shared" si="1050"/>
        <v>0</v>
      </c>
      <c r="L458">
        <f t="shared" si="1050"/>
        <v>0</v>
      </c>
      <c r="M458">
        <f t="shared" si="1050"/>
        <v>0</v>
      </c>
      <c r="N458" s="285"/>
      <c r="O458" s="28"/>
      <c r="P458">
        <f t="shared" si="1050"/>
        <v>0</v>
      </c>
      <c r="Q458" s="18">
        <f t="shared" si="1050"/>
        <v>0</v>
      </c>
      <c r="R458" s="12" t="str">
        <f t="shared" si="1050"/>
        <v>Hospitalized</v>
      </c>
      <c r="S458" s="30">
        <f t="shared" si="1050"/>
        <v>1190.6968828824142</v>
      </c>
      <c r="T458" s="453">
        <f t="shared" si="1050"/>
        <v>1084.3846611964846</v>
      </c>
      <c r="U458" s="453">
        <f t="shared" si="1050"/>
        <v>1297.0091045683441</v>
      </c>
      <c r="V458">
        <f t="shared" si="1050"/>
        <v>0</v>
      </c>
      <c r="W458">
        <f t="shared" si="1050"/>
        <v>0</v>
      </c>
      <c r="X458">
        <f t="shared" si="1050"/>
        <v>0</v>
      </c>
      <c r="Y458">
        <f t="shared" si="1050"/>
        <v>0</v>
      </c>
      <c r="Z458">
        <f t="shared" si="1050"/>
        <v>0</v>
      </c>
      <c r="AA458">
        <f t="shared" si="1050"/>
        <v>0</v>
      </c>
      <c r="AD458">
        <f t="shared" ref="AD458:AP458" si="1051">AD274</f>
        <v>0</v>
      </c>
      <c r="AE458">
        <f t="shared" si="1051"/>
        <v>0</v>
      </c>
      <c r="AF458">
        <f t="shared" si="1051"/>
        <v>0</v>
      </c>
      <c r="AG458" s="11">
        <f t="shared" si="1051"/>
        <v>0</v>
      </c>
      <c r="AH458">
        <f t="shared" si="1051"/>
        <v>0</v>
      </c>
      <c r="AI458">
        <f t="shared" si="1051"/>
        <v>0</v>
      </c>
      <c r="AJ458">
        <f t="shared" si="1051"/>
        <v>0</v>
      </c>
      <c r="AK458">
        <f t="shared" si="1051"/>
        <v>0</v>
      </c>
      <c r="AL458">
        <f t="shared" si="1051"/>
        <v>0</v>
      </c>
      <c r="AM458">
        <f t="shared" si="1051"/>
        <v>0</v>
      </c>
      <c r="AN458">
        <f t="shared" si="1051"/>
        <v>0</v>
      </c>
      <c r="AO458">
        <f t="shared" si="1051"/>
        <v>0</v>
      </c>
      <c r="AP458">
        <f t="shared" si="1051"/>
        <v>0</v>
      </c>
      <c r="AQ458" s="285"/>
      <c r="AR458" s="28"/>
      <c r="AS458">
        <f t="shared" ref="AS458:BD458" si="1052">AS274</f>
        <v>0</v>
      </c>
      <c r="AT458" s="18">
        <f t="shared" si="1052"/>
        <v>0</v>
      </c>
      <c r="AU458" s="12" t="str">
        <f t="shared" si="1052"/>
        <v>Hospitalized</v>
      </c>
      <c r="AV458" s="30">
        <f t="shared" si="1052"/>
        <v>287.2215734506525</v>
      </c>
      <c r="AW458" s="453">
        <f t="shared" si="1052"/>
        <v>261.57679010684427</v>
      </c>
      <c r="AX458" s="453">
        <f t="shared" si="1052"/>
        <v>312.86635679446073</v>
      </c>
      <c r="AY458">
        <f t="shared" si="1052"/>
        <v>0</v>
      </c>
      <c r="AZ458">
        <f t="shared" si="1052"/>
        <v>0</v>
      </c>
      <c r="BA458">
        <f t="shared" si="1052"/>
        <v>0</v>
      </c>
      <c r="BB458">
        <f t="shared" si="1052"/>
        <v>0</v>
      </c>
      <c r="BC458">
        <f t="shared" si="1052"/>
        <v>0</v>
      </c>
      <c r="BD458">
        <f t="shared" si="1052"/>
        <v>0</v>
      </c>
    </row>
    <row r="459" spans="1:56" x14ac:dyDescent="0.3">
      <c r="A459">
        <f t="shared" ref="A459:AA459" si="1053">A275</f>
        <v>0</v>
      </c>
      <c r="B459">
        <f t="shared" si="1053"/>
        <v>0</v>
      </c>
      <c r="C459">
        <f t="shared" si="1053"/>
        <v>0</v>
      </c>
      <c r="D459" s="11">
        <f t="shared" si="1053"/>
        <v>0</v>
      </c>
      <c r="E459">
        <f t="shared" si="1053"/>
        <v>0</v>
      </c>
      <c r="F459">
        <f t="shared" si="1053"/>
        <v>0</v>
      </c>
      <c r="G459">
        <f t="shared" si="1053"/>
        <v>0</v>
      </c>
      <c r="H459">
        <f t="shared" si="1053"/>
        <v>0</v>
      </c>
      <c r="I459">
        <f t="shared" si="1053"/>
        <v>0</v>
      </c>
      <c r="J459">
        <f t="shared" si="1053"/>
        <v>0</v>
      </c>
      <c r="K459">
        <f t="shared" si="1053"/>
        <v>0</v>
      </c>
      <c r="L459" s="22">
        <f t="shared" si="1053"/>
        <v>0</v>
      </c>
      <c r="M459">
        <f t="shared" si="1053"/>
        <v>0</v>
      </c>
      <c r="N459">
        <f t="shared" si="1053"/>
        <v>0</v>
      </c>
      <c r="O459">
        <f t="shared" si="1053"/>
        <v>0</v>
      </c>
      <c r="P459">
        <f t="shared" si="1053"/>
        <v>0</v>
      </c>
      <c r="Q459">
        <f t="shared" si="1053"/>
        <v>0</v>
      </c>
      <c r="R459" s="2" t="str">
        <f t="shared" si="1053"/>
        <v>p4c</v>
      </c>
      <c r="S459" s="61">
        <f t="shared" si="1053"/>
        <v>0.17737078858496569</v>
      </c>
      <c r="T459" s="451">
        <f t="shared" si="1053"/>
        <v>0.17737078858496569</v>
      </c>
      <c r="U459" s="451">
        <f t="shared" si="1053"/>
        <v>0.17737078858496569</v>
      </c>
      <c r="V459">
        <f t="shared" si="1053"/>
        <v>0</v>
      </c>
      <c r="W459">
        <f t="shared" si="1053"/>
        <v>0</v>
      </c>
      <c r="X459">
        <f t="shared" si="1053"/>
        <v>0</v>
      </c>
      <c r="Y459">
        <f t="shared" si="1053"/>
        <v>0</v>
      </c>
      <c r="Z459">
        <f t="shared" si="1053"/>
        <v>0</v>
      </c>
      <c r="AA459">
        <f t="shared" si="1053"/>
        <v>0</v>
      </c>
      <c r="AD459">
        <f t="shared" ref="AD459:BD459" si="1054">AD275</f>
        <v>0</v>
      </c>
      <c r="AE459">
        <f t="shared" si="1054"/>
        <v>0</v>
      </c>
      <c r="AF459">
        <f t="shared" si="1054"/>
        <v>0</v>
      </c>
      <c r="AG459" s="11">
        <f t="shared" si="1054"/>
        <v>0</v>
      </c>
      <c r="AH459">
        <f t="shared" si="1054"/>
        <v>0</v>
      </c>
      <c r="AI459">
        <f t="shared" si="1054"/>
        <v>0</v>
      </c>
      <c r="AJ459">
        <f t="shared" si="1054"/>
        <v>0</v>
      </c>
      <c r="AK459">
        <f t="shared" si="1054"/>
        <v>0</v>
      </c>
      <c r="AL459">
        <f t="shared" si="1054"/>
        <v>0</v>
      </c>
      <c r="AM459">
        <f t="shared" si="1054"/>
        <v>0</v>
      </c>
      <c r="AN459">
        <f t="shared" si="1054"/>
        <v>0</v>
      </c>
      <c r="AO459" s="22">
        <f t="shared" si="1054"/>
        <v>0</v>
      </c>
      <c r="AP459">
        <f t="shared" si="1054"/>
        <v>0</v>
      </c>
      <c r="AQ459">
        <f t="shared" si="1054"/>
        <v>0</v>
      </c>
      <c r="AR459">
        <f t="shared" si="1054"/>
        <v>0</v>
      </c>
      <c r="AS459">
        <f t="shared" si="1054"/>
        <v>0</v>
      </c>
      <c r="AT459">
        <f t="shared" si="1054"/>
        <v>0</v>
      </c>
      <c r="AU459" s="2" t="str">
        <f t="shared" si="1054"/>
        <v>p4c</v>
      </c>
      <c r="AV459" s="61">
        <f t="shared" si="1054"/>
        <v>4.2785630594942822E-2</v>
      </c>
      <c r="AW459" s="451">
        <f t="shared" si="1054"/>
        <v>4.2785630594942822E-2</v>
      </c>
      <c r="AX459" s="451">
        <f t="shared" si="1054"/>
        <v>4.2785630594942822E-2</v>
      </c>
      <c r="AY459">
        <f t="shared" si="1054"/>
        <v>0</v>
      </c>
      <c r="AZ459">
        <f t="shared" si="1054"/>
        <v>0</v>
      </c>
      <c r="BA459">
        <f t="shared" si="1054"/>
        <v>0</v>
      </c>
      <c r="BB459">
        <f t="shared" si="1054"/>
        <v>0</v>
      </c>
      <c r="BC459">
        <f t="shared" si="1054"/>
        <v>0</v>
      </c>
      <c r="BD459">
        <f t="shared" si="1054"/>
        <v>0</v>
      </c>
    </row>
    <row r="460" spans="1:56" x14ac:dyDescent="0.3">
      <c r="A460">
        <f t="shared" ref="A460:AA460" si="1055">A276</f>
        <v>0</v>
      </c>
      <c r="B460">
        <f t="shared" si="1055"/>
        <v>0</v>
      </c>
      <c r="C460">
        <f t="shared" si="1055"/>
        <v>0</v>
      </c>
      <c r="D460" s="11">
        <f t="shared" si="1055"/>
        <v>0</v>
      </c>
      <c r="E460">
        <f t="shared" si="1055"/>
        <v>0</v>
      </c>
      <c r="F460">
        <f t="shared" si="1055"/>
        <v>0</v>
      </c>
      <c r="G460">
        <f t="shared" si="1055"/>
        <v>0</v>
      </c>
      <c r="H460">
        <f t="shared" si="1055"/>
        <v>0</v>
      </c>
      <c r="I460">
        <f t="shared" si="1055"/>
        <v>0</v>
      </c>
      <c r="J460">
        <f t="shared" si="1055"/>
        <v>0</v>
      </c>
      <c r="K460">
        <f t="shared" si="1055"/>
        <v>0</v>
      </c>
      <c r="L460">
        <f t="shared" si="1055"/>
        <v>0</v>
      </c>
      <c r="M460">
        <f t="shared" si="1055"/>
        <v>0</v>
      </c>
      <c r="N460">
        <f t="shared" si="1055"/>
        <v>0</v>
      </c>
      <c r="O460">
        <f t="shared" si="1055"/>
        <v>0</v>
      </c>
      <c r="P460">
        <f t="shared" si="1055"/>
        <v>0</v>
      </c>
      <c r="Q460">
        <f t="shared" si="1055"/>
        <v>0</v>
      </c>
      <c r="R460">
        <f t="shared" si="1055"/>
        <v>0</v>
      </c>
      <c r="S460">
        <f t="shared" si="1055"/>
        <v>0</v>
      </c>
      <c r="T460">
        <f t="shared" si="1055"/>
        <v>0</v>
      </c>
      <c r="U460">
        <f t="shared" si="1055"/>
        <v>0</v>
      </c>
      <c r="V460">
        <f t="shared" si="1055"/>
        <v>0</v>
      </c>
      <c r="W460">
        <f t="shared" si="1055"/>
        <v>0</v>
      </c>
      <c r="X460">
        <f t="shared" si="1055"/>
        <v>0</v>
      </c>
      <c r="Y460">
        <f t="shared" si="1055"/>
        <v>0</v>
      </c>
      <c r="Z460">
        <f t="shared" si="1055"/>
        <v>0</v>
      </c>
      <c r="AA460">
        <f t="shared" si="1055"/>
        <v>0</v>
      </c>
      <c r="AD460">
        <f t="shared" ref="AD460:BD460" si="1056">AD276</f>
        <v>0</v>
      </c>
      <c r="AE460">
        <f t="shared" si="1056"/>
        <v>0</v>
      </c>
      <c r="AF460">
        <f t="shared" si="1056"/>
        <v>0</v>
      </c>
      <c r="AG460" s="11">
        <f t="shared" si="1056"/>
        <v>0</v>
      </c>
      <c r="AH460">
        <f t="shared" si="1056"/>
        <v>0</v>
      </c>
      <c r="AI460">
        <f t="shared" si="1056"/>
        <v>0</v>
      </c>
      <c r="AJ460">
        <f t="shared" si="1056"/>
        <v>0</v>
      </c>
      <c r="AK460">
        <f t="shared" si="1056"/>
        <v>0</v>
      </c>
      <c r="AL460">
        <f t="shared" si="1056"/>
        <v>0</v>
      </c>
      <c r="AM460">
        <f t="shared" si="1056"/>
        <v>0</v>
      </c>
      <c r="AN460">
        <f t="shared" si="1056"/>
        <v>0</v>
      </c>
      <c r="AO460">
        <f t="shared" si="1056"/>
        <v>0</v>
      </c>
      <c r="AP460">
        <f t="shared" si="1056"/>
        <v>0</v>
      </c>
      <c r="AQ460">
        <f t="shared" si="1056"/>
        <v>0</v>
      </c>
      <c r="AR460">
        <f t="shared" si="1056"/>
        <v>0</v>
      </c>
      <c r="AS460">
        <f t="shared" si="1056"/>
        <v>0</v>
      </c>
      <c r="AT460">
        <f t="shared" si="1056"/>
        <v>0</v>
      </c>
      <c r="AU460">
        <f t="shared" si="1056"/>
        <v>0</v>
      </c>
      <c r="AV460">
        <f t="shared" si="1056"/>
        <v>0</v>
      </c>
      <c r="AW460">
        <f t="shared" si="1056"/>
        <v>0</v>
      </c>
      <c r="AX460">
        <f t="shared" si="1056"/>
        <v>0</v>
      </c>
      <c r="AY460">
        <f t="shared" si="1056"/>
        <v>0</v>
      </c>
      <c r="AZ460">
        <f t="shared" si="1056"/>
        <v>0</v>
      </c>
      <c r="BA460">
        <f t="shared" si="1056"/>
        <v>0</v>
      </c>
      <c r="BB460">
        <f t="shared" si="1056"/>
        <v>0</v>
      </c>
      <c r="BC460">
        <f t="shared" si="1056"/>
        <v>0</v>
      </c>
      <c r="BD460">
        <f t="shared" si="1056"/>
        <v>0</v>
      </c>
    </row>
    <row r="461" spans="1:56" x14ac:dyDescent="0.3">
      <c r="A461" t="str">
        <f t="shared" ref="A461:AA461" si="1057">A277</f>
        <v>sum check row</v>
      </c>
      <c r="B461" s="435">
        <f t="shared" si="1057"/>
        <v>0</v>
      </c>
      <c r="C461">
        <f t="shared" si="1057"/>
        <v>0</v>
      </c>
      <c r="D461" s="11">
        <f t="shared" si="1057"/>
        <v>0</v>
      </c>
      <c r="E461">
        <f t="shared" si="1057"/>
        <v>0</v>
      </c>
      <c r="F461">
        <f t="shared" si="1057"/>
        <v>0</v>
      </c>
      <c r="G461" s="2" t="str">
        <f t="shared" si="1057"/>
        <v>Bottom Branch:</v>
      </c>
      <c r="H461" s="2" t="str">
        <f t="shared" si="1057"/>
        <v>sum check</v>
      </c>
      <c r="I461" s="21">
        <f t="shared" si="1057"/>
        <v>1104844.9999999998</v>
      </c>
      <c r="J461">
        <f t="shared" si="1057"/>
        <v>0</v>
      </c>
      <c r="K461" s="55" t="str">
        <f t="shared" si="1057"/>
        <v>sum check</v>
      </c>
      <c r="L461" s="56">
        <f t="shared" si="1057"/>
        <v>10827.481</v>
      </c>
      <c r="M461">
        <f t="shared" si="1057"/>
        <v>0</v>
      </c>
      <c r="N461">
        <f t="shared" si="1057"/>
        <v>0</v>
      </c>
      <c r="O461">
        <f t="shared" si="1057"/>
        <v>0</v>
      </c>
      <c r="P461">
        <f t="shared" si="1057"/>
        <v>0</v>
      </c>
      <c r="Q461">
        <f t="shared" si="1057"/>
        <v>0</v>
      </c>
      <c r="R461" s="55" t="str">
        <f t="shared" si="1057"/>
        <v>sum check</v>
      </c>
      <c r="S461" s="56">
        <f t="shared" si="1057"/>
        <v>18550.352518234493</v>
      </c>
      <c r="T461">
        <f t="shared" si="1057"/>
        <v>0</v>
      </c>
      <c r="U461">
        <f t="shared" si="1057"/>
        <v>0</v>
      </c>
      <c r="V461">
        <f t="shared" si="1057"/>
        <v>0</v>
      </c>
      <c r="W461">
        <f t="shared" si="1057"/>
        <v>0</v>
      </c>
      <c r="X461">
        <f t="shared" si="1057"/>
        <v>0</v>
      </c>
      <c r="Y461">
        <f t="shared" si="1057"/>
        <v>0</v>
      </c>
      <c r="Z461">
        <f t="shared" si="1057"/>
        <v>0</v>
      </c>
      <c r="AA461">
        <f t="shared" si="1057"/>
        <v>0</v>
      </c>
      <c r="AD461" t="str">
        <f t="shared" ref="AD461:BD461" si="1058">AD277</f>
        <v>sum check row</v>
      </c>
      <c r="AE461" s="679">
        <f t="shared" si="1058"/>
        <v>0</v>
      </c>
      <c r="AF461">
        <f t="shared" si="1058"/>
        <v>0</v>
      </c>
      <c r="AG461" s="11">
        <f t="shared" si="1058"/>
        <v>0</v>
      </c>
      <c r="AH461">
        <f t="shared" si="1058"/>
        <v>0</v>
      </c>
      <c r="AI461">
        <f t="shared" si="1058"/>
        <v>0</v>
      </c>
      <c r="AJ461" s="2" t="str">
        <f t="shared" si="1058"/>
        <v>Bottom Branch:</v>
      </c>
      <c r="AK461" s="2" t="str">
        <f t="shared" si="1058"/>
        <v>sum check</v>
      </c>
      <c r="AL461" s="21">
        <f t="shared" si="1058"/>
        <v>1104844.9999999998</v>
      </c>
      <c r="AM461">
        <f t="shared" si="1058"/>
        <v>0</v>
      </c>
      <c r="AN461" s="55" t="str">
        <f t="shared" si="1058"/>
        <v>sum check</v>
      </c>
      <c r="AO461" s="56">
        <f t="shared" si="1058"/>
        <v>10827.481</v>
      </c>
      <c r="AP461">
        <f t="shared" si="1058"/>
        <v>0</v>
      </c>
      <c r="AQ461">
        <f t="shared" si="1058"/>
        <v>0</v>
      </c>
      <c r="AR461">
        <f t="shared" si="1058"/>
        <v>0</v>
      </c>
      <c r="AS461">
        <f t="shared" si="1058"/>
        <v>0</v>
      </c>
      <c r="AT461">
        <f t="shared" si="1058"/>
        <v>0</v>
      </c>
      <c r="AU461" s="55" t="str">
        <f t="shared" si="1058"/>
        <v>sum check</v>
      </c>
      <c r="AV461" s="56">
        <f t="shared" si="1058"/>
        <v>7613.864775296779</v>
      </c>
      <c r="AW461">
        <f t="shared" si="1058"/>
        <v>0</v>
      </c>
      <c r="AX461">
        <f t="shared" si="1058"/>
        <v>0</v>
      </c>
      <c r="AY461">
        <f t="shared" si="1058"/>
        <v>0</v>
      </c>
      <c r="AZ461">
        <f t="shared" si="1058"/>
        <v>0</v>
      </c>
      <c r="BA461">
        <f t="shared" si="1058"/>
        <v>0</v>
      </c>
      <c r="BB461">
        <f t="shared" si="1058"/>
        <v>0</v>
      </c>
      <c r="BC461">
        <f t="shared" si="1058"/>
        <v>0</v>
      </c>
      <c r="BD461">
        <f t="shared" si="1058"/>
        <v>0</v>
      </c>
    </row>
    <row r="462" spans="1:56" x14ac:dyDescent="0.3">
      <c r="A462" s="435">
        <f t="shared" ref="A462:AA462" si="1059">A278</f>
        <v>0</v>
      </c>
      <c r="B462" s="435">
        <f t="shared" si="1059"/>
        <v>0</v>
      </c>
      <c r="C462">
        <f t="shared" si="1059"/>
        <v>0</v>
      </c>
      <c r="D462" s="11">
        <f t="shared" si="1059"/>
        <v>0</v>
      </c>
      <c r="E462">
        <f t="shared" si="1059"/>
        <v>0</v>
      </c>
      <c r="F462">
        <f t="shared" si="1059"/>
        <v>0</v>
      </c>
      <c r="G462">
        <f t="shared" si="1059"/>
        <v>0</v>
      </c>
      <c r="H462">
        <f t="shared" si="1059"/>
        <v>0</v>
      </c>
      <c r="I462">
        <f t="shared" si="1059"/>
        <v>0</v>
      </c>
      <c r="J462">
        <f t="shared" si="1059"/>
        <v>0</v>
      </c>
      <c r="K462">
        <f t="shared" si="1059"/>
        <v>0</v>
      </c>
      <c r="L462">
        <f t="shared" si="1059"/>
        <v>0</v>
      </c>
      <c r="M462">
        <f t="shared" si="1059"/>
        <v>0</v>
      </c>
      <c r="N462">
        <f t="shared" si="1059"/>
        <v>0</v>
      </c>
      <c r="O462">
        <f t="shared" si="1059"/>
        <v>0</v>
      </c>
      <c r="P462">
        <f t="shared" si="1059"/>
        <v>0</v>
      </c>
      <c r="Q462">
        <f t="shared" si="1059"/>
        <v>0</v>
      </c>
      <c r="R462">
        <f t="shared" si="1059"/>
        <v>0</v>
      </c>
      <c r="S462">
        <f t="shared" si="1059"/>
        <v>0</v>
      </c>
      <c r="T462">
        <f t="shared" si="1059"/>
        <v>0</v>
      </c>
      <c r="U462">
        <f t="shared" si="1059"/>
        <v>0</v>
      </c>
      <c r="V462">
        <f t="shared" si="1059"/>
        <v>0</v>
      </c>
      <c r="W462">
        <f t="shared" si="1059"/>
        <v>0</v>
      </c>
      <c r="X462">
        <f t="shared" si="1059"/>
        <v>0</v>
      </c>
      <c r="Y462">
        <f t="shared" si="1059"/>
        <v>0</v>
      </c>
      <c r="Z462">
        <f t="shared" si="1059"/>
        <v>0</v>
      </c>
      <c r="AA462">
        <f t="shared" si="1059"/>
        <v>0</v>
      </c>
      <c r="AD462" s="679">
        <f t="shared" ref="AD462:BD462" si="1060">AD278</f>
        <v>0</v>
      </c>
      <c r="AE462" s="679">
        <f t="shared" si="1060"/>
        <v>0</v>
      </c>
      <c r="AF462">
        <f t="shared" si="1060"/>
        <v>0</v>
      </c>
      <c r="AG462" s="11">
        <f t="shared" si="1060"/>
        <v>0</v>
      </c>
      <c r="AH462">
        <f t="shared" si="1060"/>
        <v>0</v>
      </c>
      <c r="AI462">
        <f t="shared" si="1060"/>
        <v>0</v>
      </c>
      <c r="AJ462">
        <f t="shared" si="1060"/>
        <v>0</v>
      </c>
      <c r="AK462">
        <f t="shared" si="1060"/>
        <v>0</v>
      </c>
      <c r="AL462">
        <f t="shared" si="1060"/>
        <v>0</v>
      </c>
      <c r="AM462">
        <f t="shared" si="1060"/>
        <v>0</v>
      </c>
      <c r="AN462">
        <f t="shared" si="1060"/>
        <v>0</v>
      </c>
      <c r="AO462">
        <f t="shared" si="1060"/>
        <v>0</v>
      </c>
      <c r="AP462">
        <f t="shared" si="1060"/>
        <v>0</v>
      </c>
      <c r="AQ462">
        <f t="shared" si="1060"/>
        <v>0</v>
      </c>
      <c r="AR462">
        <f t="shared" si="1060"/>
        <v>0</v>
      </c>
      <c r="AS462">
        <f t="shared" si="1060"/>
        <v>0</v>
      </c>
      <c r="AT462">
        <f t="shared" si="1060"/>
        <v>0</v>
      </c>
      <c r="AU462">
        <f t="shared" si="1060"/>
        <v>0</v>
      </c>
      <c r="AV462">
        <f t="shared" si="1060"/>
        <v>0</v>
      </c>
      <c r="AW462">
        <f t="shared" si="1060"/>
        <v>0</v>
      </c>
      <c r="AX462">
        <f t="shared" si="1060"/>
        <v>0</v>
      </c>
      <c r="AY462">
        <f t="shared" si="1060"/>
        <v>0</v>
      </c>
      <c r="AZ462">
        <f t="shared" si="1060"/>
        <v>0</v>
      </c>
      <c r="BA462">
        <f t="shared" si="1060"/>
        <v>0</v>
      </c>
      <c r="BB462">
        <f t="shared" si="1060"/>
        <v>0</v>
      </c>
      <c r="BC462">
        <f t="shared" si="1060"/>
        <v>0</v>
      </c>
      <c r="BD462">
        <f t="shared" si="1060"/>
        <v>0</v>
      </c>
    </row>
    <row r="463" spans="1:56" x14ac:dyDescent="0.3">
      <c r="A463" s="1115" t="str">
        <f t="shared" ref="A463:AA463" si="1061">A279</f>
        <v>Pregnancies reaching 3rd trimester that result in a live birth</v>
      </c>
      <c r="B463" s="1115">
        <f t="shared" si="1061"/>
        <v>0</v>
      </c>
      <c r="C463" s="90">
        <f t="shared" si="1061"/>
        <v>3945875</v>
      </c>
      <c r="D463" s="11">
        <f t="shared" si="1061"/>
        <v>0</v>
      </c>
      <c r="E463">
        <f t="shared" si="1061"/>
        <v>0</v>
      </c>
      <c r="F463">
        <f t="shared" si="1061"/>
        <v>0</v>
      </c>
      <c r="G463">
        <f t="shared" si="1061"/>
        <v>0</v>
      </c>
      <c r="H463">
        <f t="shared" si="1061"/>
        <v>0</v>
      </c>
      <c r="I463">
        <f t="shared" si="1061"/>
        <v>0</v>
      </c>
      <c r="J463">
        <f t="shared" si="1061"/>
        <v>0</v>
      </c>
      <c r="K463">
        <f t="shared" si="1061"/>
        <v>0</v>
      </c>
      <c r="L463">
        <f t="shared" si="1061"/>
        <v>0</v>
      </c>
      <c r="M463">
        <f t="shared" si="1061"/>
        <v>0</v>
      </c>
      <c r="N463">
        <f t="shared" si="1061"/>
        <v>0</v>
      </c>
      <c r="O463">
        <f t="shared" si="1061"/>
        <v>0</v>
      </c>
      <c r="P463">
        <f t="shared" si="1061"/>
        <v>0</v>
      </c>
      <c r="Q463">
        <f t="shared" si="1061"/>
        <v>0</v>
      </c>
      <c r="R463">
        <f t="shared" si="1061"/>
        <v>0</v>
      </c>
      <c r="S463">
        <f t="shared" si="1061"/>
        <v>0</v>
      </c>
      <c r="T463">
        <f t="shared" si="1061"/>
        <v>0</v>
      </c>
      <c r="U463">
        <f t="shared" si="1061"/>
        <v>0</v>
      </c>
      <c r="V463">
        <f t="shared" si="1061"/>
        <v>0</v>
      </c>
      <c r="W463">
        <f t="shared" si="1061"/>
        <v>0</v>
      </c>
      <c r="X463">
        <f t="shared" si="1061"/>
        <v>0</v>
      </c>
      <c r="Y463">
        <f t="shared" si="1061"/>
        <v>0</v>
      </c>
      <c r="Z463">
        <f t="shared" si="1061"/>
        <v>0</v>
      </c>
      <c r="AA463">
        <f t="shared" si="1061"/>
        <v>0</v>
      </c>
      <c r="AD463" s="1115" t="str">
        <f t="shared" ref="AD463:BD463" si="1062">AD279</f>
        <v>Pregnancies reaching 3rd trimester that result in a live birth</v>
      </c>
      <c r="AE463" s="1115">
        <f t="shared" si="1062"/>
        <v>0</v>
      </c>
      <c r="AF463" s="90">
        <f t="shared" si="1062"/>
        <v>0</v>
      </c>
      <c r="AG463" s="11">
        <f t="shared" si="1062"/>
        <v>0</v>
      </c>
      <c r="AH463">
        <f t="shared" si="1062"/>
        <v>0</v>
      </c>
      <c r="AI463">
        <f t="shared" si="1062"/>
        <v>0</v>
      </c>
      <c r="AJ463">
        <f t="shared" si="1062"/>
        <v>0</v>
      </c>
      <c r="AK463">
        <f t="shared" si="1062"/>
        <v>0</v>
      </c>
      <c r="AL463">
        <f t="shared" si="1062"/>
        <v>0</v>
      </c>
      <c r="AM463">
        <f t="shared" si="1062"/>
        <v>0</v>
      </c>
      <c r="AN463">
        <f t="shared" si="1062"/>
        <v>0</v>
      </c>
      <c r="AO463">
        <f t="shared" si="1062"/>
        <v>0</v>
      </c>
      <c r="AP463">
        <f t="shared" si="1062"/>
        <v>0</v>
      </c>
      <c r="AQ463">
        <f t="shared" si="1062"/>
        <v>0</v>
      </c>
      <c r="AR463">
        <f t="shared" si="1062"/>
        <v>0</v>
      </c>
      <c r="AS463">
        <f t="shared" si="1062"/>
        <v>0</v>
      </c>
      <c r="AT463">
        <f t="shared" si="1062"/>
        <v>0</v>
      </c>
      <c r="AU463">
        <f t="shared" si="1062"/>
        <v>0</v>
      </c>
      <c r="AV463">
        <f t="shared" si="1062"/>
        <v>0</v>
      </c>
      <c r="AW463">
        <f t="shared" si="1062"/>
        <v>0</v>
      </c>
      <c r="AX463">
        <f t="shared" si="1062"/>
        <v>0</v>
      </c>
      <c r="AY463">
        <f t="shared" si="1062"/>
        <v>0</v>
      </c>
      <c r="AZ463">
        <f t="shared" si="1062"/>
        <v>0</v>
      </c>
      <c r="BA463">
        <f t="shared" si="1062"/>
        <v>0</v>
      </c>
      <c r="BB463">
        <f t="shared" si="1062"/>
        <v>0</v>
      </c>
      <c r="BC463">
        <f t="shared" si="1062"/>
        <v>0</v>
      </c>
      <c r="BD463">
        <f t="shared" si="1062"/>
        <v>0</v>
      </c>
    </row>
    <row r="464" spans="1:56" x14ac:dyDescent="0.3">
      <c r="A464" s="1115">
        <f t="shared" ref="A464:AA464" si="1063">A280</f>
        <v>0</v>
      </c>
      <c r="B464" s="1115">
        <f t="shared" si="1063"/>
        <v>0</v>
      </c>
      <c r="C464">
        <f t="shared" si="1063"/>
        <v>0</v>
      </c>
      <c r="D464" s="11">
        <f t="shared" si="1063"/>
        <v>0</v>
      </c>
      <c r="E464">
        <f t="shared" si="1063"/>
        <v>0</v>
      </c>
      <c r="F464">
        <f t="shared" si="1063"/>
        <v>0</v>
      </c>
      <c r="G464">
        <f t="shared" si="1063"/>
        <v>0</v>
      </c>
      <c r="H464">
        <f t="shared" si="1063"/>
        <v>0</v>
      </c>
      <c r="I464">
        <f t="shared" si="1063"/>
        <v>0</v>
      </c>
      <c r="J464">
        <f t="shared" si="1063"/>
        <v>0</v>
      </c>
      <c r="K464">
        <f t="shared" si="1063"/>
        <v>0</v>
      </c>
      <c r="L464">
        <f t="shared" si="1063"/>
        <v>0</v>
      </c>
      <c r="M464">
        <f t="shared" si="1063"/>
        <v>0</v>
      </c>
      <c r="N464">
        <f t="shared" si="1063"/>
        <v>0</v>
      </c>
      <c r="O464">
        <f t="shared" si="1063"/>
        <v>0</v>
      </c>
      <c r="P464">
        <f t="shared" si="1063"/>
        <v>0</v>
      </c>
      <c r="Q464">
        <f t="shared" si="1063"/>
        <v>0</v>
      </c>
      <c r="R464">
        <f t="shared" si="1063"/>
        <v>0</v>
      </c>
      <c r="S464">
        <f t="shared" si="1063"/>
        <v>0</v>
      </c>
      <c r="T464">
        <f t="shared" si="1063"/>
        <v>0</v>
      </c>
      <c r="U464">
        <f t="shared" si="1063"/>
        <v>0</v>
      </c>
      <c r="V464">
        <f t="shared" si="1063"/>
        <v>0</v>
      </c>
      <c r="W464">
        <f t="shared" si="1063"/>
        <v>0</v>
      </c>
      <c r="X464">
        <f t="shared" si="1063"/>
        <v>0</v>
      </c>
      <c r="Y464">
        <f t="shared" si="1063"/>
        <v>0</v>
      </c>
      <c r="Z464">
        <f t="shared" si="1063"/>
        <v>0</v>
      </c>
      <c r="AA464">
        <f t="shared" si="1063"/>
        <v>0</v>
      </c>
      <c r="AD464" s="1115">
        <f t="shared" ref="AD464:BD464" si="1064">AD280</f>
        <v>0</v>
      </c>
      <c r="AE464" s="1115">
        <f t="shared" si="1064"/>
        <v>0</v>
      </c>
      <c r="AF464">
        <f t="shared" si="1064"/>
        <v>0</v>
      </c>
      <c r="AG464" s="11">
        <f t="shared" si="1064"/>
        <v>0</v>
      </c>
      <c r="AH464">
        <f t="shared" si="1064"/>
        <v>0</v>
      </c>
      <c r="AI464">
        <f t="shared" si="1064"/>
        <v>0</v>
      </c>
      <c r="AJ464">
        <f t="shared" si="1064"/>
        <v>0</v>
      </c>
      <c r="AK464">
        <f t="shared" si="1064"/>
        <v>0</v>
      </c>
      <c r="AL464">
        <f t="shared" si="1064"/>
        <v>0</v>
      </c>
      <c r="AM464">
        <f t="shared" si="1064"/>
        <v>0</v>
      </c>
      <c r="AN464">
        <f t="shared" si="1064"/>
        <v>0</v>
      </c>
      <c r="AO464">
        <f t="shared" si="1064"/>
        <v>0</v>
      </c>
      <c r="AP464">
        <f t="shared" si="1064"/>
        <v>0</v>
      </c>
      <c r="AQ464">
        <f t="shared" si="1064"/>
        <v>0</v>
      </c>
      <c r="AR464">
        <f t="shared" si="1064"/>
        <v>0</v>
      </c>
      <c r="AS464">
        <f t="shared" si="1064"/>
        <v>0</v>
      </c>
      <c r="AT464">
        <f t="shared" si="1064"/>
        <v>0</v>
      </c>
      <c r="AU464">
        <f t="shared" si="1064"/>
        <v>0</v>
      </c>
      <c r="AV464">
        <f t="shared" si="1064"/>
        <v>0</v>
      </c>
      <c r="AW464">
        <f t="shared" si="1064"/>
        <v>0</v>
      </c>
      <c r="AX464">
        <f t="shared" si="1064"/>
        <v>0</v>
      </c>
      <c r="AY464">
        <f t="shared" si="1064"/>
        <v>0</v>
      </c>
      <c r="AZ464">
        <f t="shared" si="1064"/>
        <v>0</v>
      </c>
      <c r="BA464">
        <f t="shared" si="1064"/>
        <v>0</v>
      </c>
      <c r="BB464">
        <f t="shared" si="1064"/>
        <v>0</v>
      </c>
      <c r="BC464">
        <f t="shared" si="1064"/>
        <v>0</v>
      </c>
      <c r="BD464">
        <f t="shared" si="1064"/>
        <v>0</v>
      </c>
    </row>
    <row r="465" spans="1:56" x14ac:dyDescent="0.3">
      <c r="A465" s="1115">
        <f t="shared" ref="A465:AA465" si="1065">A281</f>
        <v>0</v>
      </c>
      <c r="B465" s="1115">
        <f t="shared" si="1065"/>
        <v>0</v>
      </c>
      <c r="C465">
        <f t="shared" si="1065"/>
        <v>0</v>
      </c>
      <c r="D465" s="11">
        <f t="shared" si="1065"/>
        <v>0</v>
      </c>
      <c r="E465">
        <f t="shared" si="1065"/>
        <v>0</v>
      </c>
      <c r="F465">
        <f t="shared" si="1065"/>
        <v>0</v>
      </c>
      <c r="G465">
        <f t="shared" si="1065"/>
        <v>0</v>
      </c>
      <c r="H465">
        <f t="shared" si="1065"/>
        <v>0</v>
      </c>
      <c r="I465">
        <f t="shared" si="1065"/>
        <v>0</v>
      </c>
      <c r="J465">
        <f t="shared" si="1065"/>
        <v>0</v>
      </c>
      <c r="K465">
        <f t="shared" si="1065"/>
        <v>0</v>
      </c>
      <c r="L465">
        <f t="shared" si="1065"/>
        <v>0</v>
      </c>
      <c r="M465">
        <f t="shared" si="1065"/>
        <v>0</v>
      </c>
      <c r="N465">
        <f t="shared" si="1065"/>
        <v>0</v>
      </c>
      <c r="O465">
        <f t="shared" si="1065"/>
        <v>0</v>
      </c>
      <c r="P465">
        <f t="shared" si="1065"/>
        <v>0</v>
      </c>
      <c r="Q465">
        <f t="shared" si="1065"/>
        <v>0</v>
      </c>
      <c r="R465">
        <f t="shared" si="1065"/>
        <v>0</v>
      </c>
      <c r="S465">
        <f t="shared" si="1065"/>
        <v>0</v>
      </c>
      <c r="T465">
        <f t="shared" si="1065"/>
        <v>0</v>
      </c>
      <c r="U465">
        <f t="shared" si="1065"/>
        <v>0</v>
      </c>
      <c r="V465">
        <f t="shared" si="1065"/>
        <v>0</v>
      </c>
      <c r="W465">
        <f t="shared" si="1065"/>
        <v>0</v>
      </c>
      <c r="X465">
        <f t="shared" si="1065"/>
        <v>0</v>
      </c>
      <c r="Y465">
        <f t="shared" si="1065"/>
        <v>0</v>
      </c>
      <c r="Z465">
        <f t="shared" si="1065"/>
        <v>0</v>
      </c>
      <c r="AA465">
        <f t="shared" si="1065"/>
        <v>0</v>
      </c>
      <c r="AD465" s="1115">
        <f t="shared" ref="AD465:BD465" si="1066">AD281</f>
        <v>0</v>
      </c>
      <c r="AE465" s="1115">
        <f t="shared" si="1066"/>
        <v>0</v>
      </c>
      <c r="AF465">
        <f t="shared" si="1066"/>
        <v>0</v>
      </c>
      <c r="AG465" s="11">
        <f t="shared" si="1066"/>
        <v>0</v>
      </c>
      <c r="AH465">
        <f t="shared" si="1066"/>
        <v>0</v>
      </c>
      <c r="AI465">
        <f t="shared" si="1066"/>
        <v>0</v>
      </c>
      <c r="AJ465">
        <f t="shared" si="1066"/>
        <v>0</v>
      </c>
      <c r="AK465">
        <f t="shared" si="1066"/>
        <v>0</v>
      </c>
      <c r="AL465">
        <f t="shared" si="1066"/>
        <v>0</v>
      </c>
      <c r="AM465">
        <f t="shared" si="1066"/>
        <v>0</v>
      </c>
      <c r="AN465">
        <f t="shared" si="1066"/>
        <v>0</v>
      </c>
      <c r="AO465">
        <f t="shared" si="1066"/>
        <v>0</v>
      </c>
      <c r="AP465">
        <f t="shared" si="1066"/>
        <v>0</v>
      </c>
      <c r="AQ465">
        <f t="shared" si="1066"/>
        <v>0</v>
      </c>
      <c r="AR465">
        <f t="shared" si="1066"/>
        <v>0</v>
      </c>
      <c r="AS465">
        <f t="shared" si="1066"/>
        <v>0</v>
      </c>
      <c r="AT465">
        <f t="shared" si="1066"/>
        <v>0</v>
      </c>
      <c r="AU465">
        <f t="shared" si="1066"/>
        <v>0</v>
      </c>
      <c r="AV465">
        <f t="shared" si="1066"/>
        <v>0</v>
      </c>
      <c r="AW465">
        <f t="shared" si="1066"/>
        <v>0</v>
      </c>
      <c r="AX465">
        <f t="shared" si="1066"/>
        <v>0</v>
      </c>
      <c r="AY465">
        <f t="shared" si="1066"/>
        <v>0</v>
      </c>
      <c r="AZ465">
        <f t="shared" si="1066"/>
        <v>0</v>
      </c>
      <c r="BA465">
        <f t="shared" si="1066"/>
        <v>0</v>
      </c>
      <c r="BB465">
        <f t="shared" si="1066"/>
        <v>0</v>
      </c>
      <c r="BC465">
        <f t="shared" si="1066"/>
        <v>0</v>
      </c>
      <c r="BD465">
        <f t="shared" si="1066"/>
        <v>0</v>
      </c>
    </row>
    <row r="466" spans="1:56" x14ac:dyDescent="0.3">
      <c r="A466" t="str">
        <f t="shared" ref="A466:AA466" si="1067">A282</f>
        <v>sum check row</v>
      </c>
      <c r="B466">
        <f t="shared" si="1067"/>
        <v>0</v>
      </c>
      <c r="C466">
        <f t="shared" si="1067"/>
        <v>0</v>
      </c>
      <c r="D466" s="11">
        <f t="shared" si="1067"/>
        <v>0</v>
      </c>
      <c r="E466">
        <f t="shared" si="1067"/>
        <v>0</v>
      </c>
      <c r="F466">
        <f t="shared" si="1067"/>
        <v>0</v>
      </c>
      <c r="G466" t="str">
        <f t="shared" si="1067"/>
        <v>Top Branch:</v>
      </c>
      <c r="H466" t="str">
        <f t="shared" si="1067"/>
        <v>sum check</v>
      </c>
      <c r="I466" s="8">
        <f t="shared" si="1067"/>
        <v>8507.3064999999988</v>
      </c>
      <c r="J466">
        <f t="shared" si="1067"/>
        <v>0</v>
      </c>
      <c r="K466">
        <f t="shared" si="1067"/>
        <v>0</v>
      </c>
      <c r="L466">
        <f t="shared" si="1067"/>
        <v>0</v>
      </c>
      <c r="M466">
        <f t="shared" si="1067"/>
        <v>0</v>
      </c>
      <c r="N466">
        <f t="shared" si="1067"/>
        <v>0</v>
      </c>
      <c r="O466">
        <f t="shared" si="1067"/>
        <v>0</v>
      </c>
      <c r="P466">
        <f t="shared" si="1067"/>
        <v>0</v>
      </c>
      <c r="Q466" s="2" t="str">
        <f t="shared" si="1067"/>
        <v>sum check</v>
      </c>
      <c r="R466" s="28">
        <f t="shared" si="1067"/>
        <v>0</v>
      </c>
      <c r="S466" s="19">
        <f t="shared" si="1067"/>
        <v>0</v>
      </c>
      <c r="T466">
        <f t="shared" si="1067"/>
        <v>0</v>
      </c>
      <c r="U466">
        <f t="shared" si="1067"/>
        <v>0</v>
      </c>
      <c r="V466" s="2" t="str">
        <f t="shared" si="1067"/>
        <v>sum check</v>
      </c>
      <c r="W466" s="21">
        <f t="shared" si="1067"/>
        <v>0</v>
      </c>
      <c r="X466">
        <f t="shared" si="1067"/>
        <v>0</v>
      </c>
      <c r="Y466">
        <f t="shared" si="1067"/>
        <v>0</v>
      </c>
      <c r="Z466">
        <f t="shared" si="1067"/>
        <v>0</v>
      </c>
      <c r="AA466">
        <f t="shared" si="1067"/>
        <v>0</v>
      </c>
      <c r="AD466" t="str">
        <f t="shared" ref="AD466:BD466" si="1068">AD282</f>
        <v>sum check row</v>
      </c>
      <c r="AE466">
        <f t="shared" si="1068"/>
        <v>0</v>
      </c>
      <c r="AF466">
        <f t="shared" si="1068"/>
        <v>0</v>
      </c>
      <c r="AG466" s="11">
        <f t="shared" si="1068"/>
        <v>0</v>
      </c>
      <c r="AH466">
        <f t="shared" si="1068"/>
        <v>0</v>
      </c>
      <c r="AI466">
        <f t="shared" si="1068"/>
        <v>0</v>
      </c>
      <c r="AJ466" t="str">
        <f t="shared" si="1068"/>
        <v>Top Branch:</v>
      </c>
      <c r="AK466" t="str">
        <f t="shared" si="1068"/>
        <v>sum check</v>
      </c>
      <c r="AL466" s="8">
        <f t="shared" si="1068"/>
        <v>8507.3064999999988</v>
      </c>
      <c r="AM466">
        <f t="shared" si="1068"/>
        <v>0</v>
      </c>
      <c r="AN466">
        <f t="shared" si="1068"/>
        <v>0</v>
      </c>
      <c r="AO466">
        <f t="shared" si="1068"/>
        <v>0</v>
      </c>
      <c r="AP466">
        <f t="shared" si="1068"/>
        <v>0</v>
      </c>
      <c r="AQ466">
        <f t="shared" si="1068"/>
        <v>0</v>
      </c>
      <c r="AR466">
        <f t="shared" si="1068"/>
        <v>0</v>
      </c>
      <c r="AS466">
        <f t="shared" si="1068"/>
        <v>0</v>
      </c>
      <c r="AT466" s="2" t="str">
        <f t="shared" si="1068"/>
        <v>sum check</v>
      </c>
      <c r="AU466" s="28">
        <f t="shared" si="1068"/>
        <v>0</v>
      </c>
      <c r="AV466" s="19">
        <f t="shared" si="1068"/>
        <v>0</v>
      </c>
      <c r="AW466">
        <f t="shared" si="1068"/>
        <v>0</v>
      </c>
      <c r="AX466">
        <f t="shared" si="1068"/>
        <v>0</v>
      </c>
      <c r="AY466" s="2" t="str">
        <f t="shared" si="1068"/>
        <v>sum check</v>
      </c>
      <c r="AZ466" s="21">
        <f t="shared" si="1068"/>
        <v>0</v>
      </c>
      <c r="BA466">
        <f t="shared" si="1068"/>
        <v>0</v>
      </c>
      <c r="BB466">
        <f t="shared" si="1068"/>
        <v>0</v>
      </c>
      <c r="BC466">
        <f t="shared" si="1068"/>
        <v>0</v>
      </c>
      <c r="BD466">
        <f t="shared" si="1068"/>
        <v>0</v>
      </c>
    </row>
    <row r="467" spans="1:56" x14ac:dyDescent="0.3">
      <c r="A467" t="str">
        <f t="shared" ref="A467:AA467" si="1069">A283</f>
        <v>sum check row</v>
      </c>
      <c r="B467">
        <f t="shared" si="1069"/>
        <v>0</v>
      </c>
      <c r="C467">
        <f t="shared" si="1069"/>
        <v>0</v>
      </c>
      <c r="D467" s="11">
        <f t="shared" si="1069"/>
        <v>0</v>
      </c>
      <c r="E467">
        <f t="shared" si="1069"/>
        <v>0</v>
      </c>
      <c r="F467">
        <f t="shared" si="1069"/>
        <v>0</v>
      </c>
      <c r="G467">
        <f t="shared" si="1069"/>
        <v>0</v>
      </c>
      <c r="H467">
        <f t="shared" si="1069"/>
        <v>0</v>
      </c>
      <c r="I467" s="8">
        <f t="shared" si="1069"/>
        <v>0</v>
      </c>
      <c r="J467">
        <f t="shared" si="1069"/>
        <v>0</v>
      </c>
      <c r="K467">
        <f t="shared" si="1069"/>
        <v>0</v>
      </c>
      <c r="L467">
        <f t="shared" si="1069"/>
        <v>0</v>
      </c>
      <c r="M467">
        <f t="shared" si="1069"/>
        <v>0</v>
      </c>
      <c r="N467">
        <f t="shared" si="1069"/>
        <v>0</v>
      </c>
      <c r="O467">
        <f t="shared" si="1069"/>
        <v>0</v>
      </c>
      <c r="P467">
        <f t="shared" si="1069"/>
        <v>0</v>
      </c>
      <c r="Q467" s="2">
        <f t="shared" si="1069"/>
        <v>0</v>
      </c>
      <c r="R467" s="28">
        <f t="shared" si="1069"/>
        <v>0</v>
      </c>
      <c r="S467" s="19">
        <f t="shared" si="1069"/>
        <v>0</v>
      </c>
      <c r="T467">
        <f t="shared" si="1069"/>
        <v>0</v>
      </c>
      <c r="U467">
        <f t="shared" si="1069"/>
        <v>0</v>
      </c>
      <c r="V467" s="2" t="str">
        <f t="shared" si="1069"/>
        <v>sum check</v>
      </c>
      <c r="W467" s="21">
        <f t="shared" si="1069"/>
        <v>0</v>
      </c>
      <c r="X467">
        <f t="shared" si="1069"/>
        <v>0</v>
      </c>
      <c r="Y467">
        <f t="shared" si="1069"/>
        <v>0</v>
      </c>
      <c r="Z467">
        <f t="shared" si="1069"/>
        <v>0</v>
      </c>
      <c r="AA467">
        <f t="shared" si="1069"/>
        <v>0</v>
      </c>
      <c r="AD467" t="str">
        <f t="shared" ref="AD467:BD467" si="1070">AD283</f>
        <v>sum check row</v>
      </c>
      <c r="AE467">
        <f t="shared" si="1070"/>
        <v>0</v>
      </c>
      <c r="AF467">
        <f t="shared" si="1070"/>
        <v>0</v>
      </c>
      <c r="AG467" s="11">
        <f t="shared" si="1070"/>
        <v>0</v>
      </c>
      <c r="AH467">
        <f t="shared" si="1070"/>
        <v>0</v>
      </c>
      <c r="AI467">
        <f t="shared" si="1070"/>
        <v>0</v>
      </c>
      <c r="AJ467">
        <f t="shared" si="1070"/>
        <v>0</v>
      </c>
      <c r="AK467">
        <f t="shared" si="1070"/>
        <v>0</v>
      </c>
      <c r="AL467" s="8">
        <f t="shared" si="1070"/>
        <v>0</v>
      </c>
      <c r="AM467">
        <f t="shared" si="1070"/>
        <v>0</v>
      </c>
      <c r="AN467">
        <f t="shared" si="1070"/>
        <v>0</v>
      </c>
      <c r="AO467">
        <f t="shared" si="1070"/>
        <v>0</v>
      </c>
      <c r="AP467">
        <f t="shared" si="1070"/>
        <v>0</v>
      </c>
      <c r="AQ467">
        <f t="shared" si="1070"/>
        <v>0</v>
      </c>
      <c r="AR467">
        <f t="shared" si="1070"/>
        <v>0</v>
      </c>
      <c r="AS467">
        <f t="shared" si="1070"/>
        <v>0</v>
      </c>
      <c r="AT467" s="2">
        <f t="shared" si="1070"/>
        <v>0</v>
      </c>
      <c r="AU467" s="28">
        <f t="shared" si="1070"/>
        <v>0</v>
      </c>
      <c r="AV467" s="19">
        <f t="shared" si="1070"/>
        <v>0</v>
      </c>
      <c r="AW467">
        <f t="shared" si="1070"/>
        <v>0</v>
      </c>
      <c r="AX467">
        <f t="shared" si="1070"/>
        <v>0</v>
      </c>
      <c r="AY467" s="2" t="str">
        <f t="shared" si="1070"/>
        <v>sum check</v>
      </c>
      <c r="AZ467" s="21">
        <f t="shared" si="1070"/>
        <v>0</v>
      </c>
      <c r="BA467">
        <f t="shared" si="1070"/>
        <v>0</v>
      </c>
      <c r="BB467">
        <f t="shared" si="1070"/>
        <v>0</v>
      </c>
      <c r="BC467">
        <f t="shared" si="1070"/>
        <v>0</v>
      </c>
      <c r="BD467">
        <f t="shared" si="1070"/>
        <v>0</v>
      </c>
    </row>
    <row r="468" spans="1:56" x14ac:dyDescent="0.3">
      <c r="A468">
        <f t="shared" ref="A468:AA468" si="1071">A284</f>
        <v>0</v>
      </c>
      <c r="B468">
        <f t="shared" si="1071"/>
        <v>0</v>
      </c>
      <c r="C468">
        <f t="shared" si="1071"/>
        <v>0</v>
      </c>
      <c r="D468" s="11">
        <f t="shared" si="1071"/>
        <v>0</v>
      </c>
      <c r="E468">
        <f t="shared" si="1071"/>
        <v>0</v>
      </c>
      <c r="F468">
        <f t="shared" si="1071"/>
        <v>0</v>
      </c>
      <c r="G468">
        <f t="shared" si="1071"/>
        <v>0</v>
      </c>
      <c r="H468">
        <f t="shared" si="1071"/>
        <v>0</v>
      </c>
      <c r="I468">
        <f t="shared" si="1071"/>
        <v>0</v>
      </c>
      <c r="J468">
        <f t="shared" si="1071"/>
        <v>0</v>
      </c>
      <c r="K468">
        <f t="shared" si="1071"/>
        <v>0</v>
      </c>
      <c r="L468">
        <f t="shared" si="1071"/>
        <v>0</v>
      </c>
      <c r="M468">
        <f t="shared" si="1071"/>
        <v>0</v>
      </c>
      <c r="N468">
        <f t="shared" si="1071"/>
        <v>0</v>
      </c>
      <c r="O468">
        <f t="shared" si="1071"/>
        <v>0</v>
      </c>
      <c r="P468">
        <f t="shared" si="1071"/>
        <v>0</v>
      </c>
      <c r="Q468">
        <f t="shared" si="1071"/>
        <v>0</v>
      </c>
      <c r="R468">
        <f t="shared" si="1071"/>
        <v>0</v>
      </c>
      <c r="S468">
        <f t="shared" si="1071"/>
        <v>0</v>
      </c>
      <c r="T468">
        <f t="shared" si="1071"/>
        <v>0</v>
      </c>
      <c r="U468">
        <f t="shared" si="1071"/>
        <v>0</v>
      </c>
      <c r="V468">
        <f t="shared" si="1071"/>
        <v>0</v>
      </c>
      <c r="W468">
        <f t="shared" si="1071"/>
        <v>0</v>
      </c>
      <c r="X468">
        <f t="shared" si="1071"/>
        <v>0</v>
      </c>
      <c r="Y468">
        <f t="shared" si="1071"/>
        <v>0</v>
      </c>
      <c r="Z468">
        <f t="shared" si="1071"/>
        <v>0</v>
      </c>
      <c r="AA468">
        <f t="shared" si="1071"/>
        <v>0</v>
      </c>
      <c r="AD468">
        <f t="shared" ref="AD468:BD468" si="1072">AD284</f>
        <v>0</v>
      </c>
      <c r="AE468">
        <f t="shared" si="1072"/>
        <v>0</v>
      </c>
      <c r="AF468">
        <f t="shared" si="1072"/>
        <v>0</v>
      </c>
      <c r="AG468" s="11">
        <f t="shared" si="1072"/>
        <v>0</v>
      </c>
      <c r="AH468">
        <f t="shared" si="1072"/>
        <v>0</v>
      </c>
      <c r="AI468">
        <f t="shared" si="1072"/>
        <v>0</v>
      </c>
      <c r="AJ468">
        <f t="shared" si="1072"/>
        <v>0</v>
      </c>
      <c r="AK468">
        <f t="shared" si="1072"/>
        <v>0</v>
      </c>
      <c r="AL468">
        <f t="shared" si="1072"/>
        <v>0</v>
      </c>
      <c r="AM468">
        <f t="shared" si="1072"/>
        <v>0</v>
      </c>
      <c r="AN468">
        <f t="shared" si="1072"/>
        <v>0</v>
      </c>
      <c r="AO468">
        <f t="shared" si="1072"/>
        <v>0</v>
      </c>
      <c r="AP468">
        <f t="shared" si="1072"/>
        <v>0</v>
      </c>
      <c r="AQ468">
        <f t="shared" si="1072"/>
        <v>0</v>
      </c>
      <c r="AR468">
        <f t="shared" si="1072"/>
        <v>0</v>
      </c>
      <c r="AS468">
        <f t="shared" si="1072"/>
        <v>0</v>
      </c>
      <c r="AT468">
        <f t="shared" si="1072"/>
        <v>0</v>
      </c>
      <c r="AU468">
        <f t="shared" si="1072"/>
        <v>0</v>
      </c>
      <c r="AV468">
        <f t="shared" si="1072"/>
        <v>0</v>
      </c>
      <c r="AW468">
        <f t="shared" si="1072"/>
        <v>0</v>
      </c>
      <c r="AX468">
        <f t="shared" si="1072"/>
        <v>0</v>
      </c>
      <c r="AY468">
        <f t="shared" si="1072"/>
        <v>0</v>
      </c>
      <c r="AZ468">
        <f t="shared" si="1072"/>
        <v>0</v>
      </c>
      <c r="BA468">
        <f t="shared" si="1072"/>
        <v>0</v>
      </c>
      <c r="BB468">
        <f t="shared" si="1072"/>
        <v>0</v>
      </c>
      <c r="BC468">
        <f t="shared" si="1072"/>
        <v>0</v>
      </c>
      <c r="BD468">
        <f t="shared" si="1072"/>
        <v>0</v>
      </c>
    </row>
    <row r="469" spans="1:56" x14ac:dyDescent="0.3">
      <c r="A469">
        <f t="shared" ref="A469:AA469" si="1073">A285</f>
        <v>0</v>
      </c>
      <c r="B469">
        <f t="shared" si="1073"/>
        <v>0</v>
      </c>
      <c r="C469">
        <f t="shared" si="1073"/>
        <v>0</v>
      </c>
      <c r="D469" s="11">
        <f t="shared" si="1073"/>
        <v>0</v>
      </c>
      <c r="E469">
        <f t="shared" si="1073"/>
        <v>0</v>
      </c>
      <c r="F469">
        <f t="shared" si="1073"/>
        <v>0</v>
      </c>
      <c r="G469">
        <f t="shared" si="1073"/>
        <v>0</v>
      </c>
      <c r="H469">
        <f t="shared" si="1073"/>
        <v>0</v>
      </c>
      <c r="I469" s="8">
        <f t="shared" si="1073"/>
        <v>0</v>
      </c>
      <c r="J469">
        <f t="shared" si="1073"/>
        <v>0</v>
      </c>
      <c r="K469">
        <f t="shared" si="1073"/>
        <v>0</v>
      </c>
      <c r="L469">
        <f t="shared" si="1073"/>
        <v>0</v>
      </c>
      <c r="M469">
        <f t="shared" si="1073"/>
        <v>0</v>
      </c>
      <c r="N469">
        <f t="shared" si="1073"/>
        <v>0</v>
      </c>
      <c r="O469">
        <f t="shared" si="1073"/>
        <v>0</v>
      </c>
      <c r="P469">
        <f t="shared" si="1073"/>
        <v>0</v>
      </c>
      <c r="Q469" s="2">
        <f t="shared" si="1073"/>
        <v>0</v>
      </c>
      <c r="R469" s="28">
        <f t="shared" si="1073"/>
        <v>0</v>
      </c>
      <c r="S469" s="19">
        <f t="shared" si="1073"/>
        <v>0</v>
      </c>
      <c r="T469">
        <f t="shared" si="1073"/>
        <v>0</v>
      </c>
      <c r="U469">
        <f t="shared" si="1073"/>
        <v>0</v>
      </c>
      <c r="V469" s="2">
        <f t="shared" si="1073"/>
        <v>0</v>
      </c>
      <c r="W469" s="449" t="str">
        <f t="shared" si="1073"/>
        <v>base</v>
      </c>
      <c r="X469" s="449" t="str">
        <f t="shared" si="1073"/>
        <v>low</v>
      </c>
      <c r="Y469" s="449" t="str">
        <f t="shared" si="1073"/>
        <v>high</v>
      </c>
      <c r="Z469">
        <f t="shared" si="1073"/>
        <v>0</v>
      </c>
      <c r="AA469">
        <f t="shared" si="1073"/>
        <v>0</v>
      </c>
      <c r="AD469">
        <f t="shared" ref="AD469:BD469" si="1074">AD285</f>
        <v>0</v>
      </c>
      <c r="AE469">
        <f t="shared" si="1074"/>
        <v>0</v>
      </c>
      <c r="AF469">
        <f t="shared" si="1074"/>
        <v>0</v>
      </c>
      <c r="AG469" s="11">
        <f t="shared" si="1074"/>
        <v>0</v>
      </c>
      <c r="AH469">
        <f t="shared" si="1074"/>
        <v>0</v>
      </c>
      <c r="AI469">
        <f t="shared" si="1074"/>
        <v>0</v>
      </c>
      <c r="AJ469">
        <f t="shared" si="1074"/>
        <v>0</v>
      </c>
      <c r="AK469">
        <f t="shared" si="1074"/>
        <v>0</v>
      </c>
      <c r="AL469" s="8">
        <f t="shared" si="1074"/>
        <v>0</v>
      </c>
      <c r="AM469">
        <f t="shared" si="1074"/>
        <v>0</v>
      </c>
      <c r="AN469">
        <f t="shared" si="1074"/>
        <v>0</v>
      </c>
      <c r="AO469">
        <f t="shared" si="1074"/>
        <v>0</v>
      </c>
      <c r="AP469">
        <f t="shared" si="1074"/>
        <v>0</v>
      </c>
      <c r="AQ469">
        <f t="shared" si="1074"/>
        <v>0</v>
      </c>
      <c r="AR469">
        <f t="shared" si="1074"/>
        <v>0</v>
      </c>
      <c r="AS469">
        <f t="shared" si="1074"/>
        <v>0</v>
      </c>
      <c r="AT469" s="2">
        <f t="shared" si="1074"/>
        <v>0</v>
      </c>
      <c r="AU469" s="28">
        <f t="shared" si="1074"/>
        <v>0</v>
      </c>
      <c r="AV469" s="19">
        <f t="shared" si="1074"/>
        <v>0</v>
      </c>
      <c r="AW469">
        <f t="shared" si="1074"/>
        <v>0</v>
      </c>
      <c r="AX469">
        <f t="shared" si="1074"/>
        <v>0</v>
      </c>
      <c r="AY469" s="2">
        <f t="shared" si="1074"/>
        <v>0</v>
      </c>
      <c r="AZ469" s="449" t="str">
        <f t="shared" si="1074"/>
        <v>base</v>
      </c>
      <c r="BA469" s="449" t="str">
        <f t="shared" si="1074"/>
        <v>low</v>
      </c>
      <c r="BB469" s="449" t="str">
        <f t="shared" si="1074"/>
        <v>high</v>
      </c>
      <c r="BC469">
        <f t="shared" si="1074"/>
        <v>0</v>
      </c>
      <c r="BD469">
        <f t="shared" si="1074"/>
        <v>0</v>
      </c>
    </row>
    <row r="470" spans="1:56" x14ac:dyDescent="0.3">
      <c r="A470">
        <f t="shared" ref="A470:S470" si="1075">A286</f>
        <v>0</v>
      </c>
      <c r="B470">
        <f t="shared" si="1075"/>
        <v>0</v>
      </c>
      <c r="C470">
        <f t="shared" si="1075"/>
        <v>0</v>
      </c>
      <c r="D470" s="11">
        <f t="shared" si="1075"/>
        <v>0</v>
      </c>
      <c r="E470">
        <f t="shared" si="1075"/>
        <v>0</v>
      </c>
      <c r="F470">
        <f t="shared" si="1075"/>
        <v>0</v>
      </c>
      <c r="G470">
        <f t="shared" si="1075"/>
        <v>0</v>
      </c>
      <c r="H470">
        <f t="shared" si="1075"/>
        <v>0</v>
      </c>
      <c r="I470" s="8">
        <f t="shared" si="1075"/>
        <v>0</v>
      </c>
      <c r="J470">
        <f t="shared" si="1075"/>
        <v>0</v>
      </c>
      <c r="K470">
        <f t="shared" si="1075"/>
        <v>0</v>
      </c>
      <c r="L470">
        <f t="shared" si="1075"/>
        <v>0</v>
      </c>
      <c r="M470">
        <f t="shared" si="1075"/>
        <v>0</v>
      </c>
      <c r="N470">
        <f t="shared" si="1075"/>
        <v>0</v>
      </c>
      <c r="O470">
        <f t="shared" si="1075"/>
        <v>0</v>
      </c>
      <c r="P470">
        <f t="shared" si="1075"/>
        <v>0</v>
      </c>
      <c r="Q470" s="2">
        <f t="shared" si="1075"/>
        <v>0</v>
      </c>
      <c r="R470" s="28">
        <f t="shared" si="1075"/>
        <v>0</v>
      </c>
      <c r="S470" s="19">
        <f t="shared" si="1075"/>
        <v>0</v>
      </c>
      <c r="V470" s="2" t="str">
        <f t="shared" ref="V470:AA470" si="1076">V286</f>
        <v>Outpatient visits prevented</v>
      </c>
      <c r="W470" s="450">
        <f t="shared" si="1076"/>
        <v>0</v>
      </c>
      <c r="X470" s="450">
        <f t="shared" si="1076"/>
        <v>0</v>
      </c>
      <c r="Y470" s="450">
        <f t="shared" si="1076"/>
        <v>0</v>
      </c>
      <c r="Z470">
        <f t="shared" si="1076"/>
        <v>0</v>
      </c>
      <c r="AA470">
        <f t="shared" si="1076"/>
        <v>0</v>
      </c>
      <c r="AD470">
        <f t="shared" ref="AD470:AV470" si="1077">AD286</f>
        <v>0</v>
      </c>
      <c r="AE470">
        <f t="shared" si="1077"/>
        <v>0</v>
      </c>
      <c r="AF470">
        <f t="shared" si="1077"/>
        <v>0</v>
      </c>
      <c r="AG470" s="11">
        <f t="shared" si="1077"/>
        <v>0</v>
      </c>
      <c r="AH470">
        <f t="shared" si="1077"/>
        <v>0</v>
      </c>
      <c r="AI470">
        <f t="shared" si="1077"/>
        <v>0</v>
      </c>
      <c r="AJ470">
        <f t="shared" si="1077"/>
        <v>0</v>
      </c>
      <c r="AK470">
        <f t="shared" si="1077"/>
        <v>0</v>
      </c>
      <c r="AL470" s="8">
        <f t="shared" si="1077"/>
        <v>0</v>
      </c>
      <c r="AM470">
        <f t="shared" si="1077"/>
        <v>0</v>
      </c>
      <c r="AN470">
        <f t="shared" si="1077"/>
        <v>0</v>
      </c>
      <c r="AO470">
        <f t="shared" si="1077"/>
        <v>0</v>
      </c>
      <c r="AP470">
        <f t="shared" si="1077"/>
        <v>0</v>
      </c>
      <c r="AQ470">
        <f t="shared" si="1077"/>
        <v>0</v>
      </c>
      <c r="AR470">
        <f t="shared" si="1077"/>
        <v>0</v>
      </c>
      <c r="AS470">
        <f t="shared" si="1077"/>
        <v>0</v>
      </c>
      <c r="AT470" s="2">
        <f t="shared" si="1077"/>
        <v>0</v>
      </c>
      <c r="AU470" s="28">
        <f t="shared" si="1077"/>
        <v>0</v>
      </c>
      <c r="AV470" s="19">
        <f t="shared" si="1077"/>
        <v>0</v>
      </c>
      <c r="AY470" s="2" t="str">
        <f t="shared" ref="AY470:BD470" si="1078">AY286</f>
        <v>Outpatient visits prevented</v>
      </c>
      <c r="AZ470" s="450">
        <f t="shared" si="1078"/>
        <v>0</v>
      </c>
      <c r="BA470" s="450">
        <f t="shared" si="1078"/>
        <v>0</v>
      </c>
      <c r="BB470" s="450">
        <f t="shared" si="1078"/>
        <v>0</v>
      </c>
      <c r="BC470">
        <f t="shared" si="1078"/>
        <v>0</v>
      </c>
      <c r="BD470">
        <f t="shared" si="1078"/>
        <v>0</v>
      </c>
    </row>
    <row r="471" spans="1:56" x14ac:dyDescent="0.3">
      <c r="A471">
        <f t="shared" ref="A471:AA471" si="1079">A287</f>
        <v>0</v>
      </c>
      <c r="B471">
        <f t="shared" si="1079"/>
        <v>0</v>
      </c>
      <c r="C471">
        <f t="shared" si="1079"/>
        <v>0</v>
      </c>
      <c r="D471" s="11">
        <f t="shared" si="1079"/>
        <v>0</v>
      </c>
      <c r="E471">
        <f t="shared" si="1079"/>
        <v>0</v>
      </c>
      <c r="F471">
        <f t="shared" si="1079"/>
        <v>0</v>
      </c>
      <c r="G471">
        <f t="shared" si="1079"/>
        <v>0</v>
      </c>
      <c r="H471">
        <f t="shared" si="1079"/>
        <v>0</v>
      </c>
      <c r="I471" s="8">
        <f t="shared" si="1079"/>
        <v>0</v>
      </c>
      <c r="J471">
        <f t="shared" si="1079"/>
        <v>0</v>
      </c>
      <c r="K471">
        <f t="shared" si="1079"/>
        <v>0</v>
      </c>
      <c r="L471">
        <f t="shared" si="1079"/>
        <v>0</v>
      </c>
      <c r="M471">
        <f t="shared" si="1079"/>
        <v>0</v>
      </c>
      <c r="N471">
        <f t="shared" si="1079"/>
        <v>0</v>
      </c>
      <c r="O471">
        <f t="shared" si="1079"/>
        <v>0</v>
      </c>
      <c r="P471">
        <f t="shared" si="1079"/>
        <v>0</v>
      </c>
      <c r="Q471" s="2">
        <f t="shared" si="1079"/>
        <v>0</v>
      </c>
      <c r="R471" s="28">
        <f t="shared" si="1079"/>
        <v>0</v>
      </c>
      <c r="S471" s="19">
        <f t="shared" si="1079"/>
        <v>0</v>
      </c>
      <c r="T471" s="16">
        <f t="shared" si="1079"/>
        <v>0</v>
      </c>
      <c r="U471" s="17">
        <f t="shared" si="1079"/>
        <v>0</v>
      </c>
      <c r="V471" s="15" t="str">
        <f t="shared" si="1079"/>
        <v>p5c</v>
      </c>
      <c r="W471" s="451">
        <f t="shared" si="1079"/>
        <v>0.12922984532257092</v>
      </c>
      <c r="X471" s="451">
        <f t="shared" si="1079"/>
        <v>0.10773980381618248</v>
      </c>
      <c r="Y471" s="451">
        <f t="shared" si="1079"/>
        <v>0.15069991467142554</v>
      </c>
      <c r="Z471">
        <f t="shared" si="1079"/>
        <v>0</v>
      </c>
      <c r="AA471">
        <f t="shared" si="1079"/>
        <v>0</v>
      </c>
      <c r="AD471">
        <f t="shared" ref="AD471:BD471" si="1080">AD287</f>
        <v>0</v>
      </c>
      <c r="AE471">
        <f t="shared" si="1080"/>
        <v>0</v>
      </c>
      <c r="AF471">
        <f t="shared" si="1080"/>
        <v>0</v>
      </c>
      <c r="AG471" s="11">
        <f t="shared" si="1080"/>
        <v>0</v>
      </c>
      <c r="AH471">
        <f t="shared" si="1080"/>
        <v>0</v>
      </c>
      <c r="AI471">
        <f t="shared" si="1080"/>
        <v>0</v>
      </c>
      <c r="AJ471">
        <f t="shared" si="1080"/>
        <v>0</v>
      </c>
      <c r="AK471">
        <f t="shared" si="1080"/>
        <v>0</v>
      </c>
      <c r="AL471" s="8">
        <f t="shared" si="1080"/>
        <v>0</v>
      </c>
      <c r="AM471">
        <f t="shared" si="1080"/>
        <v>0</v>
      </c>
      <c r="AN471">
        <f t="shared" si="1080"/>
        <v>0</v>
      </c>
      <c r="AO471">
        <f t="shared" si="1080"/>
        <v>0</v>
      </c>
      <c r="AP471">
        <f t="shared" si="1080"/>
        <v>0</v>
      </c>
      <c r="AQ471">
        <f t="shared" si="1080"/>
        <v>0</v>
      </c>
      <c r="AR471">
        <f t="shared" si="1080"/>
        <v>0</v>
      </c>
      <c r="AS471">
        <f t="shared" si="1080"/>
        <v>0</v>
      </c>
      <c r="AT471" s="2">
        <f t="shared" si="1080"/>
        <v>0</v>
      </c>
      <c r="AU471" s="28">
        <f t="shared" si="1080"/>
        <v>0</v>
      </c>
      <c r="AV471" s="19">
        <f t="shared" si="1080"/>
        <v>0</v>
      </c>
      <c r="AW471" s="16">
        <f t="shared" si="1080"/>
        <v>0</v>
      </c>
      <c r="AX471" s="17">
        <f t="shared" si="1080"/>
        <v>0</v>
      </c>
      <c r="AY471" s="15" t="str">
        <f t="shared" si="1080"/>
        <v>p5c</v>
      </c>
      <c r="AZ471" s="451">
        <f t="shared" si="1080"/>
        <v>5.2553135240670609E-2</v>
      </c>
      <c r="BA471" s="451">
        <f t="shared" si="1080"/>
        <v>4.3820682454258748E-2</v>
      </c>
      <c r="BB471" s="451">
        <f t="shared" si="1080"/>
        <v>6.1696464963742502E-2</v>
      </c>
      <c r="BC471">
        <f t="shared" si="1080"/>
        <v>0</v>
      </c>
      <c r="BD471">
        <f t="shared" si="1080"/>
        <v>0</v>
      </c>
    </row>
    <row r="472" spans="1:56" x14ac:dyDescent="0.3">
      <c r="A472">
        <f t="shared" ref="A472:AA472" si="1081">A288</f>
        <v>0</v>
      </c>
      <c r="B472">
        <f t="shared" si="1081"/>
        <v>0</v>
      </c>
      <c r="C472">
        <f t="shared" si="1081"/>
        <v>0</v>
      </c>
      <c r="D472" s="11">
        <f t="shared" si="1081"/>
        <v>0</v>
      </c>
      <c r="E472">
        <f t="shared" si="1081"/>
        <v>0</v>
      </c>
      <c r="F472">
        <f t="shared" si="1081"/>
        <v>0</v>
      </c>
      <c r="G472">
        <f t="shared" si="1081"/>
        <v>0</v>
      </c>
      <c r="H472">
        <f t="shared" si="1081"/>
        <v>0</v>
      </c>
      <c r="I472" s="8">
        <f t="shared" si="1081"/>
        <v>0</v>
      </c>
      <c r="J472">
        <f t="shared" si="1081"/>
        <v>0</v>
      </c>
      <c r="K472">
        <f t="shared" si="1081"/>
        <v>0</v>
      </c>
      <c r="L472">
        <f t="shared" si="1081"/>
        <v>0</v>
      </c>
      <c r="M472">
        <f t="shared" si="1081"/>
        <v>0</v>
      </c>
      <c r="N472">
        <f t="shared" si="1081"/>
        <v>0</v>
      </c>
      <c r="O472">
        <f t="shared" si="1081"/>
        <v>0</v>
      </c>
      <c r="P472">
        <f t="shared" si="1081"/>
        <v>0</v>
      </c>
      <c r="Q472" s="2">
        <f t="shared" si="1081"/>
        <v>0</v>
      </c>
      <c r="R472" s="28">
        <f t="shared" si="1081"/>
        <v>0</v>
      </c>
      <c r="S472" s="19">
        <f t="shared" si="1081"/>
        <v>0</v>
      </c>
      <c r="T472" s="11">
        <f t="shared" si="1081"/>
        <v>0</v>
      </c>
      <c r="U472" s="13">
        <f t="shared" si="1081"/>
        <v>0</v>
      </c>
      <c r="V472" s="2">
        <f t="shared" si="1081"/>
        <v>0</v>
      </c>
      <c r="W472" s="452">
        <f t="shared" si="1081"/>
        <v>0</v>
      </c>
      <c r="X472" s="452">
        <f t="shared" si="1081"/>
        <v>0</v>
      </c>
      <c r="Y472" s="452">
        <f t="shared" si="1081"/>
        <v>0</v>
      </c>
      <c r="Z472">
        <f t="shared" si="1081"/>
        <v>0</v>
      </c>
      <c r="AA472">
        <f t="shared" si="1081"/>
        <v>0</v>
      </c>
      <c r="AD472">
        <f t="shared" ref="AD472:BD472" si="1082">AD288</f>
        <v>0</v>
      </c>
      <c r="AE472">
        <f t="shared" si="1082"/>
        <v>0</v>
      </c>
      <c r="AF472">
        <f t="shared" si="1082"/>
        <v>0</v>
      </c>
      <c r="AG472" s="11">
        <f t="shared" si="1082"/>
        <v>0</v>
      </c>
      <c r="AH472">
        <f t="shared" si="1082"/>
        <v>0</v>
      </c>
      <c r="AI472">
        <f t="shared" si="1082"/>
        <v>0</v>
      </c>
      <c r="AJ472">
        <f t="shared" si="1082"/>
        <v>0</v>
      </c>
      <c r="AK472">
        <f t="shared" si="1082"/>
        <v>0</v>
      </c>
      <c r="AL472" s="8">
        <f t="shared" si="1082"/>
        <v>0</v>
      </c>
      <c r="AM472">
        <f t="shared" si="1082"/>
        <v>0</v>
      </c>
      <c r="AN472">
        <f t="shared" si="1082"/>
        <v>0</v>
      </c>
      <c r="AO472">
        <f t="shared" si="1082"/>
        <v>0</v>
      </c>
      <c r="AP472">
        <f t="shared" si="1082"/>
        <v>0</v>
      </c>
      <c r="AQ472">
        <f t="shared" si="1082"/>
        <v>0</v>
      </c>
      <c r="AR472">
        <f t="shared" si="1082"/>
        <v>0</v>
      </c>
      <c r="AS472">
        <f t="shared" si="1082"/>
        <v>0</v>
      </c>
      <c r="AT472" s="2">
        <f t="shared" si="1082"/>
        <v>0</v>
      </c>
      <c r="AU472" s="28">
        <f t="shared" si="1082"/>
        <v>0</v>
      </c>
      <c r="AV472" s="19">
        <f t="shared" si="1082"/>
        <v>0</v>
      </c>
      <c r="AW472" s="11">
        <f t="shared" si="1082"/>
        <v>0</v>
      </c>
      <c r="AX472" s="13">
        <f t="shared" si="1082"/>
        <v>0</v>
      </c>
      <c r="AY472" s="2">
        <f t="shared" si="1082"/>
        <v>0</v>
      </c>
      <c r="AZ472" s="452">
        <f t="shared" si="1082"/>
        <v>0</v>
      </c>
      <c r="BA472" s="452">
        <f t="shared" si="1082"/>
        <v>0</v>
      </c>
      <c r="BB472" s="452">
        <f t="shared" si="1082"/>
        <v>0</v>
      </c>
      <c r="BC472">
        <f t="shared" si="1082"/>
        <v>0</v>
      </c>
      <c r="BD472">
        <f t="shared" si="1082"/>
        <v>0</v>
      </c>
    </row>
    <row r="473" spans="1:56" x14ac:dyDescent="0.3">
      <c r="A473">
        <f t="shared" ref="A473:O473" si="1083">A289</f>
        <v>0</v>
      </c>
      <c r="B473">
        <f t="shared" si="1083"/>
        <v>0</v>
      </c>
      <c r="C473">
        <f t="shared" si="1083"/>
        <v>0</v>
      </c>
      <c r="D473" s="11">
        <f t="shared" si="1083"/>
        <v>0</v>
      </c>
      <c r="E473">
        <f t="shared" si="1083"/>
        <v>0</v>
      </c>
      <c r="F473">
        <f t="shared" si="1083"/>
        <v>0</v>
      </c>
      <c r="G473">
        <f t="shared" si="1083"/>
        <v>0</v>
      </c>
      <c r="H473">
        <f t="shared" si="1083"/>
        <v>0</v>
      </c>
      <c r="I473" s="8">
        <f t="shared" si="1083"/>
        <v>0</v>
      </c>
      <c r="J473">
        <f t="shared" si="1083"/>
        <v>0</v>
      </c>
      <c r="K473">
        <f t="shared" si="1083"/>
        <v>0</v>
      </c>
      <c r="L473">
        <f t="shared" si="1083"/>
        <v>0</v>
      </c>
      <c r="M473">
        <f t="shared" si="1083"/>
        <v>0</v>
      </c>
      <c r="N473">
        <f t="shared" si="1083"/>
        <v>0</v>
      </c>
      <c r="O473">
        <f t="shared" si="1083"/>
        <v>0</v>
      </c>
      <c r="Q473" s="2" t="str">
        <f t="shared" ref="Q473:T473" si="1084">Q289</f>
        <v>Vaccine Effective</v>
      </c>
      <c r="R473" s="33">
        <f t="shared" si="1084"/>
        <v>0</v>
      </c>
      <c r="S473">
        <f t="shared" si="1084"/>
        <v>0</v>
      </c>
      <c r="T473" s="18">
        <f t="shared" si="1084"/>
        <v>0</v>
      </c>
      <c r="U473" s="438"/>
      <c r="V473" s="12" t="str">
        <f t="shared" ref="V473:AA473" si="1085">V289</f>
        <v>ED visits prevented</v>
      </c>
      <c r="W473" s="450">
        <f t="shared" si="1085"/>
        <v>0</v>
      </c>
      <c r="X473" s="450">
        <f t="shared" si="1085"/>
        <v>0</v>
      </c>
      <c r="Y473" s="450">
        <f t="shared" si="1085"/>
        <v>0</v>
      </c>
      <c r="Z473">
        <f t="shared" si="1085"/>
        <v>0</v>
      </c>
      <c r="AA473">
        <f t="shared" si="1085"/>
        <v>0</v>
      </c>
      <c r="AD473">
        <f t="shared" ref="AD473:AR473" si="1086">AD289</f>
        <v>0</v>
      </c>
      <c r="AE473">
        <f t="shared" si="1086"/>
        <v>0</v>
      </c>
      <c r="AF473">
        <f t="shared" si="1086"/>
        <v>0</v>
      </c>
      <c r="AG473" s="11">
        <f t="shared" si="1086"/>
        <v>0</v>
      </c>
      <c r="AH473">
        <f t="shared" si="1086"/>
        <v>0</v>
      </c>
      <c r="AI473">
        <f t="shared" si="1086"/>
        <v>0</v>
      </c>
      <c r="AJ473">
        <f t="shared" si="1086"/>
        <v>0</v>
      </c>
      <c r="AK473">
        <f t="shared" si="1086"/>
        <v>0</v>
      </c>
      <c r="AL473" s="8">
        <f t="shared" si="1086"/>
        <v>0</v>
      </c>
      <c r="AM473">
        <f t="shared" si="1086"/>
        <v>0</v>
      </c>
      <c r="AN473">
        <f t="shared" si="1086"/>
        <v>0</v>
      </c>
      <c r="AO473">
        <f t="shared" si="1086"/>
        <v>0</v>
      </c>
      <c r="AP473">
        <f t="shared" si="1086"/>
        <v>0</v>
      </c>
      <c r="AQ473">
        <f t="shared" si="1086"/>
        <v>0</v>
      </c>
      <c r="AR473">
        <f t="shared" si="1086"/>
        <v>0</v>
      </c>
      <c r="AT473" s="2" t="str">
        <f t="shared" ref="AT473:AW473" si="1087">AT289</f>
        <v>Vaccine Effective</v>
      </c>
      <c r="AU473" s="33">
        <f t="shared" si="1087"/>
        <v>0</v>
      </c>
      <c r="AV473">
        <f t="shared" si="1087"/>
        <v>0</v>
      </c>
      <c r="AW473" s="18">
        <f t="shared" si="1087"/>
        <v>0</v>
      </c>
      <c r="AX473" s="500"/>
      <c r="AY473" s="12" t="str">
        <f t="shared" ref="AY473:BD473" si="1088">AY289</f>
        <v>ED visits prevented</v>
      </c>
      <c r="AZ473" s="450">
        <f t="shared" si="1088"/>
        <v>0</v>
      </c>
      <c r="BA473" s="450">
        <f t="shared" si="1088"/>
        <v>0</v>
      </c>
      <c r="BB473" s="450">
        <f t="shared" si="1088"/>
        <v>0</v>
      </c>
      <c r="BC473">
        <f t="shared" si="1088"/>
        <v>0</v>
      </c>
      <c r="BD473">
        <f t="shared" si="1088"/>
        <v>0</v>
      </c>
    </row>
    <row r="474" spans="1:56" x14ac:dyDescent="0.3">
      <c r="A474">
        <f t="shared" ref="A474:AA474" si="1089">A290</f>
        <v>0</v>
      </c>
      <c r="B474">
        <f t="shared" si="1089"/>
        <v>0</v>
      </c>
      <c r="C474">
        <f t="shared" si="1089"/>
        <v>0</v>
      </c>
      <c r="D474" s="11">
        <f t="shared" si="1089"/>
        <v>0</v>
      </c>
      <c r="E474">
        <f t="shared" si="1089"/>
        <v>0</v>
      </c>
      <c r="F474">
        <f t="shared" si="1089"/>
        <v>0</v>
      </c>
      <c r="G474">
        <f t="shared" si="1089"/>
        <v>0</v>
      </c>
      <c r="H474">
        <f t="shared" si="1089"/>
        <v>0</v>
      </c>
      <c r="I474" s="8">
        <f t="shared" si="1089"/>
        <v>0</v>
      </c>
      <c r="J474">
        <f t="shared" si="1089"/>
        <v>0</v>
      </c>
      <c r="K474">
        <f t="shared" si="1089"/>
        <v>0</v>
      </c>
      <c r="L474">
        <f t="shared" si="1089"/>
        <v>0</v>
      </c>
      <c r="M474">
        <f t="shared" si="1089"/>
        <v>0</v>
      </c>
      <c r="N474">
        <f t="shared" si="1089"/>
        <v>0</v>
      </c>
      <c r="O474">
        <f t="shared" si="1089"/>
        <v>0</v>
      </c>
      <c r="P474">
        <f t="shared" si="1089"/>
        <v>0</v>
      </c>
      <c r="Q474" s="106" t="str">
        <f t="shared" si="1089"/>
        <v>1-p7</v>
      </c>
      <c r="R474" s="107">
        <f t="shared" si="1089"/>
        <v>1</v>
      </c>
      <c r="S474" s="17">
        <f t="shared" si="1089"/>
        <v>0</v>
      </c>
      <c r="T474" s="11">
        <f t="shared" si="1089"/>
        <v>0</v>
      </c>
      <c r="U474" s="13">
        <f t="shared" si="1089"/>
        <v>0</v>
      </c>
      <c r="V474" s="2" t="str">
        <f t="shared" si="1089"/>
        <v>p5b</v>
      </c>
      <c r="W474" s="451">
        <f t="shared" si="1089"/>
        <v>4.4807535427121237E-2</v>
      </c>
      <c r="X474" s="451">
        <f t="shared" si="1089"/>
        <v>3.8366514622464848E-2</v>
      </c>
      <c r="Y474" s="451">
        <f t="shared" si="1089"/>
        <v>5.1268528389311424E-2</v>
      </c>
      <c r="Z474">
        <f t="shared" si="1089"/>
        <v>0</v>
      </c>
      <c r="AA474">
        <f t="shared" si="1089"/>
        <v>0</v>
      </c>
      <c r="AD474">
        <f t="shared" ref="AD474:BD474" si="1090">AD290</f>
        <v>0</v>
      </c>
      <c r="AE474">
        <f t="shared" si="1090"/>
        <v>0</v>
      </c>
      <c r="AF474">
        <f t="shared" si="1090"/>
        <v>0</v>
      </c>
      <c r="AG474" s="11">
        <f t="shared" si="1090"/>
        <v>0</v>
      </c>
      <c r="AH474">
        <f t="shared" si="1090"/>
        <v>0</v>
      </c>
      <c r="AI474">
        <f t="shared" si="1090"/>
        <v>0</v>
      </c>
      <c r="AJ474">
        <f t="shared" si="1090"/>
        <v>0</v>
      </c>
      <c r="AK474">
        <f t="shared" si="1090"/>
        <v>0</v>
      </c>
      <c r="AL474" s="8">
        <f t="shared" si="1090"/>
        <v>0</v>
      </c>
      <c r="AM474">
        <f t="shared" si="1090"/>
        <v>0</v>
      </c>
      <c r="AN474">
        <f t="shared" si="1090"/>
        <v>0</v>
      </c>
      <c r="AO474">
        <f t="shared" si="1090"/>
        <v>0</v>
      </c>
      <c r="AP474">
        <f t="shared" si="1090"/>
        <v>0</v>
      </c>
      <c r="AQ474">
        <f t="shared" si="1090"/>
        <v>0</v>
      </c>
      <c r="AR474">
        <f t="shared" si="1090"/>
        <v>0</v>
      </c>
      <c r="AS474">
        <f t="shared" si="1090"/>
        <v>0</v>
      </c>
      <c r="AT474" s="106" t="str">
        <f t="shared" si="1090"/>
        <v>1-p7</v>
      </c>
      <c r="AU474" s="107">
        <f t="shared" si="1090"/>
        <v>1</v>
      </c>
      <c r="AV474" s="17">
        <f t="shared" si="1090"/>
        <v>0</v>
      </c>
      <c r="AW474" s="11">
        <f t="shared" si="1090"/>
        <v>0</v>
      </c>
      <c r="AX474" s="13">
        <f t="shared" si="1090"/>
        <v>0</v>
      </c>
      <c r="AY474" s="2" t="str">
        <f t="shared" si="1090"/>
        <v>p5b</v>
      </c>
      <c r="AZ474" s="451">
        <f t="shared" si="1090"/>
        <v>2.0899346727931388E-2</v>
      </c>
      <c r="BA474" s="451">
        <f t="shared" si="1090"/>
        <v>1.7896438711993638E-2</v>
      </c>
      <c r="BB474" s="451">
        <f t="shared" si="1090"/>
        <v>2.3905393342071143E-2</v>
      </c>
      <c r="BC474">
        <f t="shared" si="1090"/>
        <v>0</v>
      </c>
      <c r="BD474">
        <f t="shared" si="1090"/>
        <v>0</v>
      </c>
    </row>
    <row r="475" spans="1:56" x14ac:dyDescent="0.3">
      <c r="A475">
        <f t="shared" ref="A475:AA475" si="1091">A291</f>
        <v>0</v>
      </c>
      <c r="B475">
        <f t="shared" si="1091"/>
        <v>0</v>
      </c>
      <c r="C475">
        <f t="shared" si="1091"/>
        <v>0</v>
      </c>
      <c r="D475" s="11">
        <f t="shared" si="1091"/>
        <v>0</v>
      </c>
      <c r="E475">
        <f t="shared" si="1091"/>
        <v>0</v>
      </c>
      <c r="F475">
        <f t="shared" si="1091"/>
        <v>0</v>
      </c>
      <c r="G475">
        <f t="shared" si="1091"/>
        <v>0</v>
      </c>
      <c r="H475">
        <f t="shared" si="1091"/>
        <v>0</v>
      </c>
      <c r="I475" s="8">
        <f t="shared" si="1091"/>
        <v>0</v>
      </c>
      <c r="J475">
        <f t="shared" si="1091"/>
        <v>0</v>
      </c>
      <c r="K475">
        <f t="shared" si="1091"/>
        <v>0</v>
      </c>
      <c r="L475">
        <f t="shared" si="1091"/>
        <v>0</v>
      </c>
      <c r="M475">
        <f t="shared" si="1091"/>
        <v>0</v>
      </c>
      <c r="N475">
        <f t="shared" si="1091"/>
        <v>0</v>
      </c>
      <c r="O475">
        <f t="shared" si="1091"/>
        <v>0</v>
      </c>
      <c r="P475">
        <f t="shared" si="1091"/>
        <v>0</v>
      </c>
      <c r="Q475" s="108">
        <f t="shared" si="1091"/>
        <v>0</v>
      </c>
      <c r="R475" s="109">
        <f t="shared" si="1091"/>
        <v>0</v>
      </c>
      <c r="S475" s="19">
        <f t="shared" si="1091"/>
        <v>0</v>
      </c>
      <c r="T475" s="11">
        <f t="shared" si="1091"/>
        <v>0</v>
      </c>
      <c r="U475" s="13">
        <f t="shared" si="1091"/>
        <v>0</v>
      </c>
      <c r="V475" s="2">
        <f t="shared" si="1091"/>
        <v>0</v>
      </c>
      <c r="W475" s="452">
        <f t="shared" si="1091"/>
        <v>0</v>
      </c>
      <c r="X475" s="452">
        <f t="shared" si="1091"/>
        <v>0</v>
      </c>
      <c r="Y475" s="452">
        <f t="shared" si="1091"/>
        <v>0</v>
      </c>
      <c r="Z475">
        <f t="shared" si="1091"/>
        <v>0</v>
      </c>
      <c r="AA475">
        <f t="shared" si="1091"/>
        <v>0</v>
      </c>
      <c r="AD475">
        <f t="shared" ref="AD475:BD475" si="1092">AD291</f>
        <v>0</v>
      </c>
      <c r="AE475">
        <f t="shared" si="1092"/>
        <v>0</v>
      </c>
      <c r="AF475">
        <f t="shared" si="1092"/>
        <v>0</v>
      </c>
      <c r="AG475" s="11">
        <f t="shared" si="1092"/>
        <v>0</v>
      </c>
      <c r="AH475">
        <f t="shared" si="1092"/>
        <v>0</v>
      </c>
      <c r="AI475">
        <f t="shared" si="1092"/>
        <v>0</v>
      </c>
      <c r="AJ475">
        <f t="shared" si="1092"/>
        <v>0</v>
      </c>
      <c r="AK475">
        <f t="shared" si="1092"/>
        <v>0</v>
      </c>
      <c r="AL475" s="8">
        <f t="shared" si="1092"/>
        <v>0</v>
      </c>
      <c r="AM475">
        <f t="shared" si="1092"/>
        <v>0</v>
      </c>
      <c r="AN475">
        <f t="shared" si="1092"/>
        <v>0</v>
      </c>
      <c r="AO475">
        <f t="shared" si="1092"/>
        <v>0</v>
      </c>
      <c r="AP475">
        <f t="shared" si="1092"/>
        <v>0</v>
      </c>
      <c r="AQ475">
        <f t="shared" si="1092"/>
        <v>0</v>
      </c>
      <c r="AR475">
        <f t="shared" si="1092"/>
        <v>0</v>
      </c>
      <c r="AS475">
        <f t="shared" si="1092"/>
        <v>0</v>
      </c>
      <c r="AT475" s="108">
        <f t="shared" si="1092"/>
        <v>0</v>
      </c>
      <c r="AU475" s="109">
        <f t="shared" si="1092"/>
        <v>0</v>
      </c>
      <c r="AV475" s="19">
        <f t="shared" si="1092"/>
        <v>0</v>
      </c>
      <c r="AW475" s="11">
        <f t="shared" si="1092"/>
        <v>0</v>
      </c>
      <c r="AX475" s="13">
        <f t="shared" si="1092"/>
        <v>0</v>
      </c>
      <c r="AY475" s="2">
        <f t="shared" si="1092"/>
        <v>0</v>
      </c>
      <c r="AZ475" s="452">
        <f t="shared" si="1092"/>
        <v>0</v>
      </c>
      <c r="BA475" s="452">
        <f t="shared" si="1092"/>
        <v>0</v>
      </c>
      <c r="BB475" s="452">
        <f t="shared" si="1092"/>
        <v>0</v>
      </c>
      <c r="BC475">
        <f t="shared" si="1092"/>
        <v>0</v>
      </c>
      <c r="BD475">
        <f t="shared" si="1092"/>
        <v>0</v>
      </c>
    </row>
    <row r="476" spans="1:56" x14ac:dyDescent="0.3">
      <c r="A476">
        <f t="shared" ref="A476:S476" si="1093">A292</f>
        <v>0</v>
      </c>
      <c r="B476">
        <f t="shared" si="1093"/>
        <v>0</v>
      </c>
      <c r="C476">
        <f t="shared" si="1093"/>
        <v>0</v>
      </c>
      <c r="D476" s="11">
        <f t="shared" si="1093"/>
        <v>0</v>
      </c>
      <c r="E476">
        <f t="shared" si="1093"/>
        <v>0</v>
      </c>
      <c r="F476">
        <f t="shared" si="1093"/>
        <v>0</v>
      </c>
      <c r="G476">
        <f t="shared" si="1093"/>
        <v>0</v>
      </c>
      <c r="H476">
        <f t="shared" si="1093"/>
        <v>0</v>
      </c>
      <c r="I476">
        <f t="shared" si="1093"/>
        <v>0</v>
      </c>
      <c r="J476">
        <f t="shared" si="1093"/>
        <v>0</v>
      </c>
      <c r="K476">
        <f t="shared" si="1093"/>
        <v>0</v>
      </c>
      <c r="L476">
        <f t="shared" si="1093"/>
        <v>0</v>
      </c>
      <c r="M476">
        <f t="shared" si="1093"/>
        <v>0</v>
      </c>
      <c r="N476" s="14" t="str">
        <f t="shared" si="1093"/>
        <v>low:</v>
      </c>
      <c r="O476" s="299">
        <f t="shared" si="1093"/>
        <v>0</v>
      </c>
      <c r="P476">
        <f t="shared" si="1093"/>
        <v>0</v>
      </c>
      <c r="Q476" s="110">
        <f t="shared" si="1093"/>
        <v>0</v>
      </c>
      <c r="R476" s="101">
        <f t="shared" si="1093"/>
        <v>0</v>
      </c>
      <c r="S476">
        <f t="shared" si="1093"/>
        <v>0</v>
      </c>
      <c r="T476" s="18"/>
      <c r="U476" s="438"/>
      <c r="V476" s="12" t="str">
        <f t="shared" ref="V476:AA476" si="1094">V292</f>
        <v>Hospitalizations prevented</v>
      </c>
      <c r="W476" s="453">
        <f t="shared" si="1094"/>
        <v>0</v>
      </c>
      <c r="X476" s="453">
        <f t="shared" si="1094"/>
        <v>0</v>
      </c>
      <c r="Y476" s="453">
        <f t="shared" si="1094"/>
        <v>0</v>
      </c>
      <c r="Z476">
        <f t="shared" si="1094"/>
        <v>0</v>
      </c>
      <c r="AA476">
        <f t="shared" si="1094"/>
        <v>0</v>
      </c>
      <c r="AD476">
        <f t="shared" ref="AD476:AV476" si="1095">AD292</f>
        <v>0</v>
      </c>
      <c r="AE476">
        <f t="shared" si="1095"/>
        <v>0</v>
      </c>
      <c r="AF476">
        <f t="shared" si="1095"/>
        <v>0</v>
      </c>
      <c r="AG476" s="11">
        <f t="shared" si="1095"/>
        <v>0</v>
      </c>
      <c r="AH476">
        <f t="shared" si="1095"/>
        <v>0</v>
      </c>
      <c r="AI476">
        <f t="shared" si="1095"/>
        <v>0</v>
      </c>
      <c r="AJ476">
        <f t="shared" si="1095"/>
        <v>0</v>
      </c>
      <c r="AK476">
        <f t="shared" si="1095"/>
        <v>0</v>
      </c>
      <c r="AL476">
        <f t="shared" si="1095"/>
        <v>0</v>
      </c>
      <c r="AM476">
        <f t="shared" si="1095"/>
        <v>0</v>
      </c>
      <c r="AN476">
        <f t="shared" si="1095"/>
        <v>0</v>
      </c>
      <c r="AO476">
        <f t="shared" si="1095"/>
        <v>0</v>
      </c>
      <c r="AP476">
        <f t="shared" si="1095"/>
        <v>0</v>
      </c>
      <c r="AQ476" s="14" t="str">
        <f t="shared" si="1095"/>
        <v>low:</v>
      </c>
      <c r="AR476" s="299">
        <f t="shared" si="1095"/>
        <v>0</v>
      </c>
      <c r="AS476">
        <f t="shared" si="1095"/>
        <v>0</v>
      </c>
      <c r="AT476" s="110">
        <f t="shared" si="1095"/>
        <v>0</v>
      </c>
      <c r="AU476" s="101">
        <f t="shared" si="1095"/>
        <v>0</v>
      </c>
      <c r="AV476">
        <f t="shared" si="1095"/>
        <v>0</v>
      </c>
      <c r="AW476" s="18"/>
      <c r="AX476" s="500"/>
      <c r="AY476" s="12" t="str">
        <f t="shared" ref="AY476:BD476" si="1096">AY292</f>
        <v>Hospitalizations prevented</v>
      </c>
      <c r="AZ476" s="453">
        <f t="shared" si="1096"/>
        <v>0</v>
      </c>
      <c r="BA476" s="453">
        <f t="shared" si="1096"/>
        <v>0</v>
      </c>
      <c r="BB476" s="453">
        <f t="shared" si="1096"/>
        <v>0</v>
      </c>
      <c r="BC476">
        <f t="shared" si="1096"/>
        <v>0</v>
      </c>
      <c r="BD476">
        <f t="shared" si="1096"/>
        <v>0</v>
      </c>
    </row>
    <row r="477" spans="1:56" x14ac:dyDescent="0.3">
      <c r="A477">
        <f t="shared" ref="A477:AA477" si="1097">A293</f>
        <v>0</v>
      </c>
      <c r="B477">
        <f t="shared" si="1097"/>
        <v>0</v>
      </c>
      <c r="C477">
        <f t="shared" si="1097"/>
        <v>0</v>
      </c>
      <c r="D477" s="11">
        <f t="shared" si="1097"/>
        <v>0</v>
      </c>
      <c r="E477">
        <f t="shared" si="1097"/>
        <v>0</v>
      </c>
      <c r="F477">
        <f t="shared" si="1097"/>
        <v>0</v>
      </c>
      <c r="G477">
        <f t="shared" si="1097"/>
        <v>0</v>
      </c>
      <c r="H477">
        <f t="shared" si="1097"/>
        <v>0</v>
      </c>
      <c r="I477">
        <f t="shared" si="1097"/>
        <v>0</v>
      </c>
      <c r="J477">
        <f t="shared" si="1097"/>
        <v>0</v>
      </c>
      <c r="K477">
        <f t="shared" si="1097"/>
        <v>0</v>
      </c>
      <c r="L477">
        <f t="shared" si="1097"/>
        <v>0</v>
      </c>
      <c r="M477">
        <f t="shared" si="1097"/>
        <v>0</v>
      </c>
      <c r="N477" s="285" t="str">
        <f t="shared" si="1097"/>
        <v>high:</v>
      </c>
      <c r="O477" s="299">
        <f t="shared" si="1097"/>
        <v>0</v>
      </c>
      <c r="P477">
        <f t="shared" si="1097"/>
        <v>0</v>
      </c>
      <c r="Q477" s="110">
        <f t="shared" si="1097"/>
        <v>0</v>
      </c>
      <c r="R477" s="24">
        <f t="shared" si="1097"/>
        <v>0</v>
      </c>
      <c r="S477">
        <f t="shared" si="1097"/>
        <v>0</v>
      </c>
      <c r="T477">
        <f t="shared" si="1097"/>
        <v>0</v>
      </c>
      <c r="U477">
        <f t="shared" si="1097"/>
        <v>0</v>
      </c>
      <c r="V477" s="2" t="str">
        <f t="shared" si="1097"/>
        <v>p5a</v>
      </c>
      <c r="W477" s="451">
        <f t="shared" si="1097"/>
        <v>1.1937204925982133E-2</v>
      </c>
      <c r="X477" s="451">
        <f t="shared" si="1097"/>
        <v>8.8200435784044334E-3</v>
      </c>
      <c r="Y477" s="451">
        <f t="shared" si="1097"/>
        <v>1.540736757047545E-2</v>
      </c>
      <c r="Z477">
        <f t="shared" si="1097"/>
        <v>0</v>
      </c>
      <c r="AA477">
        <f t="shared" si="1097"/>
        <v>0</v>
      </c>
      <c r="AD477">
        <f t="shared" ref="AD477:BD477" si="1098">AD293</f>
        <v>0</v>
      </c>
      <c r="AE477">
        <f t="shared" si="1098"/>
        <v>0</v>
      </c>
      <c r="AF477">
        <f t="shared" si="1098"/>
        <v>0</v>
      </c>
      <c r="AG477" s="11">
        <f t="shared" si="1098"/>
        <v>0</v>
      </c>
      <c r="AH477">
        <f t="shared" si="1098"/>
        <v>0</v>
      </c>
      <c r="AI477">
        <f t="shared" si="1098"/>
        <v>0</v>
      </c>
      <c r="AJ477">
        <f t="shared" si="1098"/>
        <v>0</v>
      </c>
      <c r="AK477">
        <f t="shared" si="1098"/>
        <v>0</v>
      </c>
      <c r="AL477">
        <f t="shared" si="1098"/>
        <v>0</v>
      </c>
      <c r="AM477">
        <f t="shared" si="1098"/>
        <v>0</v>
      </c>
      <c r="AN477">
        <f t="shared" si="1098"/>
        <v>0</v>
      </c>
      <c r="AO477">
        <f t="shared" si="1098"/>
        <v>0</v>
      </c>
      <c r="AP477">
        <f t="shared" si="1098"/>
        <v>0</v>
      </c>
      <c r="AQ477" s="285" t="str">
        <f t="shared" si="1098"/>
        <v>high:</v>
      </c>
      <c r="AR477" s="299">
        <f t="shared" si="1098"/>
        <v>0</v>
      </c>
      <c r="AS477">
        <f t="shared" si="1098"/>
        <v>0</v>
      </c>
      <c r="AT477" s="110">
        <f t="shared" si="1098"/>
        <v>0</v>
      </c>
      <c r="AU477" s="24">
        <f t="shared" si="1098"/>
        <v>0</v>
      </c>
      <c r="AV477">
        <f t="shared" si="1098"/>
        <v>0</v>
      </c>
      <c r="AW477">
        <f t="shared" si="1098"/>
        <v>0</v>
      </c>
      <c r="AX477">
        <f t="shared" si="1098"/>
        <v>0</v>
      </c>
      <c r="AY477" s="2" t="str">
        <f t="shared" si="1098"/>
        <v>p5a</v>
      </c>
      <c r="AZ477" s="451">
        <f t="shared" si="1098"/>
        <v>2.879509328304896E-3</v>
      </c>
      <c r="BA477" s="451">
        <f t="shared" si="1098"/>
        <v>1.6616475009815412E-3</v>
      </c>
      <c r="BB477" s="451">
        <f t="shared" si="1098"/>
        <v>4.3764267465695519E-3</v>
      </c>
      <c r="BC477">
        <f t="shared" si="1098"/>
        <v>0</v>
      </c>
      <c r="BD477">
        <f t="shared" si="1098"/>
        <v>0</v>
      </c>
    </row>
    <row r="478" spans="1:56" x14ac:dyDescent="0.3">
      <c r="A478">
        <f t="shared" ref="A478:H478" si="1099">A294</f>
        <v>0</v>
      </c>
      <c r="B478">
        <f t="shared" si="1099"/>
        <v>0</v>
      </c>
      <c r="C478">
        <f t="shared" si="1099"/>
        <v>0</v>
      </c>
      <c r="D478" s="11">
        <f t="shared" si="1099"/>
        <v>0</v>
      </c>
      <c r="E478">
        <f t="shared" si="1099"/>
        <v>0</v>
      </c>
      <c r="F478">
        <f t="shared" si="1099"/>
        <v>0</v>
      </c>
      <c r="G478" s="13">
        <f t="shared" si="1099"/>
        <v>0</v>
      </c>
      <c r="H478">
        <f t="shared" si="1099"/>
        <v>0</v>
      </c>
      <c r="N478" s="2" t="str">
        <f t="shared" ref="N478:AA478" si="1100">N294</f>
        <v>Expected healthcare visits had immunization not been obtained</v>
      </c>
      <c r="O478" s="33">
        <f t="shared" si="1100"/>
        <v>0</v>
      </c>
      <c r="P478">
        <f t="shared" si="1100"/>
        <v>0</v>
      </c>
      <c r="Q478" s="110">
        <f t="shared" si="1100"/>
        <v>0</v>
      </c>
      <c r="R478" s="24">
        <f t="shared" si="1100"/>
        <v>0</v>
      </c>
      <c r="S478">
        <f t="shared" si="1100"/>
        <v>0</v>
      </c>
      <c r="T478">
        <f t="shared" si="1100"/>
        <v>0</v>
      </c>
      <c r="U478">
        <f t="shared" si="1100"/>
        <v>0</v>
      </c>
      <c r="V478">
        <f t="shared" si="1100"/>
        <v>0</v>
      </c>
      <c r="W478" s="455">
        <f t="shared" si="1100"/>
        <v>0</v>
      </c>
      <c r="X478" s="452">
        <f t="shared" si="1100"/>
        <v>0</v>
      </c>
      <c r="Y478" s="452">
        <f t="shared" si="1100"/>
        <v>0</v>
      </c>
      <c r="Z478">
        <f t="shared" si="1100"/>
        <v>0</v>
      </c>
      <c r="AA478">
        <f t="shared" si="1100"/>
        <v>0</v>
      </c>
      <c r="AD478">
        <f t="shared" ref="AD478:AK478" si="1101">AD294</f>
        <v>0</v>
      </c>
      <c r="AE478">
        <f t="shared" si="1101"/>
        <v>0</v>
      </c>
      <c r="AF478">
        <f t="shared" si="1101"/>
        <v>0</v>
      </c>
      <c r="AG478" s="11">
        <f t="shared" si="1101"/>
        <v>0</v>
      </c>
      <c r="AH478">
        <f t="shared" si="1101"/>
        <v>0</v>
      </c>
      <c r="AI478">
        <f t="shared" si="1101"/>
        <v>0</v>
      </c>
      <c r="AJ478" s="13">
        <f t="shared" si="1101"/>
        <v>0</v>
      </c>
      <c r="AK478">
        <f t="shared" si="1101"/>
        <v>0</v>
      </c>
      <c r="AQ478" s="2" t="str">
        <f t="shared" ref="AQ478:BD478" si="1102">AQ294</f>
        <v>Expected healthcare visits had immunization not been obtained</v>
      </c>
      <c r="AR478" s="33">
        <f t="shared" si="1102"/>
        <v>0</v>
      </c>
      <c r="AS478">
        <f t="shared" si="1102"/>
        <v>0</v>
      </c>
      <c r="AT478" s="110">
        <f t="shared" si="1102"/>
        <v>0</v>
      </c>
      <c r="AU478" s="24">
        <f t="shared" si="1102"/>
        <v>0</v>
      </c>
      <c r="AV478">
        <f t="shared" si="1102"/>
        <v>0</v>
      </c>
      <c r="AW478">
        <f t="shared" si="1102"/>
        <v>0</v>
      </c>
      <c r="AX478">
        <f t="shared" si="1102"/>
        <v>0</v>
      </c>
      <c r="AY478">
        <f t="shared" si="1102"/>
        <v>0</v>
      </c>
      <c r="AZ478" s="455">
        <f t="shared" si="1102"/>
        <v>0</v>
      </c>
      <c r="BA478" s="452">
        <f t="shared" si="1102"/>
        <v>0</v>
      </c>
      <c r="BB478" s="452">
        <f t="shared" si="1102"/>
        <v>0</v>
      </c>
      <c r="BC478">
        <f t="shared" si="1102"/>
        <v>0</v>
      </c>
      <c r="BD478">
        <f t="shared" si="1102"/>
        <v>0</v>
      </c>
    </row>
    <row r="479" spans="1:56" x14ac:dyDescent="0.3">
      <c r="A479">
        <f t="shared" ref="A479:AA479" si="1103">A295</f>
        <v>0</v>
      </c>
      <c r="B479">
        <f t="shared" si="1103"/>
        <v>0</v>
      </c>
      <c r="C479">
        <f t="shared" si="1103"/>
        <v>0</v>
      </c>
      <c r="D479" s="11">
        <f t="shared" si="1103"/>
        <v>0</v>
      </c>
      <c r="E479">
        <f t="shared" si="1103"/>
        <v>0</v>
      </c>
      <c r="F479">
        <f t="shared" si="1103"/>
        <v>0</v>
      </c>
      <c r="G479">
        <f t="shared" si="1103"/>
        <v>0</v>
      </c>
      <c r="H479">
        <f t="shared" si="1103"/>
        <v>0</v>
      </c>
      <c r="I479">
        <f t="shared" si="1103"/>
        <v>0</v>
      </c>
      <c r="J479">
        <f t="shared" si="1103"/>
        <v>0</v>
      </c>
      <c r="K479">
        <f t="shared" si="1103"/>
        <v>0</v>
      </c>
      <c r="L479">
        <f t="shared" si="1103"/>
        <v>0</v>
      </c>
      <c r="M479">
        <f t="shared" si="1103"/>
        <v>0</v>
      </c>
      <c r="N479" s="16" t="str">
        <f t="shared" si="1103"/>
        <v>sum p5a-c</v>
      </c>
      <c r="O479" s="68">
        <f t="shared" si="1103"/>
        <v>0.18597458567567429</v>
      </c>
      <c r="P479" s="17">
        <f t="shared" si="1103"/>
        <v>0</v>
      </c>
      <c r="Q479" s="110">
        <f t="shared" si="1103"/>
        <v>0</v>
      </c>
      <c r="R479" s="101">
        <f t="shared" si="1103"/>
        <v>0</v>
      </c>
      <c r="S479" s="13">
        <f t="shared" si="1103"/>
        <v>0</v>
      </c>
      <c r="T479">
        <f t="shared" si="1103"/>
        <v>0</v>
      </c>
      <c r="U479">
        <f t="shared" si="1103"/>
        <v>0</v>
      </c>
      <c r="V479">
        <f t="shared" si="1103"/>
        <v>0</v>
      </c>
      <c r="W479" s="449" t="str">
        <f t="shared" si="1103"/>
        <v>base</v>
      </c>
      <c r="X479" s="449" t="str">
        <f t="shared" si="1103"/>
        <v>low</v>
      </c>
      <c r="Y479" s="449" t="str">
        <f t="shared" si="1103"/>
        <v>high</v>
      </c>
      <c r="Z479">
        <f t="shared" si="1103"/>
        <v>0</v>
      </c>
      <c r="AA479">
        <f t="shared" si="1103"/>
        <v>0</v>
      </c>
      <c r="AD479">
        <f t="shared" ref="AD479:BD479" si="1104">AD295</f>
        <v>0</v>
      </c>
      <c r="AE479">
        <f t="shared" si="1104"/>
        <v>0</v>
      </c>
      <c r="AF479">
        <f t="shared" si="1104"/>
        <v>0</v>
      </c>
      <c r="AG479" s="11">
        <f t="shared" si="1104"/>
        <v>0</v>
      </c>
      <c r="AH479">
        <f t="shared" si="1104"/>
        <v>0</v>
      </c>
      <c r="AI479">
        <f t="shared" si="1104"/>
        <v>0</v>
      </c>
      <c r="AJ479">
        <f t="shared" si="1104"/>
        <v>0</v>
      </c>
      <c r="AK479">
        <f t="shared" si="1104"/>
        <v>0</v>
      </c>
      <c r="AL479">
        <f t="shared" si="1104"/>
        <v>0</v>
      </c>
      <c r="AM479">
        <f t="shared" si="1104"/>
        <v>0</v>
      </c>
      <c r="AN479">
        <f t="shared" si="1104"/>
        <v>0</v>
      </c>
      <c r="AO479">
        <f t="shared" si="1104"/>
        <v>0</v>
      </c>
      <c r="AP479">
        <f t="shared" si="1104"/>
        <v>0</v>
      </c>
      <c r="AQ479" s="16" t="str">
        <f t="shared" si="1104"/>
        <v>sum p5a-c</v>
      </c>
      <c r="AR479" s="68">
        <f t="shared" si="1104"/>
        <v>7.633199129690689E-2</v>
      </c>
      <c r="AS479" s="17">
        <f t="shared" si="1104"/>
        <v>0</v>
      </c>
      <c r="AT479" s="110">
        <f t="shared" si="1104"/>
        <v>0</v>
      </c>
      <c r="AU479" s="101">
        <f t="shared" si="1104"/>
        <v>0</v>
      </c>
      <c r="AV479" s="13">
        <f t="shared" si="1104"/>
        <v>0</v>
      </c>
      <c r="AW479">
        <f t="shared" si="1104"/>
        <v>0</v>
      </c>
      <c r="AX479">
        <f t="shared" si="1104"/>
        <v>0</v>
      </c>
      <c r="AY479">
        <f t="shared" si="1104"/>
        <v>0</v>
      </c>
      <c r="AZ479" s="449" t="str">
        <f t="shared" si="1104"/>
        <v>base</v>
      </c>
      <c r="BA479" s="449" t="str">
        <f t="shared" si="1104"/>
        <v>low</v>
      </c>
      <c r="BB479" s="449" t="str">
        <f t="shared" si="1104"/>
        <v>high</v>
      </c>
      <c r="BC479">
        <f t="shared" si="1104"/>
        <v>0</v>
      </c>
      <c r="BD479">
        <f t="shared" si="1104"/>
        <v>0</v>
      </c>
    </row>
    <row r="480" spans="1:56" x14ac:dyDescent="0.3">
      <c r="A480">
        <f t="shared" ref="A480:T480" si="1105">A296</f>
        <v>0</v>
      </c>
      <c r="B480">
        <f t="shared" si="1105"/>
        <v>0</v>
      </c>
      <c r="C480">
        <f t="shared" si="1105"/>
        <v>0</v>
      </c>
      <c r="D480" s="11">
        <f t="shared" si="1105"/>
        <v>0</v>
      </c>
      <c r="E480">
        <f t="shared" si="1105"/>
        <v>0</v>
      </c>
      <c r="F480">
        <f t="shared" si="1105"/>
        <v>0</v>
      </c>
      <c r="G480">
        <f t="shared" si="1105"/>
        <v>0</v>
      </c>
      <c r="H480">
        <f t="shared" si="1105"/>
        <v>0</v>
      </c>
      <c r="I480">
        <f t="shared" si="1105"/>
        <v>0</v>
      </c>
      <c r="J480">
        <f t="shared" si="1105"/>
        <v>0</v>
      </c>
      <c r="K480">
        <f t="shared" si="1105"/>
        <v>0</v>
      </c>
      <c r="L480">
        <f t="shared" si="1105"/>
        <v>0</v>
      </c>
      <c r="M480">
        <f t="shared" si="1105"/>
        <v>0</v>
      </c>
      <c r="N480" s="59" t="str">
        <f t="shared" si="1105"/>
        <v>low:</v>
      </c>
      <c r="O480" s="68">
        <f t="shared" si="1105"/>
        <v>0.15492636201705176</v>
      </c>
      <c r="P480">
        <f t="shared" si="1105"/>
        <v>0</v>
      </c>
      <c r="Q480" s="110">
        <f t="shared" si="1105"/>
        <v>0</v>
      </c>
      <c r="R480" s="101">
        <f t="shared" si="1105"/>
        <v>0</v>
      </c>
      <c r="S480">
        <f t="shared" si="1105"/>
        <v>0</v>
      </c>
      <c r="T480">
        <f t="shared" si="1105"/>
        <v>0</v>
      </c>
      <c r="V480" s="2" t="str">
        <f t="shared" ref="V480:AA480" si="1106">V296</f>
        <v>Outpatient</v>
      </c>
      <c r="W480" s="450">
        <f t="shared" si="1106"/>
        <v>0</v>
      </c>
      <c r="X480" s="450">
        <f t="shared" si="1106"/>
        <v>0</v>
      </c>
      <c r="Y480" s="450">
        <f t="shared" si="1106"/>
        <v>0</v>
      </c>
      <c r="Z480">
        <f t="shared" si="1106"/>
        <v>0</v>
      </c>
      <c r="AA480">
        <f t="shared" si="1106"/>
        <v>0</v>
      </c>
      <c r="AD480">
        <f t="shared" ref="AD480:AW480" si="1107">AD296</f>
        <v>0</v>
      </c>
      <c r="AE480">
        <f t="shared" si="1107"/>
        <v>0</v>
      </c>
      <c r="AF480">
        <f t="shared" si="1107"/>
        <v>0</v>
      </c>
      <c r="AG480" s="11">
        <f t="shared" si="1107"/>
        <v>0</v>
      </c>
      <c r="AH480">
        <f t="shared" si="1107"/>
        <v>0</v>
      </c>
      <c r="AI480">
        <f t="shared" si="1107"/>
        <v>0</v>
      </c>
      <c r="AJ480">
        <f t="shared" si="1107"/>
        <v>0</v>
      </c>
      <c r="AK480">
        <f t="shared" si="1107"/>
        <v>0</v>
      </c>
      <c r="AL480">
        <f t="shared" si="1107"/>
        <v>0</v>
      </c>
      <c r="AM480">
        <f t="shared" si="1107"/>
        <v>0</v>
      </c>
      <c r="AN480">
        <f t="shared" si="1107"/>
        <v>0</v>
      </c>
      <c r="AO480">
        <f t="shared" si="1107"/>
        <v>0</v>
      </c>
      <c r="AP480">
        <f t="shared" si="1107"/>
        <v>0</v>
      </c>
      <c r="AQ480" s="59" t="str">
        <f t="shared" si="1107"/>
        <v>low:</v>
      </c>
      <c r="AR480" s="68">
        <f t="shared" si="1107"/>
        <v>6.3378768667233923E-2</v>
      </c>
      <c r="AS480">
        <f t="shared" si="1107"/>
        <v>0</v>
      </c>
      <c r="AT480" s="110">
        <f t="shared" si="1107"/>
        <v>0</v>
      </c>
      <c r="AU480" s="101">
        <f t="shared" si="1107"/>
        <v>0</v>
      </c>
      <c r="AV480">
        <f t="shared" si="1107"/>
        <v>0</v>
      </c>
      <c r="AW480">
        <f t="shared" si="1107"/>
        <v>0</v>
      </c>
      <c r="AY480" s="2" t="str">
        <f t="shared" ref="AY480:BD480" si="1108">AY296</f>
        <v>Outpatient</v>
      </c>
      <c r="AZ480" s="450">
        <f t="shared" si="1108"/>
        <v>0</v>
      </c>
      <c r="BA480" s="450">
        <f t="shared" si="1108"/>
        <v>0</v>
      </c>
      <c r="BB480" s="450">
        <f t="shared" si="1108"/>
        <v>0</v>
      </c>
      <c r="BC480">
        <f t="shared" si="1108"/>
        <v>0</v>
      </c>
      <c r="BD480">
        <f t="shared" si="1108"/>
        <v>0</v>
      </c>
    </row>
    <row r="481" spans="1:56" x14ac:dyDescent="0.3">
      <c r="A481">
        <f t="shared" ref="A481:AA481" si="1109">A297</f>
        <v>0</v>
      </c>
      <c r="B481">
        <f t="shared" si="1109"/>
        <v>0</v>
      </c>
      <c r="C481">
        <f t="shared" si="1109"/>
        <v>0</v>
      </c>
      <c r="D481" s="11">
        <f t="shared" si="1109"/>
        <v>0</v>
      </c>
      <c r="E481">
        <f t="shared" si="1109"/>
        <v>0</v>
      </c>
      <c r="F481">
        <f t="shared" si="1109"/>
        <v>0</v>
      </c>
      <c r="G481">
        <f t="shared" si="1109"/>
        <v>0</v>
      </c>
      <c r="H481">
        <f t="shared" si="1109"/>
        <v>0</v>
      </c>
      <c r="I481">
        <f t="shared" si="1109"/>
        <v>0</v>
      </c>
      <c r="J481">
        <f t="shared" si="1109"/>
        <v>0</v>
      </c>
      <c r="K481">
        <f t="shared" si="1109"/>
        <v>0</v>
      </c>
      <c r="L481">
        <f t="shared" si="1109"/>
        <v>0</v>
      </c>
      <c r="M481">
        <f t="shared" si="1109"/>
        <v>0</v>
      </c>
      <c r="N481" s="59" t="str">
        <f t="shared" si="1109"/>
        <v>high:</v>
      </c>
      <c r="O481" s="68">
        <f t="shared" si="1109"/>
        <v>0.21737581063121242</v>
      </c>
      <c r="P481">
        <f t="shared" si="1109"/>
        <v>0</v>
      </c>
      <c r="Q481" s="110">
        <f t="shared" si="1109"/>
        <v>0</v>
      </c>
      <c r="R481" s="101">
        <f t="shared" si="1109"/>
        <v>0</v>
      </c>
      <c r="S481">
        <f t="shared" si="1109"/>
        <v>0</v>
      </c>
      <c r="T481" s="16">
        <f t="shared" si="1109"/>
        <v>0</v>
      </c>
      <c r="U481" s="17">
        <f t="shared" si="1109"/>
        <v>0</v>
      </c>
      <c r="V481" s="15" t="str">
        <f t="shared" si="1109"/>
        <v>p5c</v>
      </c>
      <c r="W481" s="451">
        <f t="shared" si="1109"/>
        <v>0.12922984532257092</v>
      </c>
      <c r="X481" s="451">
        <f t="shared" si="1109"/>
        <v>0.10773980381618248</v>
      </c>
      <c r="Y481" s="451">
        <f t="shared" si="1109"/>
        <v>0.15069991467142554</v>
      </c>
      <c r="Z481">
        <f t="shared" si="1109"/>
        <v>0</v>
      </c>
      <c r="AA481">
        <f t="shared" si="1109"/>
        <v>0</v>
      </c>
      <c r="AD481">
        <f t="shared" ref="AD481:BD481" si="1110">AD297</f>
        <v>0</v>
      </c>
      <c r="AE481">
        <f t="shared" si="1110"/>
        <v>0</v>
      </c>
      <c r="AF481">
        <f t="shared" si="1110"/>
        <v>0</v>
      </c>
      <c r="AG481" s="11">
        <f t="shared" si="1110"/>
        <v>0</v>
      </c>
      <c r="AH481">
        <f t="shared" si="1110"/>
        <v>0</v>
      </c>
      <c r="AI481">
        <f t="shared" si="1110"/>
        <v>0</v>
      </c>
      <c r="AJ481">
        <f t="shared" si="1110"/>
        <v>0</v>
      </c>
      <c r="AK481">
        <f t="shared" si="1110"/>
        <v>0</v>
      </c>
      <c r="AL481">
        <f t="shared" si="1110"/>
        <v>0</v>
      </c>
      <c r="AM481">
        <f t="shared" si="1110"/>
        <v>0</v>
      </c>
      <c r="AN481">
        <f t="shared" si="1110"/>
        <v>0</v>
      </c>
      <c r="AO481">
        <f t="shared" si="1110"/>
        <v>0</v>
      </c>
      <c r="AP481">
        <f t="shared" si="1110"/>
        <v>0</v>
      </c>
      <c r="AQ481" s="59" t="str">
        <f t="shared" si="1110"/>
        <v>high:</v>
      </c>
      <c r="AR481" s="68">
        <f t="shared" si="1110"/>
        <v>8.99782850523832E-2</v>
      </c>
      <c r="AS481">
        <f t="shared" si="1110"/>
        <v>0</v>
      </c>
      <c r="AT481" s="110">
        <f t="shared" si="1110"/>
        <v>0</v>
      </c>
      <c r="AU481" s="101">
        <f t="shared" si="1110"/>
        <v>0</v>
      </c>
      <c r="AV481">
        <f t="shared" si="1110"/>
        <v>0</v>
      </c>
      <c r="AW481" s="16">
        <f t="shared" si="1110"/>
        <v>0</v>
      </c>
      <c r="AX481" s="17">
        <f t="shared" si="1110"/>
        <v>0</v>
      </c>
      <c r="AY481" s="15" t="str">
        <f t="shared" si="1110"/>
        <v>p5c</v>
      </c>
      <c r="AZ481" s="451">
        <f t="shared" si="1110"/>
        <v>5.2553135240670609E-2</v>
      </c>
      <c r="BA481" s="451">
        <f t="shared" si="1110"/>
        <v>4.3820682454258748E-2</v>
      </c>
      <c r="BB481" s="451">
        <f t="shared" si="1110"/>
        <v>6.1696464963742502E-2</v>
      </c>
      <c r="BC481">
        <f t="shared" si="1110"/>
        <v>0</v>
      </c>
      <c r="BD481">
        <f t="shared" si="1110"/>
        <v>0</v>
      </c>
    </row>
    <row r="482" spans="1:56" x14ac:dyDescent="0.3">
      <c r="A482">
        <f t="shared" ref="A482:G482" si="1111">A298</f>
        <v>0</v>
      </c>
      <c r="B482">
        <f t="shared" si="1111"/>
        <v>0</v>
      </c>
      <c r="C482">
        <f t="shared" si="1111"/>
        <v>0</v>
      </c>
      <c r="D482" s="11">
        <f t="shared" si="1111"/>
        <v>0</v>
      </c>
      <c r="E482">
        <f t="shared" si="1111"/>
        <v>0</v>
      </c>
      <c r="F482">
        <f t="shared" si="1111"/>
        <v>0</v>
      </c>
      <c r="G482">
        <f t="shared" si="1111"/>
        <v>0</v>
      </c>
      <c r="I482" s="72"/>
      <c r="J482" s="72"/>
      <c r="K482" s="87" t="str">
        <f t="shared" ref="K482:AA482" si="1112">K298</f>
        <v>Forced to zero in Maternal Candidate model</v>
      </c>
      <c r="L482">
        <f t="shared" si="1112"/>
        <v>0</v>
      </c>
      <c r="M482">
        <f t="shared" si="1112"/>
        <v>0</v>
      </c>
      <c r="N482" s="11">
        <f t="shared" si="1112"/>
        <v>0</v>
      </c>
      <c r="O482" s="13">
        <f t="shared" si="1112"/>
        <v>0</v>
      </c>
      <c r="P482" s="13">
        <f t="shared" si="1112"/>
        <v>0</v>
      </c>
      <c r="Q482" s="110">
        <f t="shared" si="1112"/>
        <v>0</v>
      </c>
      <c r="R482" s="101">
        <f t="shared" si="1112"/>
        <v>0</v>
      </c>
      <c r="S482">
        <f t="shared" si="1112"/>
        <v>0</v>
      </c>
      <c r="T482" s="11">
        <f t="shared" si="1112"/>
        <v>0</v>
      </c>
      <c r="U482" s="13">
        <f t="shared" si="1112"/>
        <v>0</v>
      </c>
      <c r="V482" s="2">
        <f t="shared" si="1112"/>
        <v>0</v>
      </c>
      <c r="W482" s="452">
        <f t="shared" si="1112"/>
        <v>0</v>
      </c>
      <c r="X482" s="452">
        <f t="shared" si="1112"/>
        <v>0</v>
      </c>
      <c r="Y482" s="452">
        <f t="shared" si="1112"/>
        <v>0</v>
      </c>
      <c r="Z482">
        <f t="shared" si="1112"/>
        <v>0</v>
      </c>
      <c r="AA482">
        <f t="shared" si="1112"/>
        <v>0</v>
      </c>
      <c r="AD482">
        <f t="shared" ref="AD482:AJ482" si="1113">AD298</f>
        <v>0</v>
      </c>
      <c r="AE482">
        <f t="shared" si="1113"/>
        <v>0</v>
      </c>
      <c r="AF482">
        <f t="shared" si="1113"/>
        <v>0</v>
      </c>
      <c r="AG482" s="11">
        <f t="shared" si="1113"/>
        <v>0</v>
      </c>
      <c r="AH482">
        <f t="shared" si="1113"/>
        <v>0</v>
      </c>
      <c r="AI482">
        <f t="shared" si="1113"/>
        <v>0</v>
      </c>
      <c r="AJ482">
        <f t="shared" si="1113"/>
        <v>0</v>
      </c>
      <c r="AL482" s="72"/>
      <c r="AM482" s="72"/>
      <c r="AN482" s="87" t="str">
        <f t="shared" ref="AN482:BD482" si="1114">AN298</f>
        <v>Forced to zero in Maternal Candidate model</v>
      </c>
      <c r="AO482">
        <f t="shared" si="1114"/>
        <v>0</v>
      </c>
      <c r="AP482">
        <f t="shared" si="1114"/>
        <v>0</v>
      </c>
      <c r="AQ482" s="11">
        <f t="shared" si="1114"/>
        <v>0</v>
      </c>
      <c r="AR482" s="13">
        <f t="shared" si="1114"/>
        <v>0</v>
      </c>
      <c r="AS482" s="13">
        <f t="shared" si="1114"/>
        <v>0</v>
      </c>
      <c r="AT482" s="110">
        <f t="shared" si="1114"/>
        <v>0</v>
      </c>
      <c r="AU482" s="101">
        <f t="shared" si="1114"/>
        <v>0</v>
      </c>
      <c r="AV482">
        <f t="shared" si="1114"/>
        <v>0</v>
      </c>
      <c r="AW482" s="11">
        <f t="shared" si="1114"/>
        <v>0</v>
      </c>
      <c r="AX482" s="13">
        <f t="shared" si="1114"/>
        <v>0</v>
      </c>
      <c r="AY482" s="2">
        <f t="shared" si="1114"/>
        <v>0</v>
      </c>
      <c r="AZ482" s="452">
        <f t="shared" si="1114"/>
        <v>0</v>
      </c>
      <c r="BA482" s="452">
        <f t="shared" si="1114"/>
        <v>0</v>
      </c>
      <c r="BB482" s="452">
        <f t="shared" si="1114"/>
        <v>0</v>
      </c>
      <c r="BC482">
        <f t="shared" si="1114"/>
        <v>0</v>
      </c>
      <c r="BD482">
        <f t="shared" si="1114"/>
        <v>0</v>
      </c>
    </row>
    <row r="483" spans="1:56" x14ac:dyDescent="0.3">
      <c r="A483">
        <f t="shared" ref="A483:G483" si="1115">A299</f>
        <v>0</v>
      </c>
      <c r="B483">
        <f t="shared" si="1115"/>
        <v>0</v>
      </c>
      <c r="C483">
        <f t="shared" si="1115"/>
        <v>0</v>
      </c>
      <c r="D483" s="11">
        <f t="shared" si="1115"/>
        <v>0</v>
      </c>
      <c r="E483">
        <f t="shared" si="1115"/>
        <v>0</v>
      </c>
      <c r="F483">
        <f t="shared" si="1115"/>
        <v>0</v>
      </c>
      <c r="G483">
        <f t="shared" si="1115"/>
        <v>0</v>
      </c>
      <c r="K483" s="12" t="str">
        <f t="shared" ref="K483:AA483" si="1116">K299</f>
        <v>b/c assumed to GO un-immunized</v>
      </c>
      <c r="L483" s="90">
        <f t="shared" si="1116"/>
        <v>0</v>
      </c>
      <c r="M483" s="438">
        <f t="shared" si="1116"/>
        <v>0</v>
      </c>
      <c r="N483" s="11">
        <f t="shared" si="1116"/>
        <v>0</v>
      </c>
      <c r="O483" s="13">
        <f t="shared" si="1116"/>
        <v>0</v>
      </c>
      <c r="P483">
        <f t="shared" si="1116"/>
        <v>0</v>
      </c>
      <c r="Q483" s="111" t="str">
        <f t="shared" si="1116"/>
        <v>p7</v>
      </c>
      <c r="R483" s="112">
        <f t="shared" si="1116"/>
        <v>0</v>
      </c>
      <c r="S483" s="438">
        <f t="shared" si="1116"/>
        <v>0</v>
      </c>
      <c r="T483" s="18">
        <f t="shared" si="1116"/>
        <v>0</v>
      </c>
      <c r="U483" s="438">
        <f t="shared" si="1116"/>
        <v>0</v>
      </c>
      <c r="V483" s="12" t="str">
        <f t="shared" si="1116"/>
        <v>ED</v>
      </c>
      <c r="W483" s="450">
        <f t="shared" si="1116"/>
        <v>0</v>
      </c>
      <c r="X483" s="450">
        <f t="shared" si="1116"/>
        <v>0</v>
      </c>
      <c r="Y483" s="450">
        <f t="shared" si="1116"/>
        <v>0</v>
      </c>
      <c r="Z483">
        <f t="shared" si="1116"/>
        <v>0</v>
      </c>
      <c r="AA483">
        <f t="shared" si="1116"/>
        <v>0</v>
      </c>
      <c r="AD483">
        <f t="shared" ref="AD483:AJ483" si="1117">AD299</f>
        <v>0</v>
      </c>
      <c r="AE483">
        <f t="shared" si="1117"/>
        <v>0</v>
      </c>
      <c r="AF483">
        <f t="shared" si="1117"/>
        <v>0</v>
      </c>
      <c r="AG483" s="11">
        <f t="shared" si="1117"/>
        <v>0</v>
      </c>
      <c r="AH483">
        <f t="shared" si="1117"/>
        <v>0</v>
      </c>
      <c r="AI483">
        <f t="shared" si="1117"/>
        <v>0</v>
      </c>
      <c r="AJ483">
        <f t="shared" si="1117"/>
        <v>0</v>
      </c>
      <c r="AN483" s="12" t="str">
        <f t="shared" ref="AN483:BD483" si="1118">AN299</f>
        <v>b/c assumed to GO un-immunized</v>
      </c>
      <c r="AO483" s="90">
        <f t="shared" si="1118"/>
        <v>0</v>
      </c>
      <c r="AP483" s="500">
        <f t="shared" si="1118"/>
        <v>0</v>
      </c>
      <c r="AQ483" s="11">
        <f t="shared" si="1118"/>
        <v>0</v>
      </c>
      <c r="AR483" s="13">
        <f t="shared" si="1118"/>
        <v>0</v>
      </c>
      <c r="AS483">
        <f t="shared" si="1118"/>
        <v>0</v>
      </c>
      <c r="AT483" s="111" t="str">
        <f t="shared" si="1118"/>
        <v>p7</v>
      </c>
      <c r="AU483" s="112">
        <f t="shared" si="1118"/>
        <v>0</v>
      </c>
      <c r="AV483" s="500">
        <f t="shared" si="1118"/>
        <v>0</v>
      </c>
      <c r="AW483" s="18">
        <f t="shared" si="1118"/>
        <v>0</v>
      </c>
      <c r="AX483" s="500">
        <f t="shared" si="1118"/>
        <v>0</v>
      </c>
      <c r="AY483" s="12" t="str">
        <f t="shared" si="1118"/>
        <v>ED</v>
      </c>
      <c r="AZ483" s="450">
        <f t="shared" si="1118"/>
        <v>0</v>
      </c>
      <c r="BA483" s="450">
        <f t="shared" si="1118"/>
        <v>0</v>
      </c>
      <c r="BB483" s="450">
        <f t="shared" si="1118"/>
        <v>0</v>
      </c>
      <c r="BC483">
        <f t="shared" si="1118"/>
        <v>0</v>
      </c>
      <c r="BD483">
        <f t="shared" si="1118"/>
        <v>0</v>
      </c>
    </row>
    <row r="484" spans="1:56" x14ac:dyDescent="0.3">
      <c r="A484">
        <f t="shared" ref="A484:O484" si="1119">A300</f>
        <v>0</v>
      </c>
      <c r="B484">
        <f t="shared" si="1119"/>
        <v>0</v>
      </c>
      <c r="C484">
        <f t="shared" si="1119"/>
        <v>0</v>
      </c>
      <c r="D484" s="11">
        <f t="shared" si="1119"/>
        <v>0</v>
      </c>
      <c r="E484">
        <f t="shared" si="1119"/>
        <v>0</v>
      </c>
      <c r="F484">
        <f t="shared" si="1119"/>
        <v>0</v>
      </c>
      <c r="G484">
        <f t="shared" si="1119"/>
        <v>0</v>
      </c>
      <c r="H484">
        <f t="shared" si="1119"/>
        <v>0</v>
      </c>
      <c r="I484">
        <f t="shared" si="1119"/>
        <v>0</v>
      </c>
      <c r="J484">
        <f t="shared" si="1119"/>
        <v>0</v>
      </c>
      <c r="K484" s="59" t="str">
        <f t="shared" si="1119"/>
        <v>p3</v>
      </c>
      <c r="L484" s="105">
        <f t="shared" si="1119"/>
        <v>0</v>
      </c>
      <c r="M484">
        <f t="shared" si="1119"/>
        <v>0</v>
      </c>
      <c r="N484" s="11">
        <f t="shared" si="1119"/>
        <v>0</v>
      </c>
      <c r="O484" s="13">
        <f t="shared" si="1119"/>
        <v>0</v>
      </c>
      <c r="Q484" s="2" t="str">
        <f t="shared" ref="Q484:AA484" si="1120">Q300</f>
        <v>Vaccine Failure</v>
      </c>
      <c r="R484" s="71">
        <f t="shared" si="1120"/>
        <v>0</v>
      </c>
      <c r="S484">
        <f t="shared" si="1120"/>
        <v>0</v>
      </c>
      <c r="T484" s="11">
        <f t="shared" si="1120"/>
        <v>0</v>
      </c>
      <c r="U484" s="13">
        <f t="shared" si="1120"/>
        <v>0</v>
      </c>
      <c r="V484" s="2" t="str">
        <f t="shared" si="1120"/>
        <v>p5b</v>
      </c>
      <c r="W484" s="451">
        <f t="shared" si="1120"/>
        <v>4.4807535427121237E-2</v>
      </c>
      <c r="X484" s="451">
        <f t="shared" si="1120"/>
        <v>3.8366514622464848E-2</v>
      </c>
      <c r="Y484" s="451">
        <f t="shared" si="1120"/>
        <v>5.1268528389311424E-2</v>
      </c>
      <c r="Z484">
        <f t="shared" si="1120"/>
        <v>0</v>
      </c>
      <c r="AA484">
        <f t="shared" si="1120"/>
        <v>0</v>
      </c>
      <c r="AD484">
        <f t="shared" ref="AD484:AR484" si="1121">AD300</f>
        <v>0</v>
      </c>
      <c r="AE484">
        <f t="shared" si="1121"/>
        <v>0</v>
      </c>
      <c r="AF484">
        <f t="shared" si="1121"/>
        <v>0</v>
      </c>
      <c r="AG484" s="11">
        <f t="shared" si="1121"/>
        <v>0</v>
      </c>
      <c r="AH484">
        <f t="shared" si="1121"/>
        <v>0</v>
      </c>
      <c r="AI484">
        <f t="shared" si="1121"/>
        <v>0</v>
      </c>
      <c r="AJ484">
        <f t="shared" si="1121"/>
        <v>0</v>
      </c>
      <c r="AK484">
        <f t="shared" si="1121"/>
        <v>0</v>
      </c>
      <c r="AL484">
        <f t="shared" si="1121"/>
        <v>0</v>
      </c>
      <c r="AM484">
        <f t="shared" si="1121"/>
        <v>0</v>
      </c>
      <c r="AN484" s="59" t="str">
        <f t="shared" si="1121"/>
        <v>p3</v>
      </c>
      <c r="AO484" s="105">
        <f t="shared" si="1121"/>
        <v>0</v>
      </c>
      <c r="AP484">
        <f t="shared" si="1121"/>
        <v>0</v>
      </c>
      <c r="AQ484" s="11">
        <f t="shared" si="1121"/>
        <v>0</v>
      </c>
      <c r="AR484" s="13">
        <f t="shared" si="1121"/>
        <v>0</v>
      </c>
      <c r="AT484" s="2" t="str">
        <f t="shared" ref="AT484:BD484" si="1122">AT300</f>
        <v>Vaccine Failure</v>
      </c>
      <c r="AU484" s="71">
        <f t="shared" si="1122"/>
        <v>0</v>
      </c>
      <c r="AV484">
        <f t="shared" si="1122"/>
        <v>0</v>
      </c>
      <c r="AW484" s="11">
        <f t="shared" si="1122"/>
        <v>0</v>
      </c>
      <c r="AX484" s="13">
        <f t="shared" si="1122"/>
        <v>0</v>
      </c>
      <c r="AY484" s="2" t="str">
        <f t="shared" si="1122"/>
        <v>p5b</v>
      </c>
      <c r="AZ484" s="451">
        <f t="shared" si="1122"/>
        <v>2.0899346727931388E-2</v>
      </c>
      <c r="BA484" s="451">
        <f t="shared" si="1122"/>
        <v>1.7896438711993638E-2</v>
      </c>
      <c r="BB484" s="451">
        <f t="shared" si="1122"/>
        <v>2.3905393342071143E-2</v>
      </c>
      <c r="BC484">
        <f t="shared" si="1122"/>
        <v>0</v>
      </c>
      <c r="BD484">
        <f t="shared" si="1122"/>
        <v>0</v>
      </c>
    </row>
    <row r="485" spans="1:56" x14ac:dyDescent="0.3">
      <c r="A485">
        <f t="shared" ref="A485:N485" si="1123">A301</f>
        <v>0</v>
      </c>
      <c r="B485">
        <f t="shared" si="1123"/>
        <v>0</v>
      </c>
      <c r="C485">
        <f t="shared" si="1123"/>
        <v>0</v>
      </c>
      <c r="D485" s="11">
        <f t="shared" si="1123"/>
        <v>0</v>
      </c>
      <c r="E485">
        <f t="shared" si="1123"/>
        <v>0</v>
      </c>
      <c r="F485">
        <f t="shared" si="1123"/>
        <v>0</v>
      </c>
      <c r="G485">
        <f t="shared" si="1123"/>
        <v>0</v>
      </c>
      <c r="H485">
        <f t="shared" si="1123"/>
        <v>0</v>
      </c>
      <c r="I485">
        <f t="shared" si="1123"/>
        <v>0</v>
      </c>
      <c r="J485">
        <f t="shared" si="1123"/>
        <v>0</v>
      </c>
      <c r="K485" s="11">
        <f t="shared" si="1123"/>
        <v>0</v>
      </c>
      <c r="L485">
        <f t="shared" si="1123"/>
        <v>0</v>
      </c>
      <c r="M485">
        <f t="shared" si="1123"/>
        <v>0</v>
      </c>
      <c r="N485" s="11">
        <f t="shared" si="1123"/>
        <v>0</v>
      </c>
      <c r="O485" s="13"/>
      <c r="Q485" s="2" t="str">
        <f t="shared" ref="Q485:AA485" si="1124">Q301</f>
        <v>Medically Attended for RSV</v>
      </c>
      <c r="R485" s="13">
        <f t="shared" si="1124"/>
        <v>0</v>
      </c>
      <c r="S485">
        <f t="shared" si="1124"/>
        <v>0</v>
      </c>
      <c r="T485" s="11">
        <f t="shared" si="1124"/>
        <v>0</v>
      </c>
      <c r="U485" s="13">
        <f t="shared" si="1124"/>
        <v>0</v>
      </c>
      <c r="V485" s="2">
        <f t="shared" si="1124"/>
        <v>0</v>
      </c>
      <c r="W485" s="452">
        <f t="shared" si="1124"/>
        <v>0</v>
      </c>
      <c r="X485" s="452">
        <f t="shared" si="1124"/>
        <v>0</v>
      </c>
      <c r="Y485" s="452">
        <f t="shared" si="1124"/>
        <v>0</v>
      </c>
      <c r="Z485">
        <f t="shared" si="1124"/>
        <v>0</v>
      </c>
      <c r="AA485">
        <f t="shared" si="1124"/>
        <v>0</v>
      </c>
      <c r="AD485">
        <f t="shared" ref="AD485:AQ485" si="1125">AD301</f>
        <v>0</v>
      </c>
      <c r="AE485">
        <f t="shared" si="1125"/>
        <v>0</v>
      </c>
      <c r="AF485">
        <f t="shared" si="1125"/>
        <v>0</v>
      </c>
      <c r="AG485" s="11">
        <f t="shared" si="1125"/>
        <v>0</v>
      </c>
      <c r="AH485">
        <f t="shared" si="1125"/>
        <v>0</v>
      </c>
      <c r="AI485">
        <f t="shared" si="1125"/>
        <v>0</v>
      </c>
      <c r="AJ485">
        <f t="shared" si="1125"/>
        <v>0</v>
      </c>
      <c r="AK485">
        <f t="shared" si="1125"/>
        <v>0</v>
      </c>
      <c r="AL485">
        <f t="shared" si="1125"/>
        <v>0</v>
      </c>
      <c r="AM485">
        <f t="shared" si="1125"/>
        <v>0</v>
      </c>
      <c r="AN485" s="11">
        <f t="shared" si="1125"/>
        <v>0</v>
      </c>
      <c r="AO485">
        <f t="shared" si="1125"/>
        <v>0</v>
      </c>
      <c r="AP485">
        <f t="shared" si="1125"/>
        <v>0</v>
      </c>
      <c r="AQ485" s="11">
        <f t="shared" si="1125"/>
        <v>0</v>
      </c>
      <c r="AR485" s="13"/>
      <c r="AT485" s="2" t="str">
        <f t="shared" ref="AT485:BD485" si="1126">AT301</f>
        <v>Medically Attended for RSV</v>
      </c>
      <c r="AU485" s="13">
        <f t="shared" si="1126"/>
        <v>0</v>
      </c>
      <c r="AV485">
        <f t="shared" si="1126"/>
        <v>0</v>
      </c>
      <c r="AW485" s="11">
        <f t="shared" si="1126"/>
        <v>0</v>
      </c>
      <c r="AX485" s="13">
        <f t="shared" si="1126"/>
        <v>0</v>
      </c>
      <c r="AY485" s="2">
        <f t="shared" si="1126"/>
        <v>0</v>
      </c>
      <c r="AZ485" s="452">
        <f t="shared" si="1126"/>
        <v>0</v>
      </c>
      <c r="BA485" s="452">
        <f t="shared" si="1126"/>
        <v>0</v>
      </c>
      <c r="BB485" s="452">
        <f t="shared" si="1126"/>
        <v>0</v>
      </c>
      <c r="BC485">
        <f t="shared" si="1126"/>
        <v>0</v>
      </c>
      <c r="BD485">
        <f t="shared" si="1126"/>
        <v>0</v>
      </c>
    </row>
    <row r="486" spans="1:56" x14ac:dyDescent="0.3">
      <c r="A486">
        <f t="shared" ref="A486:T486" si="1127">A302</f>
        <v>0</v>
      </c>
      <c r="B486">
        <f t="shared" si="1127"/>
        <v>0</v>
      </c>
      <c r="C486">
        <f t="shared" si="1127"/>
        <v>0</v>
      </c>
      <c r="D486" s="11">
        <f t="shared" si="1127"/>
        <v>0</v>
      </c>
      <c r="E486">
        <f t="shared" si="1127"/>
        <v>0</v>
      </c>
      <c r="F486">
        <f t="shared" si="1127"/>
        <v>0</v>
      </c>
      <c r="G486">
        <f t="shared" si="1127"/>
        <v>0</v>
      </c>
      <c r="H486">
        <f t="shared" si="1127"/>
        <v>0</v>
      </c>
      <c r="I486">
        <f t="shared" si="1127"/>
        <v>0</v>
      </c>
      <c r="J486">
        <f t="shared" si="1127"/>
        <v>0</v>
      </c>
      <c r="K486" s="11">
        <f t="shared" si="1127"/>
        <v>0</v>
      </c>
      <c r="L486">
        <f t="shared" si="1127"/>
        <v>0</v>
      </c>
      <c r="M486">
        <f t="shared" si="1127"/>
        <v>0</v>
      </c>
      <c r="N486" s="11">
        <f t="shared" si="1127"/>
        <v>0</v>
      </c>
      <c r="O486">
        <f t="shared" si="1127"/>
        <v>0</v>
      </c>
      <c r="P486">
        <f t="shared" si="1127"/>
        <v>0</v>
      </c>
      <c r="Q486">
        <f t="shared" si="1127"/>
        <v>0</v>
      </c>
      <c r="R486">
        <f t="shared" si="1127"/>
        <v>0</v>
      </c>
      <c r="S486">
        <f t="shared" si="1127"/>
        <v>0</v>
      </c>
      <c r="T486" s="18">
        <f t="shared" si="1127"/>
        <v>0</v>
      </c>
      <c r="U486" s="438"/>
      <c r="V486" s="12" t="str">
        <f t="shared" ref="V486:AA486" si="1128">V302</f>
        <v>Hospitalized</v>
      </c>
      <c r="W486" s="453">
        <f t="shared" si="1128"/>
        <v>0</v>
      </c>
      <c r="X486" s="453">
        <f t="shared" si="1128"/>
        <v>0</v>
      </c>
      <c r="Y486" s="453">
        <f t="shared" si="1128"/>
        <v>0</v>
      </c>
      <c r="Z486">
        <f t="shared" si="1128"/>
        <v>0</v>
      </c>
      <c r="AA486">
        <f t="shared" si="1128"/>
        <v>0</v>
      </c>
      <c r="AD486">
        <f t="shared" ref="AD486:AW486" si="1129">AD302</f>
        <v>0</v>
      </c>
      <c r="AE486">
        <f t="shared" si="1129"/>
        <v>0</v>
      </c>
      <c r="AF486">
        <f t="shared" si="1129"/>
        <v>0</v>
      </c>
      <c r="AG486" s="11">
        <f t="shared" si="1129"/>
        <v>0</v>
      </c>
      <c r="AH486">
        <f t="shared" si="1129"/>
        <v>0</v>
      </c>
      <c r="AI486">
        <f t="shared" si="1129"/>
        <v>0</v>
      </c>
      <c r="AJ486">
        <f t="shared" si="1129"/>
        <v>0</v>
      </c>
      <c r="AK486">
        <f t="shared" si="1129"/>
        <v>0</v>
      </c>
      <c r="AL486">
        <f t="shared" si="1129"/>
        <v>0</v>
      </c>
      <c r="AM486">
        <f t="shared" si="1129"/>
        <v>0</v>
      </c>
      <c r="AN486" s="11">
        <f t="shared" si="1129"/>
        <v>0</v>
      </c>
      <c r="AO486">
        <f t="shared" si="1129"/>
        <v>0</v>
      </c>
      <c r="AP486">
        <f t="shared" si="1129"/>
        <v>0</v>
      </c>
      <c r="AQ486" s="11">
        <f t="shared" si="1129"/>
        <v>0</v>
      </c>
      <c r="AR486">
        <f t="shared" si="1129"/>
        <v>0</v>
      </c>
      <c r="AS486">
        <f t="shared" si="1129"/>
        <v>0</v>
      </c>
      <c r="AT486">
        <f t="shared" si="1129"/>
        <v>0</v>
      </c>
      <c r="AU486">
        <f t="shared" si="1129"/>
        <v>0</v>
      </c>
      <c r="AV486">
        <f t="shared" si="1129"/>
        <v>0</v>
      </c>
      <c r="AW486" s="18">
        <f t="shared" si="1129"/>
        <v>0</v>
      </c>
      <c r="AX486" s="500"/>
      <c r="AY486" s="12" t="str">
        <f t="shared" ref="AY486:BD486" si="1130">AY302</f>
        <v>Hospitalized</v>
      </c>
      <c r="AZ486" s="453">
        <f t="shared" si="1130"/>
        <v>0</v>
      </c>
      <c r="BA486" s="453">
        <f t="shared" si="1130"/>
        <v>0</v>
      </c>
      <c r="BB486" s="453">
        <f t="shared" si="1130"/>
        <v>0</v>
      </c>
      <c r="BC486">
        <f t="shared" si="1130"/>
        <v>0</v>
      </c>
      <c r="BD486">
        <f t="shared" si="1130"/>
        <v>0</v>
      </c>
    </row>
    <row r="487" spans="1:56" x14ac:dyDescent="0.3">
      <c r="A487">
        <f t="shared" ref="A487:AA487" si="1131">A303</f>
        <v>0</v>
      </c>
      <c r="B487">
        <f t="shared" si="1131"/>
        <v>0</v>
      </c>
      <c r="C487">
        <f t="shared" si="1131"/>
        <v>0</v>
      </c>
      <c r="D487" s="11">
        <f t="shared" si="1131"/>
        <v>0</v>
      </c>
      <c r="E487">
        <f t="shared" si="1131"/>
        <v>0</v>
      </c>
      <c r="F487">
        <f t="shared" si="1131"/>
        <v>0</v>
      </c>
      <c r="G487">
        <f t="shared" si="1131"/>
        <v>0</v>
      </c>
      <c r="J487">
        <f t="shared" si="1131"/>
        <v>0</v>
      </c>
      <c r="K487" s="11">
        <f t="shared" si="1131"/>
        <v>0</v>
      </c>
      <c r="L487">
        <f t="shared" si="1131"/>
        <v>0</v>
      </c>
      <c r="M487">
        <f t="shared" si="1131"/>
        <v>0</v>
      </c>
      <c r="N487" s="18">
        <f t="shared" si="1131"/>
        <v>0</v>
      </c>
      <c r="O487" s="438">
        <f t="shared" si="1131"/>
        <v>0</v>
      </c>
      <c r="P487" s="438">
        <f t="shared" si="1131"/>
        <v>0</v>
      </c>
      <c r="Q487">
        <f t="shared" si="1131"/>
        <v>0</v>
      </c>
      <c r="R487">
        <f t="shared" si="1131"/>
        <v>0</v>
      </c>
      <c r="S487">
        <f t="shared" si="1131"/>
        <v>0</v>
      </c>
      <c r="T487">
        <f t="shared" si="1131"/>
        <v>0</v>
      </c>
      <c r="U487">
        <f t="shared" si="1131"/>
        <v>0</v>
      </c>
      <c r="V487" s="2" t="str">
        <f t="shared" si="1131"/>
        <v>p5a</v>
      </c>
      <c r="W487" s="451">
        <f t="shared" si="1131"/>
        <v>1.1937204925982133E-2</v>
      </c>
      <c r="X487" s="451">
        <f t="shared" si="1131"/>
        <v>8.8200435784044334E-3</v>
      </c>
      <c r="Y487" s="451">
        <f t="shared" si="1131"/>
        <v>1.540736757047545E-2</v>
      </c>
      <c r="Z487">
        <f t="shared" si="1131"/>
        <v>0</v>
      </c>
      <c r="AA487">
        <f t="shared" si="1131"/>
        <v>0</v>
      </c>
      <c r="AD487">
        <f t="shared" ref="AD487:AJ487" si="1132">AD303</f>
        <v>0</v>
      </c>
      <c r="AE487">
        <f t="shared" si="1132"/>
        <v>0</v>
      </c>
      <c r="AF487">
        <f t="shared" si="1132"/>
        <v>0</v>
      </c>
      <c r="AG487" s="11">
        <f t="shared" si="1132"/>
        <v>0</v>
      </c>
      <c r="AH487">
        <f t="shared" si="1132"/>
        <v>0</v>
      </c>
      <c r="AI487">
        <f t="shared" si="1132"/>
        <v>0</v>
      </c>
      <c r="AJ487" t="str">
        <f t="shared" si="1132"/>
        <v>OoS</v>
      </c>
      <c r="AM487">
        <f t="shared" ref="AM487:BD487" si="1133">AM303</f>
        <v>0</v>
      </c>
      <c r="AN487" s="11">
        <f t="shared" si="1133"/>
        <v>0</v>
      </c>
      <c r="AO487">
        <f t="shared" si="1133"/>
        <v>0</v>
      </c>
      <c r="AP487">
        <f t="shared" si="1133"/>
        <v>0</v>
      </c>
      <c r="AQ487" s="18">
        <f t="shared" si="1133"/>
        <v>0</v>
      </c>
      <c r="AR487" s="500">
        <f t="shared" si="1133"/>
        <v>0</v>
      </c>
      <c r="AS487" s="500">
        <f t="shared" si="1133"/>
        <v>0</v>
      </c>
      <c r="AT487">
        <f t="shared" si="1133"/>
        <v>0</v>
      </c>
      <c r="AU487">
        <f t="shared" si="1133"/>
        <v>0</v>
      </c>
      <c r="AV487">
        <f t="shared" si="1133"/>
        <v>0</v>
      </c>
      <c r="AW487">
        <f t="shared" si="1133"/>
        <v>0</v>
      </c>
      <c r="AX487">
        <f t="shared" si="1133"/>
        <v>0</v>
      </c>
      <c r="AY487" s="2" t="str">
        <f t="shared" si="1133"/>
        <v>p5a</v>
      </c>
      <c r="AZ487" s="451">
        <f t="shared" si="1133"/>
        <v>2.879509328304896E-3</v>
      </c>
      <c r="BA487" s="451">
        <f t="shared" si="1133"/>
        <v>1.6616475009815412E-3</v>
      </c>
      <c r="BB487" s="451">
        <f t="shared" si="1133"/>
        <v>4.3764267465695519E-3</v>
      </c>
      <c r="BC487">
        <f t="shared" si="1133"/>
        <v>0</v>
      </c>
      <c r="BD487">
        <f t="shared" si="1133"/>
        <v>0</v>
      </c>
    </row>
    <row r="488" spans="1:56" x14ac:dyDescent="0.3">
      <c r="A488">
        <f t="shared" ref="A488:L488" si="1134">A304</f>
        <v>0</v>
      </c>
      <c r="B488">
        <f t="shared" si="1134"/>
        <v>0</v>
      </c>
      <c r="C488">
        <f t="shared" si="1134"/>
        <v>0</v>
      </c>
      <c r="D488" s="11">
        <f t="shared" si="1134"/>
        <v>0</v>
      </c>
      <c r="E488">
        <f t="shared" si="1134"/>
        <v>0</v>
      </c>
      <c r="F488">
        <f t="shared" si="1134"/>
        <v>0</v>
      </c>
      <c r="G488">
        <f t="shared" si="1134"/>
        <v>0</v>
      </c>
      <c r="J488">
        <f t="shared" si="1134"/>
        <v>0</v>
      </c>
      <c r="K488" s="11">
        <f t="shared" si="1134"/>
        <v>0</v>
      </c>
      <c r="L488">
        <f t="shared" si="1134"/>
        <v>0</v>
      </c>
      <c r="N488" s="2" t="str">
        <f t="shared" ref="N488:AA488" si="1135">N304</f>
        <v>Not MA for RSV</v>
      </c>
      <c r="O488" s="63" t="str">
        <f t="shared" si="1135"/>
        <v>unknown</v>
      </c>
      <c r="P488" s="13">
        <f t="shared" si="1135"/>
        <v>0</v>
      </c>
      <c r="Q488">
        <f t="shared" si="1135"/>
        <v>0</v>
      </c>
      <c r="R488">
        <f t="shared" si="1135"/>
        <v>0</v>
      </c>
      <c r="S488">
        <f t="shared" si="1135"/>
        <v>0</v>
      </c>
      <c r="T488">
        <f t="shared" si="1135"/>
        <v>0</v>
      </c>
      <c r="U488">
        <f t="shared" si="1135"/>
        <v>0</v>
      </c>
      <c r="V488">
        <f t="shared" si="1135"/>
        <v>0</v>
      </c>
      <c r="W488">
        <f t="shared" si="1135"/>
        <v>0</v>
      </c>
      <c r="X488">
        <f t="shared" si="1135"/>
        <v>0</v>
      </c>
      <c r="Y488">
        <f t="shared" si="1135"/>
        <v>0</v>
      </c>
      <c r="Z488">
        <f t="shared" si="1135"/>
        <v>0</v>
      </c>
      <c r="AA488">
        <f t="shared" si="1135"/>
        <v>0</v>
      </c>
      <c r="AD488">
        <f t="shared" ref="AD488:AJ488" si="1136">AD304</f>
        <v>0</v>
      </c>
      <c r="AE488">
        <f t="shared" si="1136"/>
        <v>0</v>
      </c>
      <c r="AF488">
        <f t="shared" si="1136"/>
        <v>0</v>
      </c>
      <c r="AG488" s="11">
        <f t="shared" si="1136"/>
        <v>0</v>
      </c>
      <c r="AH488">
        <f t="shared" si="1136"/>
        <v>0</v>
      </c>
      <c r="AI488">
        <f t="shared" si="1136"/>
        <v>0</v>
      </c>
      <c r="AJ488" t="str">
        <f t="shared" si="1136"/>
        <v>OoS</v>
      </c>
      <c r="AM488">
        <f t="shared" ref="AM488:AO488" si="1137">AM304</f>
        <v>0</v>
      </c>
      <c r="AN488" s="11">
        <f t="shared" si="1137"/>
        <v>0</v>
      </c>
      <c r="AO488">
        <f t="shared" si="1137"/>
        <v>0</v>
      </c>
      <c r="AQ488" s="2" t="str">
        <f t="shared" ref="AQ488:BD488" si="1138">AQ304</f>
        <v>Not MA for RSV</v>
      </c>
      <c r="AR488" s="63" t="str">
        <f t="shared" si="1138"/>
        <v>unknown</v>
      </c>
      <c r="AS488" s="13">
        <f t="shared" si="1138"/>
        <v>0</v>
      </c>
      <c r="AT488">
        <f t="shared" si="1138"/>
        <v>0</v>
      </c>
      <c r="AU488">
        <f t="shared" si="1138"/>
        <v>0</v>
      </c>
      <c r="AV488">
        <f t="shared" si="1138"/>
        <v>0</v>
      </c>
      <c r="AW488">
        <f t="shared" si="1138"/>
        <v>0</v>
      </c>
      <c r="AX488">
        <f t="shared" si="1138"/>
        <v>0</v>
      </c>
      <c r="AY488">
        <f t="shared" si="1138"/>
        <v>0</v>
      </c>
      <c r="AZ488">
        <f t="shared" si="1138"/>
        <v>0</v>
      </c>
      <c r="BA488">
        <f t="shared" si="1138"/>
        <v>0</v>
      </c>
      <c r="BB488">
        <f t="shared" si="1138"/>
        <v>0</v>
      </c>
      <c r="BC488">
        <f t="shared" si="1138"/>
        <v>0</v>
      </c>
      <c r="BD488">
        <f t="shared" si="1138"/>
        <v>0</v>
      </c>
    </row>
    <row r="489" spans="1:56" x14ac:dyDescent="0.3">
      <c r="A489">
        <f t="shared" ref="A489:D489" si="1139">A305</f>
        <v>0</v>
      </c>
      <c r="B489">
        <f t="shared" si="1139"/>
        <v>0</v>
      </c>
      <c r="C489">
        <f t="shared" si="1139"/>
        <v>0</v>
      </c>
      <c r="D489" s="11">
        <f t="shared" si="1139"/>
        <v>0</v>
      </c>
      <c r="H489" s="12" t="str">
        <f t="shared" ref="H489:AA489" si="1140">H305</f>
        <v>WiS low risk births that do not obtain Mat Cand</v>
      </c>
      <c r="I489" s="30">
        <f t="shared" si="1140"/>
        <v>859585.19349999982</v>
      </c>
      <c r="J489" s="438">
        <f t="shared" si="1140"/>
        <v>0</v>
      </c>
      <c r="K489" s="11">
        <f t="shared" si="1140"/>
        <v>0</v>
      </c>
      <c r="L489">
        <f t="shared" si="1140"/>
        <v>0</v>
      </c>
      <c r="M489">
        <f t="shared" si="1140"/>
        <v>0</v>
      </c>
      <c r="N489">
        <f t="shared" si="1140"/>
        <v>0</v>
      </c>
      <c r="O489">
        <f t="shared" si="1140"/>
        <v>0</v>
      </c>
      <c r="P489">
        <f t="shared" si="1140"/>
        <v>0</v>
      </c>
      <c r="Q489">
        <f t="shared" si="1140"/>
        <v>0</v>
      </c>
      <c r="R489">
        <f t="shared" si="1140"/>
        <v>0</v>
      </c>
      <c r="S489">
        <f t="shared" si="1140"/>
        <v>0</v>
      </c>
      <c r="T489">
        <f t="shared" si="1140"/>
        <v>0</v>
      </c>
      <c r="U489">
        <f t="shared" si="1140"/>
        <v>0</v>
      </c>
      <c r="V489">
        <f t="shared" si="1140"/>
        <v>0</v>
      </c>
      <c r="W489">
        <f t="shared" si="1140"/>
        <v>0</v>
      </c>
      <c r="X489">
        <f t="shared" si="1140"/>
        <v>0</v>
      </c>
      <c r="Y489">
        <f t="shared" si="1140"/>
        <v>0</v>
      </c>
      <c r="Z489">
        <f t="shared" si="1140"/>
        <v>0</v>
      </c>
      <c r="AA489">
        <f t="shared" si="1140"/>
        <v>0</v>
      </c>
      <c r="AD489">
        <f t="shared" ref="AD489:AG489" si="1141">AD305</f>
        <v>0</v>
      </c>
      <c r="AE489">
        <f t="shared" si="1141"/>
        <v>0</v>
      </c>
      <c r="AF489">
        <f t="shared" si="1141"/>
        <v>0</v>
      </c>
      <c r="AG489" s="11">
        <f t="shared" si="1141"/>
        <v>0</v>
      </c>
      <c r="AK489" s="12" t="str">
        <f t="shared" ref="AK489:BD489" si="1142">AK305</f>
        <v>OoS low risk births that do not obtain Mat Cand</v>
      </c>
      <c r="AL489" s="30">
        <f t="shared" si="1142"/>
        <v>859585.19349999982</v>
      </c>
      <c r="AM489" s="500">
        <f t="shared" si="1142"/>
        <v>0</v>
      </c>
      <c r="AN489" s="11">
        <f t="shared" si="1142"/>
        <v>0</v>
      </c>
      <c r="AO489">
        <f t="shared" si="1142"/>
        <v>0</v>
      </c>
      <c r="AP489">
        <f t="shared" si="1142"/>
        <v>0</v>
      </c>
      <c r="AQ489">
        <f t="shared" si="1142"/>
        <v>0</v>
      </c>
      <c r="AR489">
        <f t="shared" si="1142"/>
        <v>0</v>
      </c>
      <c r="AS489">
        <f t="shared" si="1142"/>
        <v>0</v>
      </c>
      <c r="AT489">
        <f t="shared" si="1142"/>
        <v>0</v>
      </c>
      <c r="AU489">
        <f t="shared" si="1142"/>
        <v>0</v>
      </c>
      <c r="AV489">
        <f t="shared" si="1142"/>
        <v>0</v>
      </c>
      <c r="AW489">
        <f t="shared" si="1142"/>
        <v>0</v>
      </c>
      <c r="AX489">
        <f t="shared" si="1142"/>
        <v>0</v>
      </c>
      <c r="AY489">
        <f t="shared" si="1142"/>
        <v>0</v>
      </c>
      <c r="AZ489">
        <f t="shared" si="1142"/>
        <v>0</v>
      </c>
      <c r="BA489">
        <f t="shared" si="1142"/>
        <v>0</v>
      </c>
      <c r="BB489">
        <f t="shared" si="1142"/>
        <v>0</v>
      </c>
      <c r="BC489">
        <f t="shared" si="1142"/>
        <v>0</v>
      </c>
      <c r="BD489">
        <f t="shared" si="1142"/>
        <v>0</v>
      </c>
    </row>
    <row r="490" spans="1:56" x14ac:dyDescent="0.3">
      <c r="A490">
        <f t="shared" ref="A490:AA490" si="1143">A306</f>
        <v>0</v>
      </c>
      <c r="B490">
        <f t="shared" si="1143"/>
        <v>0</v>
      </c>
      <c r="C490">
        <f t="shared" si="1143"/>
        <v>0</v>
      </c>
      <c r="D490" s="11">
        <f t="shared" si="1143"/>
        <v>0</v>
      </c>
      <c r="E490">
        <f t="shared" si="1143"/>
        <v>0</v>
      </c>
      <c r="F490">
        <f t="shared" si="1143"/>
        <v>0</v>
      </c>
      <c r="G490">
        <f t="shared" si="1143"/>
        <v>0</v>
      </c>
      <c r="H490" s="59" t="str">
        <f t="shared" si="1143"/>
        <v>1-p1</v>
      </c>
      <c r="I490" s="20">
        <f t="shared" si="1143"/>
        <v>0.99019999999999997</v>
      </c>
      <c r="J490" s="52">
        <f t="shared" si="1143"/>
        <v>0</v>
      </c>
      <c r="K490" s="11">
        <f t="shared" si="1143"/>
        <v>0</v>
      </c>
      <c r="L490">
        <f t="shared" si="1143"/>
        <v>0</v>
      </c>
      <c r="M490">
        <f t="shared" si="1143"/>
        <v>0</v>
      </c>
      <c r="N490">
        <f t="shared" si="1143"/>
        <v>0</v>
      </c>
      <c r="O490">
        <f t="shared" si="1143"/>
        <v>0</v>
      </c>
      <c r="P490">
        <f t="shared" si="1143"/>
        <v>0</v>
      </c>
      <c r="Q490">
        <f t="shared" si="1143"/>
        <v>0</v>
      </c>
      <c r="R490">
        <f t="shared" si="1143"/>
        <v>0</v>
      </c>
      <c r="S490">
        <f t="shared" si="1143"/>
        <v>0</v>
      </c>
      <c r="T490">
        <f t="shared" si="1143"/>
        <v>0</v>
      </c>
      <c r="U490">
        <f t="shared" si="1143"/>
        <v>0</v>
      </c>
      <c r="V490">
        <f t="shared" si="1143"/>
        <v>0</v>
      </c>
      <c r="W490">
        <f t="shared" si="1143"/>
        <v>0</v>
      </c>
      <c r="X490">
        <f t="shared" si="1143"/>
        <v>0</v>
      </c>
      <c r="Y490">
        <f t="shared" si="1143"/>
        <v>0</v>
      </c>
      <c r="Z490">
        <f t="shared" si="1143"/>
        <v>0</v>
      </c>
      <c r="AA490">
        <f t="shared" si="1143"/>
        <v>0</v>
      </c>
      <c r="AD490">
        <f t="shared" ref="AD490:BD490" si="1144">AD306</f>
        <v>0</v>
      </c>
      <c r="AE490">
        <f t="shared" si="1144"/>
        <v>0</v>
      </c>
      <c r="AF490">
        <f t="shared" si="1144"/>
        <v>0</v>
      </c>
      <c r="AG490" s="11">
        <f t="shared" si="1144"/>
        <v>0</v>
      </c>
      <c r="AH490">
        <f t="shared" si="1144"/>
        <v>0</v>
      </c>
      <c r="AI490">
        <f t="shared" si="1144"/>
        <v>0</v>
      </c>
      <c r="AJ490">
        <f t="shared" si="1144"/>
        <v>0</v>
      </c>
      <c r="AK490" s="59" t="str">
        <f t="shared" si="1144"/>
        <v>1-p1</v>
      </c>
      <c r="AL490" s="20">
        <f t="shared" si="1144"/>
        <v>0.99019999999999997</v>
      </c>
      <c r="AM490" s="52">
        <f t="shared" si="1144"/>
        <v>0</v>
      </c>
      <c r="AN490" s="11">
        <f t="shared" si="1144"/>
        <v>0</v>
      </c>
      <c r="AO490">
        <f t="shared" si="1144"/>
        <v>0</v>
      </c>
      <c r="AP490">
        <f t="shared" si="1144"/>
        <v>0</v>
      </c>
      <c r="AQ490">
        <f t="shared" si="1144"/>
        <v>0</v>
      </c>
      <c r="AR490">
        <f t="shared" si="1144"/>
        <v>0</v>
      </c>
      <c r="AS490">
        <f t="shared" si="1144"/>
        <v>0</v>
      </c>
      <c r="AT490">
        <f t="shared" si="1144"/>
        <v>0</v>
      </c>
      <c r="AU490">
        <f t="shared" si="1144"/>
        <v>0</v>
      </c>
      <c r="AV490">
        <f t="shared" si="1144"/>
        <v>0</v>
      </c>
      <c r="AW490">
        <f t="shared" si="1144"/>
        <v>0</v>
      </c>
      <c r="AX490">
        <f t="shared" si="1144"/>
        <v>0</v>
      </c>
      <c r="AY490">
        <f t="shared" si="1144"/>
        <v>0</v>
      </c>
      <c r="AZ490">
        <f t="shared" si="1144"/>
        <v>0</v>
      </c>
      <c r="BA490">
        <f t="shared" si="1144"/>
        <v>0</v>
      </c>
      <c r="BB490">
        <f t="shared" si="1144"/>
        <v>0</v>
      </c>
      <c r="BC490">
        <f t="shared" si="1144"/>
        <v>0</v>
      </c>
      <c r="BD490">
        <f t="shared" si="1144"/>
        <v>0</v>
      </c>
    </row>
    <row r="491" spans="1:56" x14ac:dyDescent="0.3">
      <c r="A491">
        <f t="shared" ref="A491:L491" si="1145">A307</f>
        <v>0</v>
      </c>
      <c r="B491">
        <f t="shared" si="1145"/>
        <v>0</v>
      </c>
      <c r="C491">
        <f t="shared" si="1145"/>
        <v>0</v>
      </c>
      <c r="D491" s="11">
        <f t="shared" si="1145"/>
        <v>0</v>
      </c>
      <c r="E491">
        <f t="shared" si="1145"/>
        <v>0</v>
      </c>
      <c r="F491">
        <f t="shared" si="1145"/>
        <v>0</v>
      </c>
      <c r="G491">
        <f t="shared" si="1145"/>
        <v>0</v>
      </c>
      <c r="H491" s="11">
        <f t="shared" si="1145"/>
        <v>0</v>
      </c>
      <c r="I491">
        <f t="shared" si="1145"/>
        <v>0</v>
      </c>
      <c r="J491">
        <f t="shared" si="1145"/>
        <v>0</v>
      </c>
      <c r="K491" s="11">
        <f t="shared" si="1145"/>
        <v>0</v>
      </c>
      <c r="L491">
        <f t="shared" si="1145"/>
        <v>0</v>
      </c>
      <c r="N491" s="2" t="str">
        <f t="shared" ref="N491:AA491" si="1146">N307</f>
        <v>Not MA for RSV</v>
      </c>
      <c r="O491" s="62" t="str">
        <f t="shared" si="1146"/>
        <v>unknown</v>
      </c>
      <c r="P491">
        <f t="shared" si="1146"/>
        <v>0</v>
      </c>
      <c r="Q491">
        <f t="shared" si="1146"/>
        <v>0</v>
      </c>
      <c r="R491">
        <f t="shared" si="1146"/>
        <v>0</v>
      </c>
      <c r="S491">
        <f t="shared" si="1146"/>
        <v>0</v>
      </c>
      <c r="T491">
        <f t="shared" si="1146"/>
        <v>0</v>
      </c>
      <c r="U491">
        <f t="shared" si="1146"/>
        <v>0</v>
      </c>
      <c r="V491">
        <f t="shared" si="1146"/>
        <v>0</v>
      </c>
      <c r="W491">
        <f t="shared" si="1146"/>
        <v>0</v>
      </c>
      <c r="X491">
        <f t="shared" si="1146"/>
        <v>0</v>
      </c>
      <c r="Y491">
        <f t="shared" si="1146"/>
        <v>0</v>
      </c>
      <c r="Z491">
        <f t="shared" si="1146"/>
        <v>0</v>
      </c>
      <c r="AA491">
        <f t="shared" si="1146"/>
        <v>0</v>
      </c>
      <c r="AD491">
        <f t="shared" ref="AD491:AO491" si="1147">AD307</f>
        <v>0</v>
      </c>
      <c r="AE491">
        <f t="shared" si="1147"/>
        <v>0</v>
      </c>
      <c r="AF491">
        <f t="shared" si="1147"/>
        <v>0</v>
      </c>
      <c r="AG491" s="11">
        <f t="shared" si="1147"/>
        <v>0</v>
      </c>
      <c r="AH491">
        <f t="shared" si="1147"/>
        <v>0</v>
      </c>
      <c r="AI491">
        <f t="shared" si="1147"/>
        <v>0</v>
      </c>
      <c r="AJ491">
        <f t="shared" si="1147"/>
        <v>0</v>
      </c>
      <c r="AK491" s="11">
        <f t="shared" si="1147"/>
        <v>0</v>
      </c>
      <c r="AL491">
        <f t="shared" si="1147"/>
        <v>0</v>
      </c>
      <c r="AM491">
        <f t="shared" si="1147"/>
        <v>0</v>
      </c>
      <c r="AN491" s="11">
        <f t="shared" si="1147"/>
        <v>0</v>
      </c>
      <c r="AO491">
        <f t="shared" si="1147"/>
        <v>0</v>
      </c>
      <c r="AQ491" s="2" t="str">
        <f t="shared" ref="AQ491:BD491" si="1148">AQ307</f>
        <v>Not MA for RSV</v>
      </c>
      <c r="AR491" s="62" t="str">
        <f t="shared" si="1148"/>
        <v>unknown</v>
      </c>
      <c r="AS491">
        <f t="shared" si="1148"/>
        <v>0</v>
      </c>
      <c r="AT491">
        <f t="shared" si="1148"/>
        <v>0</v>
      </c>
      <c r="AU491">
        <f t="shared" si="1148"/>
        <v>0</v>
      </c>
      <c r="AV491">
        <f t="shared" si="1148"/>
        <v>0</v>
      </c>
      <c r="AW491">
        <f t="shared" si="1148"/>
        <v>0</v>
      </c>
      <c r="AX491">
        <f t="shared" si="1148"/>
        <v>0</v>
      </c>
      <c r="AY491">
        <f t="shared" si="1148"/>
        <v>0</v>
      </c>
      <c r="AZ491">
        <f t="shared" si="1148"/>
        <v>0</v>
      </c>
      <c r="BA491">
        <f t="shared" si="1148"/>
        <v>0</v>
      </c>
      <c r="BB491">
        <f t="shared" si="1148"/>
        <v>0</v>
      </c>
      <c r="BC491">
        <f t="shared" si="1148"/>
        <v>0</v>
      </c>
      <c r="BD491">
        <f t="shared" si="1148"/>
        <v>0</v>
      </c>
    </row>
    <row r="492" spans="1:56" x14ac:dyDescent="0.3">
      <c r="A492">
        <f t="shared" ref="A492:AA492" si="1149">A308</f>
        <v>0</v>
      </c>
      <c r="B492">
        <f t="shared" si="1149"/>
        <v>0</v>
      </c>
      <c r="C492">
        <f t="shared" si="1149"/>
        <v>0</v>
      </c>
      <c r="D492" s="11">
        <f t="shared" si="1149"/>
        <v>0</v>
      </c>
      <c r="E492">
        <f t="shared" si="1149"/>
        <v>0</v>
      </c>
      <c r="F492">
        <f t="shared" si="1149"/>
        <v>0</v>
      </c>
      <c r="G492">
        <f t="shared" si="1149"/>
        <v>0</v>
      </c>
      <c r="H492" s="11">
        <f t="shared" si="1149"/>
        <v>0</v>
      </c>
      <c r="I492">
        <f t="shared" si="1149"/>
        <v>0</v>
      </c>
      <c r="J492">
        <f t="shared" si="1149"/>
        <v>0</v>
      </c>
      <c r="K492" s="11">
        <f t="shared" si="1149"/>
        <v>0</v>
      </c>
      <c r="L492">
        <f t="shared" si="1149"/>
        <v>0</v>
      </c>
      <c r="M492">
        <f t="shared" si="1149"/>
        <v>0</v>
      </c>
      <c r="N492" s="16">
        <f t="shared" si="1149"/>
        <v>0</v>
      </c>
      <c r="O492">
        <f t="shared" si="1149"/>
        <v>0</v>
      </c>
      <c r="P492" s="17">
        <f t="shared" si="1149"/>
        <v>0</v>
      </c>
      <c r="Q492">
        <f t="shared" si="1149"/>
        <v>0</v>
      </c>
      <c r="R492">
        <f t="shared" si="1149"/>
        <v>0</v>
      </c>
      <c r="S492">
        <f t="shared" si="1149"/>
        <v>0</v>
      </c>
      <c r="U492">
        <f t="shared" si="1149"/>
        <v>0</v>
      </c>
      <c r="V492">
        <f t="shared" si="1149"/>
        <v>0</v>
      </c>
      <c r="W492">
        <f t="shared" si="1149"/>
        <v>0</v>
      </c>
      <c r="X492" s="29">
        <f t="shared" si="1149"/>
        <v>0</v>
      </c>
      <c r="Y492">
        <f t="shared" si="1149"/>
        <v>0</v>
      </c>
      <c r="Z492">
        <f t="shared" si="1149"/>
        <v>0</v>
      </c>
      <c r="AA492">
        <f t="shared" si="1149"/>
        <v>0</v>
      </c>
      <c r="AD492">
        <f t="shared" ref="AD492:AV492" si="1150">AD308</f>
        <v>0</v>
      </c>
      <c r="AE492">
        <f t="shared" si="1150"/>
        <v>0</v>
      </c>
      <c r="AF492">
        <f t="shared" si="1150"/>
        <v>0</v>
      </c>
      <c r="AG492" s="11">
        <f t="shared" si="1150"/>
        <v>0</v>
      </c>
      <c r="AH492">
        <f t="shared" si="1150"/>
        <v>0</v>
      </c>
      <c r="AI492">
        <f t="shared" si="1150"/>
        <v>0</v>
      </c>
      <c r="AJ492">
        <f t="shared" si="1150"/>
        <v>0</v>
      </c>
      <c r="AK492" s="11">
        <f t="shared" si="1150"/>
        <v>0</v>
      </c>
      <c r="AL492">
        <f t="shared" si="1150"/>
        <v>0</v>
      </c>
      <c r="AM492">
        <f t="shared" si="1150"/>
        <v>0</v>
      </c>
      <c r="AN492" s="11">
        <f t="shared" si="1150"/>
        <v>0</v>
      </c>
      <c r="AO492">
        <f t="shared" si="1150"/>
        <v>0</v>
      </c>
      <c r="AP492">
        <f t="shared" si="1150"/>
        <v>0</v>
      </c>
      <c r="AQ492" s="16">
        <f t="shared" si="1150"/>
        <v>0</v>
      </c>
      <c r="AR492">
        <f t="shared" si="1150"/>
        <v>0</v>
      </c>
      <c r="AS492" s="17">
        <f t="shared" si="1150"/>
        <v>0</v>
      </c>
      <c r="AT492">
        <f t="shared" si="1150"/>
        <v>0</v>
      </c>
      <c r="AU492">
        <f t="shared" si="1150"/>
        <v>0</v>
      </c>
      <c r="AV492">
        <f t="shared" si="1150"/>
        <v>0</v>
      </c>
      <c r="AX492">
        <f t="shared" ref="AX492:BD492" si="1151">AX308</f>
        <v>0</v>
      </c>
      <c r="AY492">
        <f t="shared" si="1151"/>
        <v>0</v>
      </c>
      <c r="AZ492">
        <f t="shared" si="1151"/>
        <v>0</v>
      </c>
      <c r="BA492" s="29">
        <f t="shared" si="1151"/>
        <v>0</v>
      </c>
      <c r="BB492">
        <f t="shared" si="1151"/>
        <v>0</v>
      </c>
      <c r="BC492">
        <f t="shared" si="1151"/>
        <v>0</v>
      </c>
      <c r="BD492">
        <f t="shared" si="1151"/>
        <v>0</v>
      </c>
    </row>
    <row r="493" spans="1:56" x14ac:dyDescent="0.3">
      <c r="A493">
        <f t="shared" ref="A493:AA493" si="1152">A309</f>
        <v>0</v>
      </c>
      <c r="B493">
        <f t="shared" si="1152"/>
        <v>0</v>
      </c>
      <c r="C493">
        <f t="shared" si="1152"/>
        <v>0</v>
      </c>
      <c r="D493" s="11">
        <f t="shared" si="1152"/>
        <v>0</v>
      </c>
      <c r="E493">
        <f t="shared" si="1152"/>
        <v>0</v>
      </c>
      <c r="F493">
        <f t="shared" si="1152"/>
        <v>0</v>
      </c>
      <c r="G493">
        <f t="shared" si="1152"/>
        <v>0</v>
      </c>
      <c r="H493" s="11">
        <f t="shared" si="1152"/>
        <v>0</v>
      </c>
      <c r="I493">
        <f t="shared" si="1152"/>
        <v>0</v>
      </c>
      <c r="J493">
        <f t="shared" si="1152"/>
        <v>0</v>
      </c>
      <c r="K493" s="11">
        <f t="shared" si="1152"/>
        <v>0</v>
      </c>
      <c r="L493">
        <f t="shared" si="1152"/>
        <v>0</v>
      </c>
      <c r="M493">
        <f t="shared" si="1152"/>
        <v>0</v>
      </c>
      <c r="N493" s="11">
        <f t="shared" si="1152"/>
        <v>0</v>
      </c>
      <c r="O493" s="13">
        <f t="shared" si="1152"/>
        <v>0</v>
      </c>
      <c r="P493" s="13">
        <f t="shared" si="1152"/>
        <v>0</v>
      </c>
      <c r="Q493">
        <f t="shared" si="1152"/>
        <v>0</v>
      </c>
      <c r="R493">
        <f t="shared" si="1152"/>
        <v>0</v>
      </c>
      <c r="S493" s="437" t="str">
        <f t="shared" si="1152"/>
        <v>base</v>
      </c>
      <c r="T493" s="449" t="str">
        <f t="shared" si="1152"/>
        <v>low</v>
      </c>
      <c r="U493" s="449" t="str">
        <f t="shared" si="1152"/>
        <v>high</v>
      </c>
      <c r="V493">
        <f t="shared" si="1152"/>
        <v>0</v>
      </c>
      <c r="W493" s="37">
        <f t="shared" si="1152"/>
        <v>0</v>
      </c>
      <c r="X493" s="20">
        <f t="shared" si="1152"/>
        <v>0</v>
      </c>
      <c r="Y493">
        <f t="shared" si="1152"/>
        <v>0</v>
      </c>
      <c r="Z493">
        <f t="shared" si="1152"/>
        <v>0</v>
      </c>
      <c r="AA493">
        <f t="shared" si="1152"/>
        <v>0</v>
      </c>
      <c r="AD493">
        <f t="shared" ref="AD493:BD493" si="1153">AD309</f>
        <v>0</v>
      </c>
      <c r="AE493">
        <f t="shared" si="1153"/>
        <v>0</v>
      </c>
      <c r="AF493">
        <f t="shared" si="1153"/>
        <v>0</v>
      </c>
      <c r="AG493" s="11">
        <f t="shared" si="1153"/>
        <v>0</v>
      </c>
      <c r="AH493">
        <f t="shared" si="1153"/>
        <v>0</v>
      </c>
      <c r="AI493">
        <f t="shared" si="1153"/>
        <v>0</v>
      </c>
      <c r="AJ493">
        <f t="shared" si="1153"/>
        <v>0</v>
      </c>
      <c r="AK493" s="11">
        <f t="shared" si="1153"/>
        <v>0</v>
      </c>
      <c r="AL493">
        <f t="shared" si="1153"/>
        <v>0</v>
      </c>
      <c r="AM493">
        <f t="shared" si="1153"/>
        <v>0</v>
      </c>
      <c r="AN493" s="11">
        <f t="shared" si="1153"/>
        <v>0</v>
      </c>
      <c r="AO493">
        <f t="shared" si="1153"/>
        <v>0</v>
      </c>
      <c r="AP493">
        <f t="shared" si="1153"/>
        <v>0</v>
      </c>
      <c r="AQ493" s="11">
        <f t="shared" si="1153"/>
        <v>0</v>
      </c>
      <c r="AR493" s="13">
        <f t="shared" si="1153"/>
        <v>0</v>
      </c>
      <c r="AS493" s="13">
        <f t="shared" si="1153"/>
        <v>0</v>
      </c>
      <c r="AT493">
        <f t="shared" si="1153"/>
        <v>0</v>
      </c>
      <c r="AU493">
        <f t="shared" si="1153"/>
        <v>0</v>
      </c>
      <c r="AV493" s="684" t="str">
        <f t="shared" si="1153"/>
        <v>base</v>
      </c>
      <c r="AW493" s="449" t="str">
        <f t="shared" si="1153"/>
        <v>low</v>
      </c>
      <c r="AX493" s="449" t="str">
        <f t="shared" si="1153"/>
        <v>high</v>
      </c>
      <c r="AY493">
        <f t="shared" si="1153"/>
        <v>0</v>
      </c>
      <c r="AZ493" s="37">
        <f t="shared" si="1153"/>
        <v>0</v>
      </c>
      <c r="BA493" s="20">
        <f t="shared" si="1153"/>
        <v>0</v>
      </c>
      <c r="BB493">
        <f t="shared" si="1153"/>
        <v>0</v>
      </c>
      <c r="BC493">
        <f t="shared" si="1153"/>
        <v>0</v>
      </c>
      <c r="BD493">
        <f t="shared" si="1153"/>
        <v>0</v>
      </c>
    </row>
    <row r="494" spans="1:56" x14ac:dyDescent="0.3">
      <c r="A494">
        <f t="shared" ref="A494:AA494" si="1154">A310</f>
        <v>0</v>
      </c>
      <c r="B494">
        <f t="shared" si="1154"/>
        <v>0</v>
      </c>
      <c r="C494">
        <f t="shared" si="1154"/>
        <v>0</v>
      </c>
      <c r="D494" s="11">
        <f t="shared" si="1154"/>
        <v>0</v>
      </c>
      <c r="E494">
        <f t="shared" si="1154"/>
        <v>0</v>
      </c>
      <c r="F494">
        <f t="shared" si="1154"/>
        <v>0</v>
      </c>
      <c r="G494">
        <f t="shared" si="1154"/>
        <v>0</v>
      </c>
      <c r="H494" s="11">
        <f t="shared" si="1154"/>
        <v>0</v>
      </c>
      <c r="I494">
        <f t="shared" si="1154"/>
        <v>0</v>
      </c>
      <c r="J494">
        <f t="shared" si="1154"/>
        <v>0</v>
      </c>
      <c r="K494" s="59" t="str">
        <f t="shared" si="1154"/>
        <v>1-p3</v>
      </c>
      <c r="L494" s="67">
        <f t="shared" si="1154"/>
        <v>1</v>
      </c>
      <c r="M494" s="438">
        <f t="shared" si="1154"/>
        <v>0</v>
      </c>
      <c r="N494" s="11">
        <f t="shared" si="1154"/>
        <v>0</v>
      </c>
      <c r="O494">
        <f t="shared" si="1154"/>
        <v>0</v>
      </c>
      <c r="P494">
        <f t="shared" si="1154"/>
        <v>0</v>
      </c>
      <c r="Q494">
        <f t="shared" si="1154"/>
        <v>0</v>
      </c>
      <c r="R494" s="12" t="str">
        <f t="shared" si="1154"/>
        <v>Outpatient</v>
      </c>
      <c r="S494" s="33">
        <f t="shared" si="1154"/>
        <v>111084.06159757718</v>
      </c>
      <c r="T494" s="450">
        <f t="shared" si="1154"/>
        <v>123707.25041548369</v>
      </c>
      <c r="U494" s="450">
        <f t="shared" si="1154"/>
        <v>98460.872779670695</v>
      </c>
      <c r="V494">
        <f t="shared" si="1154"/>
        <v>0</v>
      </c>
      <c r="W494" s="69">
        <f t="shared" si="1154"/>
        <v>0</v>
      </c>
      <c r="X494">
        <f t="shared" si="1154"/>
        <v>0</v>
      </c>
      <c r="Y494">
        <f t="shared" si="1154"/>
        <v>0</v>
      </c>
      <c r="Z494">
        <f t="shared" si="1154"/>
        <v>0</v>
      </c>
      <c r="AA494">
        <f t="shared" si="1154"/>
        <v>0</v>
      </c>
      <c r="AD494">
        <f t="shared" ref="AD494:BD494" si="1155">AD310</f>
        <v>0</v>
      </c>
      <c r="AE494">
        <f t="shared" si="1155"/>
        <v>0</v>
      </c>
      <c r="AF494">
        <f t="shared" si="1155"/>
        <v>0</v>
      </c>
      <c r="AG494" s="11">
        <f t="shared" si="1155"/>
        <v>0</v>
      </c>
      <c r="AH494">
        <f t="shared" si="1155"/>
        <v>0</v>
      </c>
      <c r="AI494">
        <f t="shared" si="1155"/>
        <v>0</v>
      </c>
      <c r="AJ494">
        <f t="shared" si="1155"/>
        <v>0</v>
      </c>
      <c r="AK494" s="11">
        <f t="shared" si="1155"/>
        <v>0</v>
      </c>
      <c r="AL494">
        <f t="shared" si="1155"/>
        <v>0</v>
      </c>
      <c r="AM494">
        <f t="shared" si="1155"/>
        <v>0</v>
      </c>
      <c r="AN494" s="59" t="str">
        <f t="shared" si="1155"/>
        <v>1-p3</v>
      </c>
      <c r="AO494" s="67">
        <f t="shared" si="1155"/>
        <v>1</v>
      </c>
      <c r="AP494" s="500">
        <f t="shared" si="1155"/>
        <v>0</v>
      </c>
      <c r="AQ494" s="11">
        <f t="shared" si="1155"/>
        <v>0</v>
      </c>
      <c r="AR494">
        <f t="shared" si="1155"/>
        <v>0</v>
      </c>
      <c r="AS494">
        <f t="shared" si="1155"/>
        <v>0</v>
      </c>
      <c r="AT494">
        <f t="shared" si="1155"/>
        <v>0</v>
      </c>
      <c r="AU494" s="12" t="str">
        <f t="shared" si="1155"/>
        <v>Outpatient</v>
      </c>
      <c r="AV494" s="33">
        <f t="shared" si="1155"/>
        <v>45173.896924883506</v>
      </c>
      <c r="AW494" s="450">
        <f t="shared" si="1155"/>
        <v>50307.294302711183</v>
      </c>
      <c r="AX494" s="450">
        <f t="shared" si="1155"/>
        <v>40040.499547055842</v>
      </c>
      <c r="AY494">
        <f t="shared" si="1155"/>
        <v>0</v>
      </c>
      <c r="AZ494" s="69">
        <f t="shared" si="1155"/>
        <v>0</v>
      </c>
      <c r="BA494">
        <f t="shared" si="1155"/>
        <v>0</v>
      </c>
      <c r="BB494">
        <f t="shared" si="1155"/>
        <v>0</v>
      </c>
      <c r="BC494">
        <f t="shared" si="1155"/>
        <v>0</v>
      </c>
      <c r="BD494">
        <f t="shared" si="1155"/>
        <v>0</v>
      </c>
    </row>
    <row r="495" spans="1:56" x14ac:dyDescent="0.3">
      <c r="A495">
        <f t="shared" ref="A495:G495" si="1156">A311</f>
        <v>0</v>
      </c>
      <c r="B495">
        <f t="shared" si="1156"/>
        <v>0</v>
      </c>
      <c r="C495">
        <f t="shared" si="1156"/>
        <v>0</v>
      </c>
      <c r="D495" s="11">
        <f t="shared" si="1156"/>
        <v>0</v>
      </c>
      <c r="E495">
        <f t="shared" si="1156"/>
        <v>0</v>
      </c>
      <c r="F495">
        <f t="shared" si="1156"/>
        <v>0</v>
      </c>
      <c r="G495">
        <f t="shared" si="1156"/>
        <v>0</v>
      </c>
      <c r="H495" s="11"/>
      <c r="K495" s="15" t="str">
        <f t="shared" ref="K495:AA495" si="1157">K311</f>
        <v>do not obtain an immunization product</v>
      </c>
      <c r="L495" s="28">
        <f t="shared" si="1157"/>
        <v>859585.19349999982</v>
      </c>
      <c r="M495">
        <f t="shared" si="1157"/>
        <v>0</v>
      </c>
      <c r="N495" s="59"/>
      <c r="O495" s="50"/>
      <c r="P495">
        <f t="shared" si="1157"/>
        <v>0</v>
      </c>
      <c r="Q495" s="16">
        <f t="shared" si="1157"/>
        <v>0</v>
      </c>
      <c r="R495" s="2" t="str">
        <f t="shared" si="1157"/>
        <v>p5c</v>
      </c>
      <c r="S495" s="61">
        <f t="shared" si="1157"/>
        <v>0.12922984532257092</v>
      </c>
      <c r="T495" s="451">
        <f t="shared" si="1157"/>
        <v>0.12922984532257092</v>
      </c>
      <c r="U495" s="451">
        <f t="shared" si="1157"/>
        <v>0.12922984532257092</v>
      </c>
      <c r="V495">
        <f t="shared" si="1157"/>
        <v>0</v>
      </c>
      <c r="W495">
        <f t="shared" si="1157"/>
        <v>0</v>
      </c>
      <c r="X495">
        <f t="shared" si="1157"/>
        <v>0</v>
      </c>
      <c r="Y495">
        <f t="shared" si="1157"/>
        <v>0</v>
      </c>
      <c r="Z495">
        <f t="shared" si="1157"/>
        <v>0</v>
      </c>
      <c r="AA495">
        <f t="shared" si="1157"/>
        <v>0</v>
      </c>
      <c r="AD495">
        <f t="shared" ref="AD495:AJ495" si="1158">AD311</f>
        <v>0</v>
      </c>
      <c r="AE495">
        <f t="shared" si="1158"/>
        <v>0</v>
      </c>
      <c r="AF495">
        <f t="shared" si="1158"/>
        <v>0</v>
      </c>
      <c r="AG495" s="11">
        <f t="shared" si="1158"/>
        <v>0</v>
      </c>
      <c r="AH495">
        <f t="shared" si="1158"/>
        <v>0</v>
      </c>
      <c r="AI495">
        <f t="shared" si="1158"/>
        <v>0</v>
      </c>
      <c r="AJ495">
        <f t="shared" si="1158"/>
        <v>0</v>
      </c>
      <c r="AK495" s="11"/>
      <c r="AN495" s="15" t="str">
        <f t="shared" ref="AN495:AP495" si="1159">AN311</f>
        <v>do not obtain an immunization product</v>
      </c>
      <c r="AO495" s="28">
        <f t="shared" si="1159"/>
        <v>859585.19349999982</v>
      </c>
      <c r="AP495">
        <f t="shared" si="1159"/>
        <v>0</v>
      </c>
      <c r="AQ495" s="59"/>
      <c r="AR495" s="50"/>
      <c r="AS495">
        <f t="shared" ref="AS495:BD495" si="1160">AS311</f>
        <v>0</v>
      </c>
      <c r="AT495" s="16">
        <f t="shared" si="1160"/>
        <v>0</v>
      </c>
      <c r="AU495" s="2" t="str">
        <f t="shared" si="1160"/>
        <v>p5c</v>
      </c>
      <c r="AV495" s="61">
        <f t="shared" si="1160"/>
        <v>5.2553135240670609E-2</v>
      </c>
      <c r="AW495" s="451">
        <f t="shared" si="1160"/>
        <v>5.2553135240670609E-2</v>
      </c>
      <c r="AX495" s="451">
        <f t="shared" si="1160"/>
        <v>5.2553135240670609E-2</v>
      </c>
      <c r="AY495">
        <f t="shared" si="1160"/>
        <v>0</v>
      </c>
      <c r="AZ495">
        <f t="shared" si="1160"/>
        <v>0</v>
      </c>
      <c r="BA495">
        <f t="shared" si="1160"/>
        <v>0</v>
      </c>
      <c r="BB495">
        <f t="shared" si="1160"/>
        <v>0</v>
      </c>
      <c r="BC495">
        <f t="shared" si="1160"/>
        <v>0</v>
      </c>
      <c r="BD495">
        <f t="shared" si="1160"/>
        <v>0</v>
      </c>
    </row>
    <row r="496" spans="1:56" x14ac:dyDescent="0.3">
      <c r="A496">
        <f t="shared" ref="A496:AA496" si="1161">A312</f>
        <v>0</v>
      </c>
      <c r="B496">
        <f t="shared" si="1161"/>
        <v>0</v>
      </c>
      <c r="C496">
        <f t="shared" si="1161"/>
        <v>0</v>
      </c>
      <c r="D496" s="11">
        <f t="shared" si="1161"/>
        <v>0</v>
      </c>
      <c r="E496">
        <f t="shared" si="1161"/>
        <v>0</v>
      </c>
      <c r="F496">
        <f t="shared" si="1161"/>
        <v>0</v>
      </c>
      <c r="G496">
        <f t="shared" si="1161"/>
        <v>0</v>
      </c>
      <c r="H496" s="11">
        <f t="shared" si="1161"/>
        <v>0</v>
      </c>
      <c r="I496">
        <f t="shared" si="1161"/>
        <v>0</v>
      </c>
      <c r="J496">
        <f t="shared" si="1161"/>
        <v>0</v>
      </c>
      <c r="K496" s="14"/>
      <c r="L496" s="58"/>
      <c r="M496">
        <f t="shared" si="1161"/>
        <v>0</v>
      </c>
      <c r="N496" s="59"/>
      <c r="O496" s="50"/>
      <c r="P496">
        <f t="shared" si="1161"/>
        <v>0</v>
      </c>
      <c r="Q496" s="11">
        <f t="shared" si="1161"/>
        <v>0</v>
      </c>
      <c r="R496" s="2">
        <f t="shared" si="1161"/>
        <v>0</v>
      </c>
      <c r="S496">
        <f t="shared" si="1161"/>
        <v>0</v>
      </c>
      <c r="T496" s="452">
        <f t="shared" si="1161"/>
        <v>0</v>
      </c>
      <c r="U496" s="452">
        <f t="shared" si="1161"/>
        <v>0</v>
      </c>
      <c r="V496">
        <f t="shared" si="1161"/>
        <v>0</v>
      </c>
      <c r="W496">
        <f t="shared" si="1161"/>
        <v>0</v>
      </c>
      <c r="X496">
        <f t="shared" si="1161"/>
        <v>0</v>
      </c>
      <c r="Y496">
        <f t="shared" si="1161"/>
        <v>0</v>
      </c>
      <c r="Z496">
        <f t="shared" si="1161"/>
        <v>0</v>
      </c>
      <c r="AA496">
        <f t="shared" si="1161"/>
        <v>0</v>
      </c>
      <c r="AD496">
        <f t="shared" ref="AD496:AM496" si="1162">AD312</f>
        <v>0</v>
      </c>
      <c r="AE496">
        <f t="shared" si="1162"/>
        <v>0</v>
      </c>
      <c r="AF496">
        <f t="shared" si="1162"/>
        <v>0</v>
      </c>
      <c r="AG496" s="11">
        <f t="shared" si="1162"/>
        <v>0</v>
      </c>
      <c r="AH496">
        <f t="shared" si="1162"/>
        <v>0</v>
      </c>
      <c r="AI496">
        <f t="shared" si="1162"/>
        <v>0</v>
      </c>
      <c r="AJ496">
        <f t="shared" si="1162"/>
        <v>0</v>
      </c>
      <c r="AK496" s="11">
        <f t="shared" si="1162"/>
        <v>0</v>
      </c>
      <c r="AL496">
        <f t="shared" si="1162"/>
        <v>0</v>
      </c>
      <c r="AM496">
        <f t="shared" si="1162"/>
        <v>0</v>
      </c>
      <c r="AN496" s="14"/>
      <c r="AO496" s="58"/>
      <c r="AP496">
        <f t="shared" ref="AP496" si="1163">AP312</f>
        <v>0</v>
      </c>
      <c r="AQ496" s="59"/>
      <c r="AR496" s="50"/>
      <c r="AS496">
        <f t="shared" ref="AS496:BD496" si="1164">AS312</f>
        <v>0</v>
      </c>
      <c r="AT496" s="11">
        <f t="shared" si="1164"/>
        <v>0</v>
      </c>
      <c r="AU496" s="2">
        <f t="shared" si="1164"/>
        <v>0</v>
      </c>
      <c r="AV496">
        <f t="shared" si="1164"/>
        <v>0</v>
      </c>
      <c r="AW496" s="452">
        <f t="shared" si="1164"/>
        <v>0</v>
      </c>
      <c r="AX496" s="452">
        <f t="shared" si="1164"/>
        <v>0</v>
      </c>
      <c r="AY496">
        <f t="shared" si="1164"/>
        <v>0</v>
      </c>
      <c r="AZ496">
        <f t="shared" si="1164"/>
        <v>0</v>
      </c>
      <c r="BA496">
        <f t="shared" si="1164"/>
        <v>0</v>
      </c>
      <c r="BB496">
        <f t="shared" si="1164"/>
        <v>0</v>
      </c>
      <c r="BC496">
        <f t="shared" si="1164"/>
        <v>0</v>
      </c>
      <c r="BD496">
        <f t="shared" si="1164"/>
        <v>0</v>
      </c>
    </row>
    <row r="497" spans="1:56" x14ac:dyDescent="0.3">
      <c r="A497">
        <f t="shared" ref="A497:AA497" si="1165">A313</f>
        <v>0</v>
      </c>
      <c r="B497">
        <f t="shared" si="1165"/>
        <v>0</v>
      </c>
      <c r="C497">
        <f t="shared" si="1165"/>
        <v>0</v>
      </c>
      <c r="D497" s="11">
        <f t="shared" si="1165"/>
        <v>0</v>
      </c>
      <c r="E497">
        <f t="shared" si="1165"/>
        <v>0</v>
      </c>
      <c r="F497">
        <f t="shared" si="1165"/>
        <v>0</v>
      </c>
      <c r="G497">
        <f t="shared" si="1165"/>
        <v>0</v>
      </c>
      <c r="H497" s="11">
        <f t="shared" si="1165"/>
        <v>0</v>
      </c>
      <c r="I497">
        <f t="shared" si="1165"/>
        <v>0</v>
      </c>
      <c r="J497">
        <f t="shared" si="1165"/>
        <v>0</v>
      </c>
      <c r="M497">
        <f t="shared" si="1165"/>
        <v>0</v>
      </c>
      <c r="N497" s="18" t="str">
        <f t="shared" si="1165"/>
        <v>sum p5a-c</v>
      </c>
      <c r="O497" s="50">
        <f t="shared" si="1165"/>
        <v>0.18597458567567429</v>
      </c>
      <c r="P497" s="438">
        <f t="shared" si="1165"/>
        <v>0</v>
      </c>
      <c r="Q497" s="18">
        <f t="shared" si="1165"/>
        <v>0</v>
      </c>
      <c r="R497" s="12" t="str">
        <f t="shared" si="1165"/>
        <v>ED</v>
      </c>
      <c r="S497" s="33">
        <f t="shared" si="1165"/>
        <v>38515.894010380107</v>
      </c>
      <c r="T497" s="450">
        <f t="shared" si="1165"/>
        <v>42892.700147923308</v>
      </c>
      <c r="U497" s="450">
        <f t="shared" si="1165"/>
        <v>34139.087872836913</v>
      </c>
      <c r="V497">
        <f t="shared" si="1165"/>
        <v>0</v>
      </c>
      <c r="W497">
        <f t="shared" si="1165"/>
        <v>0</v>
      </c>
      <c r="X497">
        <f t="shared" si="1165"/>
        <v>0</v>
      </c>
      <c r="Y497">
        <f t="shared" si="1165"/>
        <v>0</v>
      </c>
      <c r="Z497">
        <f t="shared" si="1165"/>
        <v>0</v>
      </c>
      <c r="AA497">
        <f t="shared" si="1165"/>
        <v>0</v>
      </c>
      <c r="AD497">
        <f t="shared" ref="AD497:AM497" si="1166">AD313</f>
        <v>0</v>
      </c>
      <c r="AE497">
        <f t="shared" si="1166"/>
        <v>0</v>
      </c>
      <c r="AF497">
        <f t="shared" si="1166"/>
        <v>0</v>
      </c>
      <c r="AG497" s="11">
        <f t="shared" si="1166"/>
        <v>0</v>
      </c>
      <c r="AH497">
        <f t="shared" si="1166"/>
        <v>0</v>
      </c>
      <c r="AI497">
        <f t="shared" si="1166"/>
        <v>0</v>
      </c>
      <c r="AJ497">
        <f t="shared" si="1166"/>
        <v>0</v>
      </c>
      <c r="AK497" s="11">
        <f t="shared" si="1166"/>
        <v>0</v>
      </c>
      <c r="AL497">
        <f t="shared" si="1166"/>
        <v>0</v>
      </c>
      <c r="AM497">
        <f t="shared" si="1166"/>
        <v>0</v>
      </c>
      <c r="AP497">
        <f t="shared" ref="AP497:BD497" si="1167">AP313</f>
        <v>0</v>
      </c>
      <c r="AQ497" s="18" t="str">
        <f t="shared" si="1167"/>
        <v>sum p5a-c</v>
      </c>
      <c r="AR497" s="50">
        <f t="shared" si="1167"/>
        <v>0.18597458567567429</v>
      </c>
      <c r="AS497" s="500">
        <f t="shared" si="1167"/>
        <v>0</v>
      </c>
      <c r="AT497" s="18">
        <f t="shared" si="1167"/>
        <v>0</v>
      </c>
      <c r="AU497" s="12" t="str">
        <f t="shared" si="1167"/>
        <v>ED</v>
      </c>
      <c r="AV497" s="33">
        <f t="shared" si="1167"/>
        <v>17964.76900115249</v>
      </c>
      <c r="AW497" s="450">
        <f t="shared" si="1167"/>
        <v>20006.22002401073</v>
      </c>
      <c r="AX497" s="450">
        <f t="shared" si="1167"/>
        <v>15923.317978294255</v>
      </c>
      <c r="AY497">
        <f t="shared" si="1167"/>
        <v>0</v>
      </c>
      <c r="AZ497">
        <f t="shared" si="1167"/>
        <v>0</v>
      </c>
      <c r="BA497">
        <f t="shared" si="1167"/>
        <v>0</v>
      </c>
      <c r="BB497">
        <f t="shared" si="1167"/>
        <v>0</v>
      </c>
      <c r="BC497">
        <f t="shared" si="1167"/>
        <v>0</v>
      </c>
      <c r="BD497">
        <f t="shared" si="1167"/>
        <v>0</v>
      </c>
    </row>
    <row r="498" spans="1:56" x14ac:dyDescent="0.3">
      <c r="A498">
        <f t="shared" ref="A498:K498" si="1168">A314</f>
        <v>0</v>
      </c>
      <c r="B498">
        <f t="shared" si="1168"/>
        <v>0</v>
      </c>
      <c r="C498">
        <f t="shared" si="1168"/>
        <v>0</v>
      </c>
      <c r="D498" s="11">
        <f t="shared" si="1168"/>
        <v>0</v>
      </c>
      <c r="E498">
        <f t="shared" si="1168"/>
        <v>0</v>
      </c>
      <c r="F498">
        <f t="shared" si="1168"/>
        <v>0</v>
      </c>
      <c r="G498">
        <f t="shared" si="1168"/>
        <v>0</v>
      </c>
      <c r="H498" s="11">
        <f t="shared" si="1168"/>
        <v>0</v>
      </c>
      <c r="I498">
        <f t="shared" si="1168"/>
        <v>0</v>
      </c>
      <c r="J498">
        <f t="shared" si="1168"/>
        <v>0</v>
      </c>
      <c r="K498">
        <f t="shared" si="1168"/>
        <v>0</v>
      </c>
      <c r="N498" s="2" t="str">
        <f t="shared" ref="N498:AA498" si="1169">N314</f>
        <v>Medically Attended for RSV</v>
      </c>
      <c r="O498" s="54">
        <f t="shared" si="1169"/>
        <v>159861.00021410678</v>
      </c>
      <c r="P498">
        <f t="shared" si="1169"/>
        <v>0</v>
      </c>
      <c r="Q498" s="11">
        <f t="shared" si="1169"/>
        <v>0</v>
      </c>
      <c r="R498" s="2" t="str">
        <f t="shared" si="1169"/>
        <v>p5b</v>
      </c>
      <c r="S498" s="61">
        <f t="shared" si="1169"/>
        <v>4.4807535427121237E-2</v>
      </c>
      <c r="T498" s="451">
        <f t="shared" si="1169"/>
        <v>4.4807535427121237E-2</v>
      </c>
      <c r="U498" s="451">
        <f t="shared" si="1169"/>
        <v>4.4807535427121237E-2</v>
      </c>
      <c r="V498">
        <f t="shared" si="1169"/>
        <v>0</v>
      </c>
      <c r="W498">
        <f t="shared" si="1169"/>
        <v>0</v>
      </c>
      <c r="X498">
        <f t="shared" si="1169"/>
        <v>0</v>
      </c>
      <c r="Y498">
        <f t="shared" si="1169"/>
        <v>0</v>
      </c>
      <c r="Z498">
        <f t="shared" si="1169"/>
        <v>0</v>
      </c>
      <c r="AA498">
        <f t="shared" si="1169"/>
        <v>0</v>
      </c>
      <c r="AD498">
        <f t="shared" ref="AD498:AN498" si="1170">AD314</f>
        <v>0</v>
      </c>
      <c r="AE498">
        <f t="shared" si="1170"/>
        <v>0</v>
      </c>
      <c r="AF498">
        <f t="shared" si="1170"/>
        <v>0</v>
      </c>
      <c r="AG498" s="11">
        <f t="shared" si="1170"/>
        <v>0</v>
      </c>
      <c r="AH498">
        <f t="shared" si="1170"/>
        <v>0</v>
      </c>
      <c r="AI498">
        <f t="shared" si="1170"/>
        <v>0</v>
      </c>
      <c r="AJ498">
        <f t="shared" si="1170"/>
        <v>0</v>
      </c>
      <c r="AK498" s="11">
        <f t="shared" si="1170"/>
        <v>0</v>
      </c>
      <c r="AL498">
        <f t="shared" si="1170"/>
        <v>0</v>
      </c>
      <c r="AM498">
        <f t="shared" si="1170"/>
        <v>0</v>
      </c>
      <c r="AN498">
        <f t="shared" si="1170"/>
        <v>0</v>
      </c>
      <c r="AQ498" s="2" t="str">
        <f t="shared" ref="AQ498:BD498" si="1171">AQ314</f>
        <v>Medically Attended for RSV</v>
      </c>
      <c r="AR498" s="54">
        <f t="shared" si="1171"/>
        <v>65613.849509192005</v>
      </c>
      <c r="AS498">
        <f t="shared" si="1171"/>
        <v>0</v>
      </c>
      <c r="AT498" s="11">
        <f t="shared" si="1171"/>
        <v>0</v>
      </c>
      <c r="AU498" s="2" t="str">
        <f t="shared" si="1171"/>
        <v>p5b</v>
      </c>
      <c r="AV498" s="61">
        <f t="shared" si="1171"/>
        <v>2.0899346727931388E-2</v>
      </c>
      <c r="AW498" s="451">
        <f t="shared" si="1171"/>
        <v>2.0899346727931388E-2</v>
      </c>
      <c r="AX498" s="451">
        <f t="shared" si="1171"/>
        <v>2.0899346727931388E-2</v>
      </c>
      <c r="AY498">
        <f t="shared" si="1171"/>
        <v>0</v>
      </c>
      <c r="AZ498">
        <f t="shared" si="1171"/>
        <v>0</v>
      </c>
      <c r="BA498">
        <f t="shared" si="1171"/>
        <v>0</v>
      </c>
      <c r="BB498">
        <f t="shared" si="1171"/>
        <v>0</v>
      </c>
      <c r="BC498">
        <f t="shared" si="1171"/>
        <v>0</v>
      </c>
      <c r="BD498">
        <f t="shared" si="1171"/>
        <v>0</v>
      </c>
    </row>
    <row r="499" spans="1:56" x14ac:dyDescent="0.3">
      <c r="A499">
        <f t="shared" ref="A499:AA499" si="1172">A315</f>
        <v>0</v>
      </c>
      <c r="B499">
        <f t="shared" si="1172"/>
        <v>0</v>
      </c>
      <c r="C499">
        <f t="shared" si="1172"/>
        <v>0</v>
      </c>
      <c r="D499" s="11">
        <f t="shared" si="1172"/>
        <v>0</v>
      </c>
      <c r="E499">
        <f t="shared" si="1172"/>
        <v>0</v>
      </c>
      <c r="F499">
        <f t="shared" si="1172"/>
        <v>0</v>
      </c>
      <c r="G499">
        <f t="shared" si="1172"/>
        <v>0</v>
      </c>
      <c r="H499" s="11">
        <f t="shared" si="1172"/>
        <v>0</v>
      </c>
      <c r="I499">
        <f t="shared" si="1172"/>
        <v>0</v>
      </c>
      <c r="J499">
        <f t="shared" si="1172"/>
        <v>0</v>
      </c>
      <c r="K499">
        <f t="shared" si="1172"/>
        <v>0</v>
      </c>
      <c r="L499">
        <f t="shared" si="1172"/>
        <v>0</v>
      </c>
      <c r="M499">
        <f t="shared" si="1172"/>
        <v>0</v>
      </c>
      <c r="N499" s="14"/>
      <c r="O499" s="28"/>
      <c r="P499">
        <f t="shared" si="1172"/>
        <v>0</v>
      </c>
      <c r="Q499" s="11">
        <f t="shared" si="1172"/>
        <v>0</v>
      </c>
      <c r="R499" s="2">
        <f t="shared" si="1172"/>
        <v>0</v>
      </c>
      <c r="S499">
        <f t="shared" si="1172"/>
        <v>0</v>
      </c>
      <c r="T499" s="452">
        <f t="shared" si="1172"/>
        <v>0</v>
      </c>
      <c r="U499" s="452">
        <f t="shared" si="1172"/>
        <v>0</v>
      </c>
      <c r="V499">
        <f t="shared" si="1172"/>
        <v>0</v>
      </c>
      <c r="W499">
        <f t="shared" si="1172"/>
        <v>0</v>
      </c>
      <c r="X499">
        <f t="shared" si="1172"/>
        <v>0</v>
      </c>
      <c r="Y499">
        <f t="shared" si="1172"/>
        <v>0</v>
      </c>
      <c r="Z499">
        <f t="shared" si="1172"/>
        <v>0</v>
      </c>
      <c r="AA499">
        <f t="shared" si="1172"/>
        <v>0</v>
      </c>
      <c r="AD499">
        <f t="shared" ref="AD499:AP499" si="1173">AD315</f>
        <v>0</v>
      </c>
      <c r="AE499">
        <f t="shared" si="1173"/>
        <v>0</v>
      </c>
      <c r="AF499">
        <f t="shared" si="1173"/>
        <v>0</v>
      </c>
      <c r="AG499" s="11">
        <f t="shared" si="1173"/>
        <v>0</v>
      </c>
      <c r="AH499">
        <f t="shared" si="1173"/>
        <v>0</v>
      </c>
      <c r="AI499">
        <f t="shared" si="1173"/>
        <v>0</v>
      </c>
      <c r="AJ499">
        <f t="shared" si="1173"/>
        <v>0</v>
      </c>
      <c r="AK499" s="11">
        <f t="shared" si="1173"/>
        <v>0</v>
      </c>
      <c r="AL499">
        <f t="shared" si="1173"/>
        <v>0</v>
      </c>
      <c r="AM499">
        <f t="shared" si="1173"/>
        <v>0</v>
      </c>
      <c r="AN499">
        <f t="shared" si="1173"/>
        <v>0</v>
      </c>
      <c r="AO499">
        <f t="shared" si="1173"/>
        <v>0</v>
      </c>
      <c r="AP499">
        <f t="shared" si="1173"/>
        <v>0</v>
      </c>
      <c r="AQ499" s="14"/>
      <c r="AR499" s="28"/>
      <c r="AS499">
        <f t="shared" ref="AS499:BD499" si="1174">AS315</f>
        <v>0</v>
      </c>
      <c r="AT499" s="11">
        <f t="shared" si="1174"/>
        <v>0</v>
      </c>
      <c r="AU499" s="2">
        <f t="shared" si="1174"/>
        <v>0</v>
      </c>
      <c r="AV499">
        <f t="shared" si="1174"/>
        <v>0</v>
      </c>
      <c r="AW499" s="452">
        <f t="shared" si="1174"/>
        <v>0</v>
      </c>
      <c r="AX499" s="452">
        <f t="shared" si="1174"/>
        <v>0</v>
      </c>
      <c r="AY499">
        <f t="shared" si="1174"/>
        <v>0</v>
      </c>
      <c r="AZ499">
        <f t="shared" si="1174"/>
        <v>0</v>
      </c>
      <c r="BA499">
        <f t="shared" si="1174"/>
        <v>0</v>
      </c>
      <c r="BB499">
        <f t="shared" si="1174"/>
        <v>0</v>
      </c>
      <c r="BC499">
        <f t="shared" si="1174"/>
        <v>0</v>
      </c>
      <c r="BD499">
        <f t="shared" si="1174"/>
        <v>0</v>
      </c>
    </row>
    <row r="500" spans="1:56" x14ac:dyDescent="0.3">
      <c r="A500">
        <f t="shared" ref="A500:AA500" si="1175">A316</f>
        <v>0</v>
      </c>
      <c r="B500">
        <f t="shared" si="1175"/>
        <v>0</v>
      </c>
      <c r="C500">
        <f t="shared" si="1175"/>
        <v>0</v>
      </c>
      <c r="D500" s="11">
        <f t="shared" si="1175"/>
        <v>0</v>
      </c>
      <c r="E500">
        <f t="shared" si="1175"/>
        <v>0</v>
      </c>
      <c r="F500">
        <f t="shared" si="1175"/>
        <v>0</v>
      </c>
      <c r="G500">
        <f t="shared" si="1175"/>
        <v>0</v>
      </c>
      <c r="H500" s="11">
        <f t="shared" si="1175"/>
        <v>0</v>
      </c>
      <c r="I500">
        <f t="shared" si="1175"/>
        <v>0</v>
      </c>
      <c r="J500">
        <f t="shared" si="1175"/>
        <v>0</v>
      </c>
      <c r="K500">
        <f t="shared" si="1175"/>
        <v>0</v>
      </c>
      <c r="L500">
        <f t="shared" si="1175"/>
        <v>0</v>
      </c>
      <c r="M500">
        <f t="shared" si="1175"/>
        <v>0</v>
      </c>
      <c r="N500" s="285"/>
      <c r="O500" s="28"/>
      <c r="P500">
        <f t="shared" si="1175"/>
        <v>0</v>
      </c>
      <c r="Q500" s="18">
        <f t="shared" si="1175"/>
        <v>0</v>
      </c>
      <c r="R500" s="12" t="str">
        <f t="shared" si="1175"/>
        <v>Hospitalized</v>
      </c>
      <c r="S500" s="30">
        <f t="shared" si="1175"/>
        <v>10261.044606149502</v>
      </c>
      <c r="T500" s="453">
        <f t="shared" si="1175"/>
        <v>11427.072402302856</v>
      </c>
      <c r="U500" s="453">
        <f t="shared" si="1175"/>
        <v>9095.016809996152</v>
      </c>
      <c r="V500">
        <f t="shared" si="1175"/>
        <v>0</v>
      </c>
      <c r="W500">
        <f t="shared" si="1175"/>
        <v>0</v>
      </c>
      <c r="X500">
        <f t="shared" si="1175"/>
        <v>0</v>
      </c>
      <c r="Y500">
        <f t="shared" si="1175"/>
        <v>0</v>
      </c>
      <c r="Z500">
        <f t="shared" si="1175"/>
        <v>0</v>
      </c>
      <c r="AA500">
        <f t="shared" si="1175"/>
        <v>0</v>
      </c>
      <c r="AD500">
        <f t="shared" ref="AD500:AP500" si="1176">AD316</f>
        <v>0</v>
      </c>
      <c r="AE500">
        <f t="shared" si="1176"/>
        <v>0</v>
      </c>
      <c r="AF500">
        <f t="shared" si="1176"/>
        <v>0</v>
      </c>
      <c r="AG500" s="11">
        <f t="shared" si="1176"/>
        <v>0</v>
      </c>
      <c r="AH500">
        <f t="shared" si="1176"/>
        <v>0</v>
      </c>
      <c r="AI500">
        <f t="shared" si="1176"/>
        <v>0</v>
      </c>
      <c r="AJ500">
        <f t="shared" si="1176"/>
        <v>0</v>
      </c>
      <c r="AK500" s="11">
        <f t="shared" si="1176"/>
        <v>0</v>
      </c>
      <c r="AL500">
        <f t="shared" si="1176"/>
        <v>0</v>
      </c>
      <c r="AM500">
        <f t="shared" si="1176"/>
        <v>0</v>
      </c>
      <c r="AN500">
        <f t="shared" si="1176"/>
        <v>0</v>
      </c>
      <c r="AO500">
        <f t="shared" si="1176"/>
        <v>0</v>
      </c>
      <c r="AP500">
        <f t="shared" si="1176"/>
        <v>0</v>
      </c>
      <c r="AQ500" s="285"/>
      <c r="AR500" s="28"/>
      <c r="AS500">
        <f t="shared" ref="AS500:BD500" si="1177">AS316</f>
        <v>0</v>
      </c>
      <c r="AT500" s="18">
        <f t="shared" si="1177"/>
        <v>0</v>
      </c>
      <c r="AU500" s="12" t="str">
        <f t="shared" si="1177"/>
        <v>Hospitalized</v>
      </c>
      <c r="AV500" s="30">
        <f t="shared" si="1177"/>
        <v>2475.1835831560184</v>
      </c>
      <c r="AW500" s="453">
        <f t="shared" si="1177"/>
        <v>2756.4544448782935</v>
      </c>
      <c r="AX500" s="453">
        <f t="shared" si="1177"/>
        <v>2193.9127214337441</v>
      </c>
      <c r="AY500">
        <f t="shared" si="1177"/>
        <v>0</v>
      </c>
      <c r="AZ500">
        <f t="shared" si="1177"/>
        <v>0</v>
      </c>
      <c r="BA500">
        <f t="shared" si="1177"/>
        <v>0</v>
      </c>
      <c r="BB500">
        <f t="shared" si="1177"/>
        <v>0</v>
      </c>
      <c r="BC500">
        <f t="shared" si="1177"/>
        <v>0</v>
      </c>
      <c r="BD500">
        <f t="shared" si="1177"/>
        <v>0</v>
      </c>
    </row>
    <row r="501" spans="1:56" x14ac:dyDescent="0.3">
      <c r="A501">
        <f t="shared" ref="A501:AA501" si="1178">A317</f>
        <v>0</v>
      </c>
      <c r="B501">
        <f t="shared" si="1178"/>
        <v>0</v>
      </c>
      <c r="C501">
        <f t="shared" si="1178"/>
        <v>0</v>
      </c>
      <c r="D501" s="11">
        <f t="shared" si="1178"/>
        <v>0</v>
      </c>
      <c r="E501">
        <f t="shared" si="1178"/>
        <v>0</v>
      </c>
      <c r="F501">
        <f t="shared" si="1178"/>
        <v>0</v>
      </c>
      <c r="G501">
        <f t="shared" si="1178"/>
        <v>0</v>
      </c>
      <c r="H501" s="11">
        <f t="shared" si="1178"/>
        <v>0</v>
      </c>
      <c r="I501">
        <f t="shared" si="1178"/>
        <v>0</v>
      </c>
      <c r="J501">
        <f t="shared" si="1178"/>
        <v>0</v>
      </c>
      <c r="K501">
        <f t="shared" si="1178"/>
        <v>0</v>
      </c>
      <c r="L501" s="22">
        <f t="shared" si="1178"/>
        <v>0</v>
      </c>
      <c r="M501">
        <f t="shared" si="1178"/>
        <v>0</v>
      </c>
      <c r="N501">
        <f t="shared" si="1178"/>
        <v>0</v>
      </c>
      <c r="O501">
        <f t="shared" si="1178"/>
        <v>0</v>
      </c>
      <c r="P501">
        <f t="shared" si="1178"/>
        <v>0</v>
      </c>
      <c r="Q501">
        <f t="shared" si="1178"/>
        <v>0</v>
      </c>
      <c r="R501" s="2" t="str">
        <f t="shared" si="1178"/>
        <v>p5a</v>
      </c>
      <c r="S501" s="61">
        <f t="shared" si="1178"/>
        <v>1.1937204925982133E-2</v>
      </c>
      <c r="T501" s="451">
        <f t="shared" si="1178"/>
        <v>1.1937204925982133E-2</v>
      </c>
      <c r="U501" s="451">
        <f t="shared" si="1178"/>
        <v>1.1937204925982133E-2</v>
      </c>
      <c r="V501">
        <f t="shared" si="1178"/>
        <v>0</v>
      </c>
      <c r="W501">
        <f t="shared" si="1178"/>
        <v>0</v>
      </c>
      <c r="X501">
        <f t="shared" si="1178"/>
        <v>0</v>
      </c>
      <c r="Y501">
        <f t="shared" si="1178"/>
        <v>0</v>
      </c>
      <c r="Z501">
        <f t="shared" si="1178"/>
        <v>0</v>
      </c>
      <c r="AA501">
        <f t="shared" si="1178"/>
        <v>0</v>
      </c>
      <c r="AD501">
        <f t="shared" ref="AD501:BD501" si="1179">AD317</f>
        <v>0</v>
      </c>
      <c r="AE501">
        <f t="shared" si="1179"/>
        <v>0</v>
      </c>
      <c r="AF501">
        <f t="shared" si="1179"/>
        <v>0</v>
      </c>
      <c r="AG501" s="11">
        <f t="shared" si="1179"/>
        <v>0</v>
      </c>
      <c r="AH501">
        <f t="shared" si="1179"/>
        <v>0</v>
      </c>
      <c r="AI501">
        <f t="shared" si="1179"/>
        <v>0</v>
      </c>
      <c r="AJ501">
        <f t="shared" si="1179"/>
        <v>0</v>
      </c>
      <c r="AK501" s="11">
        <f t="shared" si="1179"/>
        <v>0</v>
      </c>
      <c r="AL501">
        <f t="shared" si="1179"/>
        <v>0</v>
      </c>
      <c r="AM501">
        <f t="shared" si="1179"/>
        <v>0</v>
      </c>
      <c r="AN501">
        <f t="shared" si="1179"/>
        <v>0</v>
      </c>
      <c r="AO501" s="22">
        <f t="shared" si="1179"/>
        <v>0</v>
      </c>
      <c r="AP501">
        <f t="shared" si="1179"/>
        <v>0</v>
      </c>
      <c r="AQ501">
        <f t="shared" si="1179"/>
        <v>0</v>
      </c>
      <c r="AR501">
        <f t="shared" si="1179"/>
        <v>0</v>
      </c>
      <c r="AS501">
        <f t="shared" si="1179"/>
        <v>0</v>
      </c>
      <c r="AT501">
        <f t="shared" si="1179"/>
        <v>0</v>
      </c>
      <c r="AU501" s="2" t="str">
        <f t="shared" si="1179"/>
        <v>p5a</v>
      </c>
      <c r="AV501" s="61">
        <f t="shared" si="1179"/>
        <v>2.879509328304896E-3</v>
      </c>
      <c r="AW501" s="451">
        <f t="shared" si="1179"/>
        <v>2.879509328304896E-3</v>
      </c>
      <c r="AX501" s="451">
        <f t="shared" si="1179"/>
        <v>2.879509328304896E-3</v>
      </c>
      <c r="AY501">
        <f t="shared" si="1179"/>
        <v>0</v>
      </c>
      <c r="AZ501">
        <f t="shared" si="1179"/>
        <v>0</v>
      </c>
      <c r="BA501">
        <f t="shared" si="1179"/>
        <v>0</v>
      </c>
      <c r="BB501">
        <f t="shared" si="1179"/>
        <v>0</v>
      </c>
      <c r="BC501">
        <f t="shared" si="1179"/>
        <v>0</v>
      </c>
      <c r="BD501">
        <f t="shared" si="1179"/>
        <v>0</v>
      </c>
    </row>
    <row r="502" spans="1:56" x14ac:dyDescent="0.3">
      <c r="A502">
        <f t="shared" ref="A502:AA502" si="1180">A318</f>
        <v>0</v>
      </c>
      <c r="B502">
        <f t="shared" si="1180"/>
        <v>0</v>
      </c>
      <c r="C502">
        <f t="shared" si="1180"/>
        <v>0</v>
      </c>
      <c r="D502" s="11">
        <f t="shared" si="1180"/>
        <v>0</v>
      </c>
      <c r="E502">
        <f t="shared" si="1180"/>
        <v>0</v>
      </c>
      <c r="F502">
        <f t="shared" si="1180"/>
        <v>0</v>
      </c>
      <c r="G502">
        <f t="shared" si="1180"/>
        <v>0</v>
      </c>
      <c r="H502" s="11">
        <f t="shared" si="1180"/>
        <v>0</v>
      </c>
      <c r="I502">
        <f t="shared" si="1180"/>
        <v>0</v>
      </c>
      <c r="J502">
        <f t="shared" si="1180"/>
        <v>0</v>
      </c>
      <c r="K502">
        <f t="shared" si="1180"/>
        <v>0</v>
      </c>
      <c r="L502">
        <f t="shared" si="1180"/>
        <v>0</v>
      </c>
      <c r="M502">
        <f t="shared" si="1180"/>
        <v>0</v>
      </c>
      <c r="N502">
        <f t="shared" si="1180"/>
        <v>0</v>
      </c>
      <c r="O502">
        <f t="shared" si="1180"/>
        <v>0</v>
      </c>
      <c r="P502">
        <f t="shared" si="1180"/>
        <v>0</v>
      </c>
      <c r="Q502">
        <f t="shared" si="1180"/>
        <v>0</v>
      </c>
      <c r="R502">
        <f t="shared" si="1180"/>
        <v>0</v>
      </c>
      <c r="S502">
        <f t="shared" si="1180"/>
        <v>0</v>
      </c>
      <c r="T502">
        <f t="shared" si="1180"/>
        <v>0</v>
      </c>
      <c r="U502">
        <f t="shared" si="1180"/>
        <v>0</v>
      </c>
      <c r="V502">
        <f t="shared" si="1180"/>
        <v>0</v>
      </c>
      <c r="W502">
        <f t="shared" si="1180"/>
        <v>0</v>
      </c>
      <c r="X502">
        <f t="shared" si="1180"/>
        <v>0</v>
      </c>
      <c r="Y502">
        <f t="shared" si="1180"/>
        <v>0</v>
      </c>
      <c r="Z502">
        <f t="shared" si="1180"/>
        <v>0</v>
      </c>
      <c r="AA502">
        <f t="shared" si="1180"/>
        <v>0</v>
      </c>
      <c r="AD502">
        <f t="shared" ref="AD502:BD502" si="1181">AD318</f>
        <v>0</v>
      </c>
      <c r="AE502">
        <f t="shared" si="1181"/>
        <v>0</v>
      </c>
      <c r="AF502">
        <f t="shared" si="1181"/>
        <v>0</v>
      </c>
      <c r="AG502" s="11">
        <f t="shared" si="1181"/>
        <v>0</v>
      </c>
      <c r="AH502">
        <f t="shared" si="1181"/>
        <v>0</v>
      </c>
      <c r="AI502">
        <f t="shared" si="1181"/>
        <v>0</v>
      </c>
      <c r="AJ502">
        <f t="shared" si="1181"/>
        <v>0</v>
      </c>
      <c r="AK502" s="11">
        <f t="shared" si="1181"/>
        <v>0</v>
      </c>
      <c r="AL502">
        <f t="shared" si="1181"/>
        <v>0</v>
      </c>
      <c r="AM502">
        <f t="shared" si="1181"/>
        <v>0</v>
      </c>
      <c r="AN502">
        <f t="shared" si="1181"/>
        <v>0</v>
      </c>
      <c r="AO502">
        <f t="shared" si="1181"/>
        <v>0</v>
      </c>
      <c r="AP502">
        <f t="shared" si="1181"/>
        <v>0</v>
      </c>
      <c r="AQ502">
        <f t="shared" si="1181"/>
        <v>0</v>
      </c>
      <c r="AR502">
        <f t="shared" si="1181"/>
        <v>0</v>
      </c>
      <c r="AS502">
        <f t="shared" si="1181"/>
        <v>0</v>
      </c>
      <c r="AT502">
        <f t="shared" si="1181"/>
        <v>0</v>
      </c>
      <c r="AU502">
        <f t="shared" si="1181"/>
        <v>0</v>
      </c>
      <c r="AV502">
        <f t="shared" si="1181"/>
        <v>0</v>
      </c>
      <c r="AW502">
        <f t="shared" si="1181"/>
        <v>0</v>
      </c>
      <c r="AX502">
        <f t="shared" si="1181"/>
        <v>0</v>
      </c>
      <c r="AY502">
        <f t="shared" si="1181"/>
        <v>0</v>
      </c>
      <c r="AZ502">
        <f t="shared" si="1181"/>
        <v>0</v>
      </c>
      <c r="BA502">
        <f t="shared" si="1181"/>
        <v>0</v>
      </c>
      <c r="BB502">
        <f t="shared" si="1181"/>
        <v>0</v>
      </c>
      <c r="BC502">
        <f t="shared" si="1181"/>
        <v>0</v>
      </c>
      <c r="BD502">
        <f t="shared" si="1181"/>
        <v>0</v>
      </c>
    </row>
    <row r="503" spans="1:56" x14ac:dyDescent="0.3">
      <c r="A503">
        <f t="shared" ref="A503:AA503" si="1182">A319</f>
        <v>0</v>
      </c>
      <c r="B503">
        <f t="shared" si="1182"/>
        <v>0</v>
      </c>
      <c r="C503" s="28">
        <f t="shared" si="1182"/>
        <v>0</v>
      </c>
      <c r="D503" s="11">
        <f t="shared" si="1182"/>
        <v>0</v>
      </c>
      <c r="E503">
        <f t="shared" si="1182"/>
        <v>0</v>
      </c>
      <c r="F503">
        <f t="shared" si="1182"/>
        <v>0</v>
      </c>
      <c r="G503">
        <f t="shared" si="1182"/>
        <v>0</v>
      </c>
      <c r="H503" s="11">
        <f t="shared" si="1182"/>
        <v>0</v>
      </c>
      <c r="I503">
        <f t="shared" si="1182"/>
        <v>0</v>
      </c>
      <c r="J503">
        <f t="shared" si="1182"/>
        <v>0</v>
      </c>
      <c r="K503" s="2" t="str">
        <f t="shared" si="1182"/>
        <v>sum check</v>
      </c>
      <c r="L503" s="21">
        <f t="shared" si="1182"/>
        <v>859585.19349999982</v>
      </c>
      <c r="M503" s="28">
        <f t="shared" si="1182"/>
        <v>0</v>
      </c>
      <c r="N503" s="55">
        <f t="shared" si="1182"/>
        <v>0</v>
      </c>
      <c r="O503" s="21">
        <f t="shared" si="1182"/>
        <v>0</v>
      </c>
      <c r="P503" s="28">
        <f t="shared" si="1182"/>
        <v>0</v>
      </c>
      <c r="Q503" s="28">
        <f t="shared" si="1182"/>
        <v>0</v>
      </c>
      <c r="R503" s="55" t="str">
        <f t="shared" si="1182"/>
        <v>sum check</v>
      </c>
      <c r="S503" s="56">
        <f t="shared" si="1182"/>
        <v>159861.00021410681</v>
      </c>
      <c r="T503">
        <f t="shared" si="1182"/>
        <v>0</v>
      </c>
      <c r="U503">
        <f t="shared" si="1182"/>
        <v>0</v>
      </c>
      <c r="V503">
        <f t="shared" si="1182"/>
        <v>0</v>
      </c>
      <c r="W503">
        <f t="shared" si="1182"/>
        <v>0</v>
      </c>
      <c r="X503">
        <f t="shared" si="1182"/>
        <v>0</v>
      </c>
      <c r="Y503">
        <f t="shared" si="1182"/>
        <v>0</v>
      </c>
      <c r="Z503">
        <f t="shared" si="1182"/>
        <v>0</v>
      </c>
      <c r="AA503">
        <f t="shared" si="1182"/>
        <v>0</v>
      </c>
      <c r="AD503">
        <f t="shared" ref="AD503:BD503" si="1183">AD319</f>
        <v>0</v>
      </c>
      <c r="AE503">
        <f t="shared" si="1183"/>
        <v>0</v>
      </c>
      <c r="AF503" s="28">
        <f t="shared" si="1183"/>
        <v>0</v>
      </c>
      <c r="AG503" s="11">
        <f t="shared" si="1183"/>
        <v>0</v>
      </c>
      <c r="AH503">
        <f t="shared" si="1183"/>
        <v>0</v>
      </c>
      <c r="AI503">
        <f t="shared" si="1183"/>
        <v>0</v>
      </c>
      <c r="AJ503">
        <f t="shared" si="1183"/>
        <v>0</v>
      </c>
      <c r="AK503" s="11">
        <f t="shared" si="1183"/>
        <v>0</v>
      </c>
      <c r="AL503">
        <f t="shared" si="1183"/>
        <v>0</v>
      </c>
      <c r="AM503">
        <f t="shared" si="1183"/>
        <v>0</v>
      </c>
      <c r="AN503" s="2" t="str">
        <f t="shared" si="1183"/>
        <v>sum check</v>
      </c>
      <c r="AO503" s="21">
        <f t="shared" si="1183"/>
        <v>859585.19349999982</v>
      </c>
      <c r="AP503" s="28">
        <f t="shared" si="1183"/>
        <v>0</v>
      </c>
      <c r="AQ503" s="55">
        <f t="shared" si="1183"/>
        <v>0</v>
      </c>
      <c r="AR503" s="21">
        <f t="shared" si="1183"/>
        <v>0</v>
      </c>
      <c r="AS503" s="28">
        <f t="shared" si="1183"/>
        <v>0</v>
      </c>
      <c r="AT503" s="28">
        <f t="shared" si="1183"/>
        <v>0</v>
      </c>
      <c r="AU503" s="55" t="str">
        <f t="shared" si="1183"/>
        <v>sum check</v>
      </c>
      <c r="AV503" s="56">
        <f t="shared" si="1183"/>
        <v>65613.849509192019</v>
      </c>
      <c r="AW503">
        <f t="shared" si="1183"/>
        <v>0</v>
      </c>
      <c r="AX503">
        <f t="shared" si="1183"/>
        <v>0</v>
      </c>
      <c r="AY503">
        <f t="shared" si="1183"/>
        <v>0</v>
      </c>
      <c r="AZ503">
        <f t="shared" si="1183"/>
        <v>0</v>
      </c>
      <c r="BA503">
        <f t="shared" si="1183"/>
        <v>0</v>
      </c>
      <c r="BB503">
        <f t="shared" si="1183"/>
        <v>0</v>
      </c>
      <c r="BC503">
        <f t="shared" si="1183"/>
        <v>0</v>
      </c>
      <c r="BD503">
        <f t="shared" si="1183"/>
        <v>0</v>
      </c>
    </row>
    <row r="504" spans="1:56" x14ac:dyDescent="0.3">
      <c r="A504">
        <f t="shared" ref="A504:AA504" si="1184">A320</f>
        <v>0</v>
      </c>
      <c r="B504">
        <f t="shared" si="1184"/>
        <v>0</v>
      </c>
      <c r="C504" s="28">
        <f t="shared" si="1184"/>
        <v>0</v>
      </c>
      <c r="D504" s="11">
        <f t="shared" si="1184"/>
        <v>0</v>
      </c>
      <c r="G504">
        <f t="shared" si="1184"/>
        <v>0</v>
      </c>
      <c r="H504" s="11">
        <f t="shared" si="1184"/>
        <v>0</v>
      </c>
      <c r="I504">
        <f t="shared" si="1184"/>
        <v>0</v>
      </c>
      <c r="J504">
        <f t="shared" si="1184"/>
        <v>0</v>
      </c>
      <c r="K504">
        <f t="shared" si="1184"/>
        <v>0</v>
      </c>
      <c r="L504">
        <f t="shared" si="1184"/>
        <v>0</v>
      </c>
      <c r="M504">
        <f t="shared" si="1184"/>
        <v>0</v>
      </c>
      <c r="N504">
        <f t="shared" si="1184"/>
        <v>0</v>
      </c>
      <c r="O504">
        <f t="shared" si="1184"/>
        <v>0</v>
      </c>
      <c r="P504">
        <f t="shared" si="1184"/>
        <v>0</v>
      </c>
      <c r="Q504">
        <f t="shared" si="1184"/>
        <v>0</v>
      </c>
      <c r="R504">
        <f t="shared" si="1184"/>
        <v>0</v>
      </c>
      <c r="S504">
        <f t="shared" si="1184"/>
        <v>0</v>
      </c>
      <c r="T504">
        <f t="shared" si="1184"/>
        <v>0</v>
      </c>
      <c r="U504">
        <f t="shared" si="1184"/>
        <v>0</v>
      </c>
      <c r="V504">
        <f t="shared" si="1184"/>
        <v>0</v>
      </c>
      <c r="W504">
        <f t="shared" si="1184"/>
        <v>0</v>
      </c>
      <c r="X504">
        <f t="shared" si="1184"/>
        <v>0</v>
      </c>
      <c r="Y504">
        <f t="shared" si="1184"/>
        <v>0</v>
      </c>
      <c r="Z504">
        <f t="shared" si="1184"/>
        <v>0</v>
      </c>
      <c r="AA504">
        <f t="shared" si="1184"/>
        <v>0</v>
      </c>
      <c r="AD504">
        <f t="shared" ref="AD504:AG504" si="1185">AD320</f>
        <v>0</v>
      </c>
      <c r="AE504">
        <f t="shared" si="1185"/>
        <v>0</v>
      </c>
      <c r="AF504" s="28">
        <f t="shared" si="1185"/>
        <v>0</v>
      </c>
      <c r="AG504" s="11">
        <f t="shared" si="1185"/>
        <v>0</v>
      </c>
      <c r="AJ504">
        <f t="shared" ref="AJ504:BD504" si="1186">AJ320</f>
        <v>0</v>
      </c>
      <c r="AK504" s="11">
        <f t="shared" si="1186"/>
        <v>0</v>
      </c>
      <c r="AL504">
        <f t="shared" si="1186"/>
        <v>0</v>
      </c>
      <c r="AM504">
        <f t="shared" si="1186"/>
        <v>0</v>
      </c>
      <c r="AN504">
        <f t="shared" si="1186"/>
        <v>0</v>
      </c>
      <c r="AO504">
        <f t="shared" si="1186"/>
        <v>0</v>
      </c>
      <c r="AP504">
        <f t="shared" si="1186"/>
        <v>0</v>
      </c>
      <c r="AQ504">
        <f t="shared" si="1186"/>
        <v>0</v>
      </c>
      <c r="AR504">
        <f t="shared" si="1186"/>
        <v>0</v>
      </c>
      <c r="AS504">
        <f t="shared" si="1186"/>
        <v>0</v>
      </c>
      <c r="AT504">
        <f t="shared" si="1186"/>
        <v>0</v>
      </c>
      <c r="AU504">
        <f t="shared" si="1186"/>
        <v>0</v>
      </c>
      <c r="AV504">
        <f t="shared" si="1186"/>
        <v>0</v>
      </c>
      <c r="AW504">
        <f t="shared" si="1186"/>
        <v>0</v>
      </c>
      <c r="AX504">
        <f t="shared" si="1186"/>
        <v>0</v>
      </c>
      <c r="AY504">
        <f t="shared" si="1186"/>
        <v>0</v>
      </c>
      <c r="AZ504">
        <f t="shared" si="1186"/>
        <v>0</v>
      </c>
      <c r="BA504">
        <f t="shared" si="1186"/>
        <v>0</v>
      </c>
      <c r="BB504">
        <f t="shared" si="1186"/>
        <v>0</v>
      </c>
      <c r="BC504">
        <f t="shared" si="1186"/>
        <v>0</v>
      </c>
      <c r="BD504">
        <f t="shared" si="1186"/>
        <v>0</v>
      </c>
    </row>
    <row r="505" spans="1:56" x14ac:dyDescent="0.3">
      <c r="A505">
        <f t="shared" ref="A505:AA505" si="1187">A321</f>
        <v>0</v>
      </c>
      <c r="B505">
        <f t="shared" si="1187"/>
        <v>0</v>
      </c>
      <c r="C505" s="22">
        <f t="shared" si="1187"/>
        <v>0</v>
      </c>
      <c r="D505" s="11">
        <f t="shared" si="1187"/>
        <v>0</v>
      </c>
      <c r="G505">
        <f t="shared" si="1187"/>
        <v>0</v>
      </c>
      <c r="H505" s="11">
        <f t="shared" si="1187"/>
        <v>0</v>
      </c>
      <c r="I505">
        <f t="shared" si="1187"/>
        <v>0</v>
      </c>
      <c r="J505">
        <f t="shared" si="1187"/>
        <v>0</v>
      </c>
      <c r="K505">
        <f t="shared" si="1187"/>
        <v>0</v>
      </c>
      <c r="L505">
        <f t="shared" si="1187"/>
        <v>0</v>
      </c>
      <c r="M505">
        <f t="shared" si="1187"/>
        <v>0</v>
      </c>
      <c r="N505">
        <f t="shared" si="1187"/>
        <v>0</v>
      </c>
      <c r="O505">
        <f t="shared" si="1187"/>
        <v>0</v>
      </c>
      <c r="P505">
        <f t="shared" si="1187"/>
        <v>0</v>
      </c>
      <c r="Q505">
        <f t="shared" si="1187"/>
        <v>0</v>
      </c>
      <c r="R505">
        <f t="shared" si="1187"/>
        <v>0</v>
      </c>
      <c r="S505">
        <f t="shared" si="1187"/>
        <v>0</v>
      </c>
      <c r="T505">
        <f t="shared" si="1187"/>
        <v>0</v>
      </c>
      <c r="U505">
        <f t="shared" si="1187"/>
        <v>0</v>
      </c>
      <c r="V505">
        <f t="shared" si="1187"/>
        <v>0</v>
      </c>
      <c r="W505">
        <f t="shared" si="1187"/>
        <v>0</v>
      </c>
      <c r="X505">
        <f t="shared" si="1187"/>
        <v>0</v>
      </c>
      <c r="Y505">
        <f t="shared" si="1187"/>
        <v>0</v>
      </c>
      <c r="Z505">
        <f t="shared" si="1187"/>
        <v>0</v>
      </c>
      <c r="AA505">
        <f t="shared" si="1187"/>
        <v>0</v>
      </c>
      <c r="AD505">
        <f t="shared" ref="AD505:AG505" si="1188">AD321</f>
        <v>0</v>
      </c>
      <c r="AE505">
        <f t="shared" si="1188"/>
        <v>0</v>
      </c>
      <c r="AF505" s="22">
        <f t="shared" si="1188"/>
        <v>0</v>
      </c>
      <c r="AG505" s="11">
        <f t="shared" si="1188"/>
        <v>0</v>
      </c>
      <c r="AJ505">
        <f t="shared" ref="AJ505:BD505" si="1189">AJ321</f>
        <v>0</v>
      </c>
      <c r="AK505" s="11">
        <f t="shared" si="1189"/>
        <v>0</v>
      </c>
      <c r="AL505">
        <f t="shared" si="1189"/>
        <v>0</v>
      </c>
      <c r="AM505">
        <f t="shared" si="1189"/>
        <v>0</v>
      </c>
      <c r="AN505">
        <f t="shared" si="1189"/>
        <v>0</v>
      </c>
      <c r="AO505">
        <f t="shared" si="1189"/>
        <v>0</v>
      </c>
      <c r="AP505">
        <f t="shared" si="1189"/>
        <v>0</v>
      </c>
      <c r="AQ505">
        <f t="shared" si="1189"/>
        <v>0</v>
      </c>
      <c r="AR505">
        <f t="shared" si="1189"/>
        <v>0</v>
      </c>
      <c r="AS505">
        <f t="shared" si="1189"/>
        <v>0</v>
      </c>
      <c r="AT505">
        <f t="shared" si="1189"/>
        <v>0</v>
      </c>
      <c r="AU505">
        <f t="shared" si="1189"/>
        <v>0</v>
      </c>
      <c r="AV505">
        <f t="shared" si="1189"/>
        <v>0</v>
      </c>
      <c r="AW505">
        <f t="shared" si="1189"/>
        <v>0</v>
      </c>
      <c r="AX505">
        <f t="shared" si="1189"/>
        <v>0</v>
      </c>
      <c r="AY505">
        <f t="shared" si="1189"/>
        <v>0</v>
      </c>
      <c r="AZ505">
        <f t="shared" si="1189"/>
        <v>0</v>
      </c>
      <c r="BA505">
        <f t="shared" si="1189"/>
        <v>0</v>
      </c>
      <c r="BB505">
        <f t="shared" si="1189"/>
        <v>0</v>
      </c>
      <c r="BC505">
        <f t="shared" si="1189"/>
        <v>0</v>
      </c>
      <c r="BD505">
        <f t="shared" si="1189"/>
        <v>0</v>
      </c>
    </row>
    <row r="506" spans="1:56" x14ac:dyDescent="0.3">
      <c r="A506">
        <f t="shared" ref="A506:AA506" si="1190">A322</f>
        <v>0</v>
      </c>
      <c r="B506">
        <f t="shared" si="1190"/>
        <v>0</v>
      </c>
      <c r="C506">
        <f t="shared" si="1190"/>
        <v>0</v>
      </c>
      <c r="D506" s="18" t="str">
        <f t="shared" si="1190"/>
        <v>Do not obtain</v>
      </c>
      <c r="E506" s="12" t="str">
        <f t="shared" si="1190"/>
        <v>1-p7</v>
      </c>
      <c r="F506" s="287">
        <f t="shared" si="1190"/>
        <v>0.43999999999999995</v>
      </c>
      <c r="G506" s="438">
        <f t="shared" si="1190"/>
        <v>0</v>
      </c>
      <c r="H506" s="11">
        <f t="shared" si="1190"/>
        <v>0</v>
      </c>
      <c r="I506">
        <f t="shared" si="1190"/>
        <v>0</v>
      </c>
      <c r="J506">
        <f t="shared" si="1190"/>
        <v>0</v>
      </c>
      <c r="K506">
        <f t="shared" si="1190"/>
        <v>0</v>
      </c>
      <c r="L506">
        <f t="shared" si="1190"/>
        <v>0</v>
      </c>
      <c r="M506">
        <f t="shared" si="1190"/>
        <v>0</v>
      </c>
      <c r="N506">
        <f t="shared" si="1190"/>
        <v>0</v>
      </c>
      <c r="O506">
        <f t="shared" si="1190"/>
        <v>0</v>
      </c>
      <c r="P506">
        <f t="shared" si="1190"/>
        <v>0</v>
      </c>
      <c r="Q506">
        <f t="shared" si="1190"/>
        <v>0</v>
      </c>
      <c r="R506">
        <f t="shared" si="1190"/>
        <v>0</v>
      </c>
      <c r="S506">
        <f t="shared" si="1190"/>
        <v>0</v>
      </c>
      <c r="T506">
        <f t="shared" si="1190"/>
        <v>0</v>
      </c>
      <c r="U506">
        <f t="shared" si="1190"/>
        <v>0</v>
      </c>
      <c r="V506">
        <f t="shared" si="1190"/>
        <v>0</v>
      </c>
      <c r="W506">
        <f t="shared" si="1190"/>
        <v>0</v>
      </c>
      <c r="X506">
        <f t="shared" si="1190"/>
        <v>0</v>
      </c>
      <c r="Y506">
        <f t="shared" si="1190"/>
        <v>0</v>
      </c>
      <c r="Z506">
        <f t="shared" si="1190"/>
        <v>0</v>
      </c>
      <c r="AA506">
        <f t="shared" si="1190"/>
        <v>0</v>
      </c>
      <c r="AD506">
        <f t="shared" ref="AD506:BD506" si="1191">AD322</f>
        <v>0</v>
      </c>
      <c r="AE506">
        <f t="shared" si="1191"/>
        <v>0</v>
      </c>
      <c r="AF506">
        <f t="shared" si="1191"/>
        <v>0</v>
      </c>
      <c r="AG506" s="18" t="str">
        <f t="shared" si="1191"/>
        <v>Do not obtain</v>
      </c>
      <c r="AH506" s="12" t="str">
        <f t="shared" si="1191"/>
        <v>1-p7</v>
      </c>
      <c r="AI506" s="287">
        <f t="shared" si="1191"/>
        <v>1</v>
      </c>
      <c r="AJ506" s="500">
        <f t="shared" si="1191"/>
        <v>0</v>
      </c>
      <c r="AK506" s="11">
        <f t="shared" si="1191"/>
        <v>0</v>
      </c>
      <c r="AL506">
        <f t="shared" si="1191"/>
        <v>0</v>
      </c>
      <c r="AM506">
        <f t="shared" si="1191"/>
        <v>0</v>
      </c>
      <c r="AN506">
        <f t="shared" si="1191"/>
        <v>0</v>
      </c>
      <c r="AO506">
        <f t="shared" si="1191"/>
        <v>0</v>
      </c>
      <c r="AP506">
        <f t="shared" si="1191"/>
        <v>0</v>
      </c>
      <c r="AQ506">
        <f t="shared" si="1191"/>
        <v>0</v>
      </c>
      <c r="AR506">
        <f t="shared" si="1191"/>
        <v>0</v>
      </c>
      <c r="AS506">
        <f t="shared" si="1191"/>
        <v>0</v>
      </c>
      <c r="AT506">
        <f t="shared" si="1191"/>
        <v>0</v>
      </c>
      <c r="AU506">
        <f t="shared" si="1191"/>
        <v>0</v>
      </c>
      <c r="AV506">
        <f t="shared" si="1191"/>
        <v>0</v>
      </c>
      <c r="AW506">
        <f t="shared" si="1191"/>
        <v>0</v>
      </c>
      <c r="AX506">
        <f t="shared" si="1191"/>
        <v>0</v>
      </c>
      <c r="AY506">
        <f t="shared" si="1191"/>
        <v>0</v>
      </c>
      <c r="AZ506">
        <f t="shared" si="1191"/>
        <v>0</v>
      </c>
      <c r="BA506">
        <f t="shared" si="1191"/>
        <v>0</v>
      </c>
      <c r="BB506">
        <f t="shared" si="1191"/>
        <v>0</v>
      </c>
      <c r="BC506">
        <f t="shared" si="1191"/>
        <v>0</v>
      </c>
      <c r="BD506">
        <f t="shared" si="1191"/>
        <v>0</v>
      </c>
    </row>
    <row r="507" spans="1:56" x14ac:dyDescent="0.3">
      <c r="A507">
        <f t="shared" ref="A507:AA507" si="1192">A323</f>
        <v>0</v>
      </c>
      <c r="B507">
        <f t="shared" si="1192"/>
        <v>0</v>
      </c>
      <c r="C507">
        <f t="shared" si="1192"/>
        <v>0</v>
      </c>
      <c r="D507" t="str">
        <f t="shared" si="1192"/>
        <v>Maternal Candidate</v>
      </c>
      <c r="F507" s="52">
        <f t="shared" si="1192"/>
        <v>1736184.9999999998</v>
      </c>
      <c r="G507">
        <f t="shared" si="1192"/>
        <v>0</v>
      </c>
      <c r="H507" s="11">
        <f t="shared" si="1192"/>
        <v>0</v>
      </c>
      <c r="I507">
        <f t="shared" si="1192"/>
        <v>0</v>
      </c>
      <c r="J507">
        <f t="shared" si="1192"/>
        <v>0</v>
      </c>
      <c r="K507">
        <f t="shared" si="1192"/>
        <v>0</v>
      </c>
      <c r="L507">
        <f t="shared" si="1192"/>
        <v>0</v>
      </c>
      <c r="M507">
        <f t="shared" si="1192"/>
        <v>0</v>
      </c>
      <c r="N507">
        <f t="shared" si="1192"/>
        <v>0</v>
      </c>
      <c r="O507">
        <f t="shared" si="1192"/>
        <v>0</v>
      </c>
      <c r="P507">
        <f t="shared" si="1192"/>
        <v>0</v>
      </c>
      <c r="Q507">
        <f t="shared" si="1192"/>
        <v>0</v>
      </c>
      <c r="R507">
        <f t="shared" si="1192"/>
        <v>0</v>
      </c>
      <c r="S507">
        <f t="shared" si="1192"/>
        <v>0</v>
      </c>
      <c r="T507">
        <f t="shared" si="1192"/>
        <v>0</v>
      </c>
      <c r="U507">
        <f t="shared" si="1192"/>
        <v>0</v>
      </c>
      <c r="V507">
        <f t="shared" si="1192"/>
        <v>0</v>
      </c>
      <c r="W507">
        <f t="shared" si="1192"/>
        <v>0</v>
      </c>
      <c r="X507">
        <f t="shared" si="1192"/>
        <v>0</v>
      </c>
      <c r="Y507">
        <f t="shared" si="1192"/>
        <v>0</v>
      </c>
      <c r="Z507">
        <f t="shared" si="1192"/>
        <v>0</v>
      </c>
      <c r="AA507">
        <f t="shared" si="1192"/>
        <v>0</v>
      </c>
      <c r="AD507">
        <f t="shared" ref="AD507:AG507" si="1193">AD323</f>
        <v>0</v>
      </c>
      <c r="AE507">
        <f t="shared" si="1193"/>
        <v>0</v>
      </c>
      <c r="AF507">
        <f t="shared" si="1193"/>
        <v>0</v>
      </c>
      <c r="AG507" t="str">
        <f t="shared" si="1193"/>
        <v>Maternal Candidate</v>
      </c>
      <c r="AI507" s="52">
        <f t="shared" ref="AI507:BD507" si="1194">AI323</f>
        <v>0</v>
      </c>
      <c r="AJ507">
        <f t="shared" si="1194"/>
        <v>0</v>
      </c>
      <c r="AK507" s="11">
        <f t="shared" si="1194"/>
        <v>0</v>
      </c>
      <c r="AL507">
        <f t="shared" si="1194"/>
        <v>0</v>
      </c>
      <c r="AM507">
        <f t="shared" si="1194"/>
        <v>0</v>
      </c>
      <c r="AN507">
        <f t="shared" si="1194"/>
        <v>0</v>
      </c>
      <c r="AO507">
        <f t="shared" si="1194"/>
        <v>0</v>
      </c>
      <c r="AP507">
        <f t="shared" si="1194"/>
        <v>0</v>
      </c>
      <c r="AQ507">
        <f t="shared" si="1194"/>
        <v>0</v>
      </c>
      <c r="AR507">
        <f t="shared" si="1194"/>
        <v>0</v>
      </c>
      <c r="AS507">
        <f t="shared" si="1194"/>
        <v>0</v>
      </c>
      <c r="AT507">
        <f t="shared" si="1194"/>
        <v>0</v>
      </c>
      <c r="AU507">
        <f t="shared" si="1194"/>
        <v>0</v>
      </c>
      <c r="AV507">
        <f t="shared" si="1194"/>
        <v>0</v>
      </c>
      <c r="AW507">
        <f t="shared" si="1194"/>
        <v>0</v>
      </c>
      <c r="AX507">
        <f t="shared" si="1194"/>
        <v>0</v>
      </c>
      <c r="AY507">
        <f t="shared" si="1194"/>
        <v>0</v>
      </c>
      <c r="AZ507">
        <f t="shared" si="1194"/>
        <v>0</v>
      </c>
      <c r="BA507">
        <f t="shared" si="1194"/>
        <v>0</v>
      </c>
      <c r="BB507">
        <f t="shared" si="1194"/>
        <v>0</v>
      </c>
      <c r="BC507">
        <f t="shared" si="1194"/>
        <v>0</v>
      </c>
      <c r="BD507">
        <f t="shared" si="1194"/>
        <v>0</v>
      </c>
    </row>
    <row r="508" spans="1:56" x14ac:dyDescent="0.3">
      <c r="A508">
        <f t="shared" ref="A508:AA508" si="1195">A324</f>
        <v>0</v>
      </c>
      <c r="B508">
        <f t="shared" si="1195"/>
        <v>0</v>
      </c>
      <c r="C508">
        <f t="shared" si="1195"/>
        <v>0</v>
      </c>
      <c r="D508">
        <f t="shared" si="1195"/>
        <v>0</v>
      </c>
      <c r="F508" s="52"/>
      <c r="G508">
        <f t="shared" si="1195"/>
        <v>0</v>
      </c>
      <c r="H508" s="11">
        <f t="shared" si="1195"/>
        <v>0</v>
      </c>
      <c r="I508">
        <f t="shared" si="1195"/>
        <v>0</v>
      </c>
      <c r="J508">
        <f t="shared" si="1195"/>
        <v>0</v>
      </c>
      <c r="K508">
        <f t="shared" si="1195"/>
        <v>0</v>
      </c>
      <c r="L508">
        <f t="shared" si="1195"/>
        <v>0</v>
      </c>
      <c r="M508">
        <f t="shared" si="1195"/>
        <v>0</v>
      </c>
      <c r="N508">
        <f t="shared" si="1195"/>
        <v>0</v>
      </c>
      <c r="O508">
        <f t="shared" si="1195"/>
        <v>0</v>
      </c>
      <c r="P508">
        <f t="shared" si="1195"/>
        <v>0</v>
      </c>
      <c r="Q508">
        <f t="shared" si="1195"/>
        <v>0</v>
      </c>
      <c r="R508">
        <f t="shared" si="1195"/>
        <v>0</v>
      </c>
      <c r="S508">
        <f t="shared" si="1195"/>
        <v>0</v>
      </c>
      <c r="T508">
        <f t="shared" si="1195"/>
        <v>0</v>
      </c>
      <c r="U508">
        <f t="shared" si="1195"/>
        <v>0</v>
      </c>
      <c r="V508">
        <f t="shared" si="1195"/>
        <v>0</v>
      </c>
      <c r="W508">
        <f t="shared" si="1195"/>
        <v>0</v>
      </c>
      <c r="X508">
        <f t="shared" si="1195"/>
        <v>0</v>
      </c>
      <c r="Y508">
        <f t="shared" si="1195"/>
        <v>0</v>
      </c>
      <c r="Z508">
        <f t="shared" si="1195"/>
        <v>0</v>
      </c>
      <c r="AA508">
        <f t="shared" si="1195"/>
        <v>0</v>
      </c>
      <c r="AD508">
        <f t="shared" ref="AD508:AG508" si="1196">AD324</f>
        <v>0</v>
      </c>
      <c r="AE508">
        <f t="shared" si="1196"/>
        <v>0</v>
      </c>
      <c r="AF508">
        <f t="shared" si="1196"/>
        <v>0</v>
      </c>
      <c r="AG508">
        <f t="shared" si="1196"/>
        <v>0</v>
      </c>
      <c r="AI508" s="52"/>
      <c r="AJ508">
        <f t="shared" ref="AJ508:BD508" si="1197">AJ324</f>
        <v>0</v>
      </c>
      <c r="AK508" s="11">
        <f t="shared" si="1197"/>
        <v>0</v>
      </c>
      <c r="AL508">
        <f t="shared" si="1197"/>
        <v>0</v>
      </c>
      <c r="AM508">
        <f t="shared" si="1197"/>
        <v>0</v>
      </c>
      <c r="AN508">
        <f t="shared" si="1197"/>
        <v>0</v>
      </c>
      <c r="AO508">
        <f t="shared" si="1197"/>
        <v>0</v>
      </c>
      <c r="AP508">
        <f t="shared" si="1197"/>
        <v>0</v>
      </c>
      <c r="AQ508">
        <f t="shared" si="1197"/>
        <v>0</v>
      </c>
      <c r="AR508">
        <f t="shared" si="1197"/>
        <v>0</v>
      </c>
      <c r="AS508">
        <f t="shared" si="1197"/>
        <v>0</v>
      </c>
      <c r="AT508">
        <f t="shared" si="1197"/>
        <v>0</v>
      </c>
      <c r="AU508">
        <f t="shared" si="1197"/>
        <v>0</v>
      </c>
      <c r="AV508">
        <f t="shared" si="1197"/>
        <v>0</v>
      </c>
      <c r="AW508">
        <f t="shared" si="1197"/>
        <v>0</v>
      </c>
      <c r="AX508">
        <f t="shared" si="1197"/>
        <v>0</v>
      </c>
      <c r="AY508">
        <f t="shared" si="1197"/>
        <v>0</v>
      </c>
      <c r="AZ508">
        <f t="shared" si="1197"/>
        <v>0</v>
      </c>
      <c r="BA508">
        <f t="shared" si="1197"/>
        <v>0</v>
      </c>
      <c r="BB508">
        <f t="shared" si="1197"/>
        <v>0</v>
      </c>
      <c r="BC508">
        <f t="shared" si="1197"/>
        <v>0</v>
      </c>
      <c r="BD508">
        <f t="shared" si="1197"/>
        <v>0</v>
      </c>
    </row>
    <row r="509" spans="1:56" x14ac:dyDescent="0.3">
      <c r="A509" t="str">
        <f t="shared" ref="A509:AA509" si="1198">A327</f>
        <v>sum check row</v>
      </c>
      <c r="B509">
        <f t="shared" si="1198"/>
        <v>0</v>
      </c>
      <c r="C509">
        <f t="shared" si="1198"/>
        <v>0</v>
      </c>
      <c r="D509">
        <f t="shared" si="1198"/>
        <v>0</v>
      </c>
      <c r="E509" t="str">
        <f t="shared" si="1198"/>
        <v>sum check</v>
      </c>
      <c r="F509" s="28">
        <f t="shared" si="1198"/>
        <v>3945875</v>
      </c>
      <c r="G509">
        <f t="shared" si="1198"/>
        <v>0</v>
      </c>
      <c r="H509" s="11">
        <f t="shared" si="1198"/>
        <v>0</v>
      </c>
      <c r="I509">
        <f t="shared" si="1198"/>
        <v>0</v>
      </c>
      <c r="J509">
        <f t="shared" si="1198"/>
        <v>0</v>
      </c>
      <c r="K509">
        <f t="shared" si="1198"/>
        <v>0</v>
      </c>
      <c r="L509">
        <f t="shared" si="1198"/>
        <v>0</v>
      </c>
      <c r="M509">
        <f t="shared" si="1198"/>
        <v>0</v>
      </c>
      <c r="N509" s="2" t="str">
        <f t="shared" si="1198"/>
        <v>sum check</v>
      </c>
      <c r="O509" s="28">
        <f t="shared" si="1198"/>
        <v>7168.5714492239631</v>
      </c>
      <c r="P509">
        <f t="shared" si="1198"/>
        <v>0</v>
      </c>
      <c r="Q509" s="2" t="str">
        <f t="shared" si="1198"/>
        <v>sum check</v>
      </c>
      <c r="R509" s="21">
        <f t="shared" si="1198"/>
        <v>5277.2628381100858</v>
      </c>
      <c r="S509">
        <f t="shared" si="1198"/>
        <v>0</v>
      </c>
      <c r="T509">
        <f t="shared" si="1198"/>
        <v>0</v>
      </c>
      <c r="U509">
        <f t="shared" si="1198"/>
        <v>0</v>
      </c>
      <c r="V509" s="2" t="str">
        <f t="shared" si="1198"/>
        <v>sum check</v>
      </c>
      <c r="W509" s="21">
        <f t="shared" si="1198"/>
        <v>3655.9714391042212</v>
      </c>
      <c r="X509">
        <f t="shared" si="1198"/>
        <v>0</v>
      </c>
      <c r="Y509">
        <f t="shared" si="1198"/>
        <v>0</v>
      </c>
      <c r="Z509">
        <f t="shared" si="1198"/>
        <v>0</v>
      </c>
      <c r="AA509">
        <f t="shared" si="1198"/>
        <v>0</v>
      </c>
      <c r="AD509" t="str">
        <f t="shared" ref="AD509:BD509" si="1199">AD327</f>
        <v>sum check row</v>
      </c>
      <c r="AE509">
        <f t="shared" si="1199"/>
        <v>0</v>
      </c>
      <c r="AF509">
        <f t="shared" si="1199"/>
        <v>0</v>
      </c>
      <c r="AG509">
        <f t="shared" si="1199"/>
        <v>0</v>
      </c>
      <c r="AH509" t="str">
        <f t="shared" si="1199"/>
        <v>sum check</v>
      </c>
      <c r="AI509" s="28">
        <f t="shared" si="1199"/>
        <v>0</v>
      </c>
      <c r="AJ509">
        <f t="shared" si="1199"/>
        <v>0</v>
      </c>
      <c r="AK509" s="11">
        <f t="shared" si="1199"/>
        <v>0</v>
      </c>
      <c r="AL509">
        <f t="shared" si="1199"/>
        <v>0</v>
      </c>
      <c r="AM509">
        <f t="shared" si="1199"/>
        <v>0</v>
      </c>
      <c r="AN509">
        <f t="shared" si="1199"/>
        <v>0</v>
      </c>
      <c r="AO509">
        <f t="shared" si="1199"/>
        <v>0</v>
      </c>
      <c r="AP509">
        <f t="shared" si="1199"/>
        <v>0</v>
      </c>
      <c r="AQ509" s="2" t="str">
        <f t="shared" si="1199"/>
        <v>sum check</v>
      </c>
      <c r="AR509" s="28">
        <f t="shared" si="1199"/>
        <v>3595.5497280740992</v>
      </c>
      <c r="AS509">
        <f t="shared" si="1199"/>
        <v>0</v>
      </c>
      <c r="AT509" s="2" t="str">
        <f t="shared" si="1199"/>
        <v>sum check</v>
      </c>
      <c r="AU509" s="21">
        <f t="shared" si="1199"/>
        <v>1832.8542885371098</v>
      </c>
      <c r="AV509">
        <f t="shared" si="1199"/>
        <v>0</v>
      </c>
      <c r="AW509">
        <f t="shared" si="1199"/>
        <v>0</v>
      </c>
      <c r="AX509">
        <f t="shared" si="1199"/>
        <v>0</v>
      </c>
      <c r="AY509" s="2" t="str">
        <f t="shared" si="1199"/>
        <v>sum check</v>
      </c>
      <c r="AZ509" s="21">
        <f t="shared" si="1199"/>
        <v>1833.7303613177905</v>
      </c>
      <c r="BA509">
        <f t="shared" si="1199"/>
        <v>0</v>
      </c>
      <c r="BB509">
        <f t="shared" si="1199"/>
        <v>0</v>
      </c>
      <c r="BC509">
        <f t="shared" si="1199"/>
        <v>0</v>
      </c>
      <c r="BD509">
        <f t="shared" si="1199"/>
        <v>0</v>
      </c>
    </row>
    <row r="510" spans="1:56" x14ac:dyDescent="0.3">
      <c r="A510">
        <f t="shared" ref="A510:AA510" si="1200">A328</f>
        <v>0</v>
      </c>
      <c r="B510">
        <f t="shared" si="1200"/>
        <v>0</v>
      </c>
      <c r="C510">
        <f t="shared" si="1200"/>
        <v>0</v>
      </c>
      <c r="D510">
        <f t="shared" si="1200"/>
        <v>0</v>
      </c>
      <c r="E510">
        <f t="shared" si="1200"/>
        <v>0</v>
      </c>
      <c r="F510">
        <f t="shared" si="1200"/>
        <v>0</v>
      </c>
      <c r="G510">
        <f t="shared" si="1200"/>
        <v>0</v>
      </c>
      <c r="H510" s="11">
        <f t="shared" si="1200"/>
        <v>0</v>
      </c>
      <c r="I510">
        <f t="shared" si="1200"/>
        <v>0</v>
      </c>
      <c r="J510">
        <f t="shared" si="1200"/>
        <v>0</v>
      </c>
      <c r="K510">
        <f t="shared" si="1200"/>
        <v>0</v>
      </c>
      <c r="L510">
        <f t="shared" si="1200"/>
        <v>0</v>
      </c>
      <c r="M510">
        <f t="shared" si="1200"/>
        <v>0</v>
      </c>
      <c r="N510">
        <f t="shared" si="1200"/>
        <v>0</v>
      </c>
      <c r="O510">
        <f t="shared" si="1200"/>
        <v>0</v>
      </c>
      <c r="P510">
        <f t="shared" si="1200"/>
        <v>0</v>
      </c>
      <c r="Q510">
        <f t="shared" si="1200"/>
        <v>0</v>
      </c>
      <c r="R510">
        <f t="shared" si="1200"/>
        <v>0</v>
      </c>
      <c r="S510">
        <f t="shared" si="1200"/>
        <v>0</v>
      </c>
      <c r="T510">
        <f t="shared" si="1200"/>
        <v>0</v>
      </c>
      <c r="U510">
        <f t="shared" si="1200"/>
        <v>0</v>
      </c>
      <c r="V510">
        <f t="shared" si="1200"/>
        <v>0</v>
      </c>
      <c r="W510">
        <f t="shared" si="1200"/>
        <v>0</v>
      </c>
      <c r="Y510">
        <f t="shared" si="1200"/>
        <v>0</v>
      </c>
      <c r="Z510">
        <f t="shared" si="1200"/>
        <v>0</v>
      </c>
      <c r="AA510">
        <f t="shared" si="1200"/>
        <v>0</v>
      </c>
      <c r="AD510">
        <f t="shared" ref="AD510:AZ510" si="1201">AD328</f>
        <v>0</v>
      </c>
      <c r="AE510">
        <f t="shared" si="1201"/>
        <v>0</v>
      </c>
      <c r="AF510">
        <f t="shared" si="1201"/>
        <v>0</v>
      </c>
      <c r="AG510">
        <f t="shared" si="1201"/>
        <v>0</v>
      </c>
      <c r="AH510">
        <f t="shared" si="1201"/>
        <v>0</v>
      </c>
      <c r="AI510">
        <f t="shared" si="1201"/>
        <v>0</v>
      </c>
      <c r="AJ510">
        <f t="shared" si="1201"/>
        <v>0</v>
      </c>
      <c r="AK510" s="11">
        <f t="shared" si="1201"/>
        <v>0</v>
      </c>
      <c r="AL510">
        <f t="shared" si="1201"/>
        <v>0</v>
      </c>
      <c r="AM510">
        <f t="shared" si="1201"/>
        <v>0</v>
      </c>
      <c r="AN510">
        <f t="shared" si="1201"/>
        <v>0</v>
      </c>
      <c r="AO510">
        <f t="shared" si="1201"/>
        <v>0</v>
      </c>
      <c r="AP510">
        <f t="shared" si="1201"/>
        <v>0</v>
      </c>
      <c r="AQ510">
        <f t="shared" si="1201"/>
        <v>0</v>
      </c>
      <c r="AR510">
        <f t="shared" si="1201"/>
        <v>0</v>
      </c>
      <c r="AS510">
        <f t="shared" si="1201"/>
        <v>0</v>
      </c>
      <c r="AT510">
        <f t="shared" si="1201"/>
        <v>0</v>
      </c>
      <c r="AU510">
        <f t="shared" si="1201"/>
        <v>0</v>
      </c>
      <c r="AV510">
        <f t="shared" si="1201"/>
        <v>0</v>
      </c>
      <c r="AW510">
        <f t="shared" si="1201"/>
        <v>0</v>
      </c>
      <c r="AX510">
        <f t="shared" si="1201"/>
        <v>0</v>
      </c>
      <c r="AY510">
        <f t="shared" si="1201"/>
        <v>0</v>
      </c>
      <c r="AZ510">
        <f t="shared" si="1201"/>
        <v>0</v>
      </c>
      <c r="BB510">
        <f t="shared" ref="BB510:BD510" si="1202">BB328</f>
        <v>0</v>
      </c>
      <c r="BC510">
        <f t="shared" si="1202"/>
        <v>0</v>
      </c>
      <c r="BD510">
        <f t="shared" si="1202"/>
        <v>0</v>
      </c>
    </row>
    <row r="511" spans="1:56" x14ac:dyDescent="0.3">
      <c r="A511">
        <f t="shared" ref="A511:AA511" si="1203">A329</f>
        <v>0</v>
      </c>
      <c r="B511">
        <f t="shared" si="1203"/>
        <v>0</v>
      </c>
      <c r="C511">
        <f t="shared" si="1203"/>
        <v>0</v>
      </c>
      <c r="D511">
        <f t="shared" si="1203"/>
        <v>0</v>
      </c>
      <c r="E511">
        <f t="shared" si="1203"/>
        <v>0</v>
      </c>
      <c r="F511" s="28"/>
      <c r="G511">
        <f t="shared" si="1203"/>
        <v>0</v>
      </c>
      <c r="H511" s="11">
        <f t="shared" si="1203"/>
        <v>0</v>
      </c>
      <c r="I511">
        <f t="shared" si="1203"/>
        <v>0</v>
      </c>
      <c r="J511">
        <f t="shared" si="1203"/>
        <v>0</v>
      </c>
      <c r="K511">
        <f t="shared" si="1203"/>
        <v>0</v>
      </c>
      <c r="L511" s="2">
        <f t="shared" si="1203"/>
        <v>0</v>
      </c>
      <c r="M511" s="28">
        <f t="shared" si="1203"/>
        <v>0</v>
      </c>
      <c r="N511" s="19">
        <f t="shared" si="1203"/>
        <v>0</v>
      </c>
      <c r="O511">
        <f t="shared" si="1203"/>
        <v>0</v>
      </c>
      <c r="P511" s="2">
        <f t="shared" si="1203"/>
        <v>0</v>
      </c>
      <c r="Q511" s="21">
        <f t="shared" si="1203"/>
        <v>0</v>
      </c>
      <c r="R511">
        <f t="shared" si="1203"/>
        <v>0</v>
      </c>
      <c r="S511">
        <f t="shared" si="1203"/>
        <v>0</v>
      </c>
      <c r="T511">
        <f t="shared" si="1203"/>
        <v>0</v>
      </c>
      <c r="U511">
        <f t="shared" si="1203"/>
        <v>0</v>
      </c>
      <c r="V511">
        <f t="shared" si="1203"/>
        <v>0</v>
      </c>
      <c r="W511" s="437" t="str">
        <f t="shared" si="1203"/>
        <v>base</v>
      </c>
      <c r="X511" s="449" t="str">
        <f t="shared" si="1203"/>
        <v>low</v>
      </c>
      <c r="Y511" s="449" t="str">
        <f t="shared" si="1203"/>
        <v>high</v>
      </c>
      <c r="Z511">
        <f t="shared" si="1203"/>
        <v>0</v>
      </c>
      <c r="AA511">
        <f t="shared" si="1203"/>
        <v>0</v>
      </c>
      <c r="AD511">
        <f t="shared" ref="AD511:AH511" si="1204">AD329</f>
        <v>0</v>
      </c>
      <c r="AE511">
        <f t="shared" si="1204"/>
        <v>0</v>
      </c>
      <c r="AF511">
        <f t="shared" si="1204"/>
        <v>0</v>
      </c>
      <c r="AG511">
        <f t="shared" si="1204"/>
        <v>0</v>
      </c>
      <c r="AH511">
        <f t="shared" si="1204"/>
        <v>0</v>
      </c>
      <c r="AI511" s="28"/>
      <c r="AJ511">
        <f t="shared" ref="AJ511:BD511" si="1205">AJ329</f>
        <v>0</v>
      </c>
      <c r="AK511" s="11">
        <f t="shared" si="1205"/>
        <v>0</v>
      </c>
      <c r="AL511">
        <f t="shared" si="1205"/>
        <v>0</v>
      </c>
      <c r="AM511">
        <f t="shared" si="1205"/>
        <v>0</v>
      </c>
      <c r="AN511">
        <f t="shared" si="1205"/>
        <v>0</v>
      </c>
      <c r="AO511" s="2">
        <f t="shared" si="1205"/>
        <v>0</v>
      </c>
      <c r="AP511" s="28">
        <f t="shared" si="1205"/>
        <v>0</v>
      </c>
      <c r="AQ511" s="19">
        <f t="shared" si="1205"/>
        <v>0</v>
      </c>
      <c r="AR511">
        <f t="shared" si="1205"/>
        <v>0</v>
      </c>
      <c r="AS511" s="2">
        <f t="shared" si="1205"/>
        <v>0</v>
      </c>
      <c r="AT511" s="21">
        <f t="shared" si="1205"/>
        <v>0</v>
      </c>
      <c r="AU511">
        <f t="shared" si="1205"/>
        <v>0</v>
      </c>
      <c r="AV511">
        <f t="shared" si="1205"/>
        <v>0</v>
      </c>
      <c r="AW511">
        <f t="shared" si="1205"/>
        <v>0</v>
      </c>
      <c r="AX511">
        <f t="shared" si="1205"/>
        <v>0</v>
      </c>
      <c r="AY511">
        <f t="shared" si="1205"/>
        <v>0</v>
      </c>
      <c r="AZ511" s="684" t="str">
        <f t="shared" si="1205"/>
        <v>base</v>
      </c>
      <c r="BA511" s="449" t="str">
        <f t="shared" si="1205"/>
        <v>low</v>
      </c>
      <c r="BB511" s="449" t="str">
        <f t="shared" si="1205"/>
        <v>high</v>
      </c>
      <c r="BC511">
        <f t="shared" si="1205"/>
        <v>0</v>
      </c>
      <c r="BD511">
        <f t="shared" si="1205"/>
        <v>0</v>
      </c>
    </row>
    <row r="512" spans="1:56" x14ac:dyDescent="0.3">
      <c r="A512">
        <f t="shared" ref="A512:T512" si="1206">A330</f>
        <v>0</v>
      </c>
      <c r="B512">
        <f t="shared" si="1206"/>
        <v>0</v>
      </c>
      <c r="C512">
        <f t="shared" si="1206"/>
        <v>0</v>
      </c>
      <c r="D512">
        <f t="shared" si="1206"/>
        <v>0</v>
      </c>
      <c r="E512">
        <f t="shared" si="1206"/>
        <v>0</v>
      </c>
      <c r="F512" s="28">
        <f t="shared" si="1206"/>
        <v>0</v>
      </c>
      <c r="G512">
        <f t="shared" si="1206"/>
        <v>0</v>
      </c>
      <c r="H512" s="11">
        <f t="shared" si="1206"/>
        <v>0</v>
      </c>
      <c r="I512">
        <f t="shared" si="1206"/>
        <v>0</v>
      </c>
      <c r="J512">
        <f t="shared" si="1206"/>
        <v>0</v>
      </c>
      <c r="K512">
        <f t="shared" si="1206"/>
        <v>0</v>
      </c>
      <c r="L512" s="2">
        <f t="shared" si="1206"/>
        <v>0</v>
      </c>
      <c r="M512" s="28">
        <f t="shared" si="1206"/>
        <v>0</v>
      </c>
      <c r="N512" s="19">
        <f t="shared" si="1206"/>
        <v>0</v>
      </c>
      <c r="O512">
        <f t="shared" si="1206"/>
        <v>0</v>
      </c>
      <c r="P512" s="2">
        <f t="shared" si="1206"/>
        <v>0</v>
      </c>
      <c r="Q512" s="21">
        <f t="shared" si="1206"/>
        <v>0</v>
      </c>
      <c r="R512">
        <f t="shared" si="1206"/>
        <v>0</v>
      </c>
      <c r="S512">
        <f t="shared" si="1206"/>
        <v>0</v>
      </c>
      <c r="T512">
        <f t="shared" si="1206"/>
        <v>0</v>
      </c>
      <c r="V512" s="2" t="str">
        <f t="shared" ref="V512:AA512" si="1207">V330</f>
        <v>Outpatient visits prevented</v>
      </c>
      <c r="W512" s="33">
        <f t="shared" si="1207"/>
        <v>2458.3467121524104</v>
      </c>
      <c r="X512" s="450">
        <f t="shared" si="1207"/>
        <v>2737.7042930788211</v>
      </c>
      <c r="Y512" s="450">
        <f t="shared" si="1207"/>
        <v>2178.9891312260002</v>
      </c>
      <c r="Z512">
        <f t="shared" si="1207"/>
        <v>0</v>
      </c>
      <c r="AA512">
        <f t="shared" si="1207"/>
        <v>0</v>
      </c>
      <c r="AD512">
        <f t="shared" ref="AD512:AW512" si="1208">AD330</f>
        <v>0</v>
      </c>
      <c r="AE512">
        <f t="shared" si="1208"/>
        <v>0</v>
      </c>
      <c r="AF512">
        <f t="shared" si="1208"/>
        <v>0</v>
      </c>
      <c r="AG512">
        <f t="shared" si="1208"/>
        <v>0</v>
      </c>
      <c r="AH512">
        <f t="shared" si="1208"/>
        <v>0</v>
      </c>
      <c r="AI512" s="28">
        <f t="shared" si="1208"/>
        <v>0</v>
      </c>
      <c r="AJ512">
        <f t="shared" si="1208"/>
        <v>0</v>
      </c>
      <c r="AK512" s="11">
        <f t="shared" si="1208"/>
        <v>0</v>
      </c>
      <c r="AL512">
        <f t="shared" si="1208"/>
        <v>0</v>
      </c>
      <c r="AM512">
        <f t="shared" si="1208"/>
        <v>0</v>
      </c>
      <c r="AN512">
        <f t="shared" si="1208"/>
        <v>0</v>
      </c>
      <c r="AO512" s="2">
        <f t="shared" si="1208"/>
        <v>0</v>
      </c>
      <c r="AP512" s="28">
        <f t="shared" si="1208"/>
        <v>0</v>
      </c>
      <c r="AQ512" s="19">
        <f t="shared" si="1208"/>
        <v>0</v>
      </c>
      <c r="AR512">
        <f t="shared" si="1208"/>
        <v>0</v>
      </c>
      <c r="AS512" s="2">
        <f t="shared" si="1208"/>
        <v>0</v>
      </c>
      <c r="AT512" s="21">
        <f t="shared" si="1208"/>
        <v>0</v>
      </c>
      <c r="AU512">
        <f t="shared" si="1208"/>
        <v>0</v>
      </c>
      <c r="AV512">
        <f t="shared" si="1208"/>
        <v>0</v>
      </c>
      <c r="AW512">
        <f t="shared" si="1208"/>
        <v>0</v>
      </c>
      <c r="AY512" s="2" t="str">
        <f t="shared" ref="AY512:BD512" si="1209">AY330</f>
        <v>Outpatient visits prevented</v>
      </c>
      <c r="AZ512" s="33">
        <f t="shared" si="1209"/>
        <v>1262.6579269735651</v>
      </c>
      <c r="BA512" s="450">
        <f t="shared" si="1209"/>
        <v>1406.1417823114705</v>
      </c>
      <c r="BB512" s="450">
        <f t="shared" si="1209"/>
        <v>1119.1740716356601</v>
      </c>
      <c r="BC512">
        <f t="shared" si="1209"/>
        <v>0</v>
      </c>
      <c r="BD512">
        <f t="shared" si="1209"/>
        <v>0</v>
      </c>
    </row>
    <row r="513" spans="1:56" x14ac:dyDescent="0.3">
      <c r="A513">
        <f t="shared" ref="A513:AA513" si="1210">A331</f>
        <v>0</v>
      </c>
      <c r="B513">
        <f t="shared" si="1210"/>
        <v>0</v>
      </c>
      <c r="C513">
        <f t="shared" si="1210"/>
        <v>0</v>
      </c>
      <c r="D513">
        <f t="shared" si="1210"/>
        <v>0</v>
      </c>
      <c r="F513" s="28"/>
      <c r="G513">
        <f t="shared" si="1210"/>
        <v>0</v>
      </c>
      <c r="H513" s="11">
        <f t="shared" si="1210"/>
        <v>0</v>
      </c>
      <c r="I513">
        <f t="shared" si="1210"/>
        <v>0</v>
      </c>
      <c r="J513">
        <f t="shared" si="1210"/>
        <v>0</v>
      </c>
      <c r="K513">
        <f t="shared" si="1210"/>
        <v>0</v>
      </c>
      <c r="L513" s="2">
        <f t="shared" si="1210"/>
        <v>0</v>
      </c>
      <c r="M513" s="28">
        <f t="shared" si="1210"/>
        <v>0</v>
      </c>
      <c r="N513" s="19">
        <f t="shared" si="1210"/>
        <v>0</v>
      </c>
      <c r="O513">
        <f t="shared" si="1210"/>
        <v>0</v>
      </c>
      <c r="P513" s="2">
        <f t="shared" si="1210"/>
        <v>0</v>
      </c>
      <c r="Q513" s="21">
        <f t="shared" si="1210"/>
        <v>0</v>
      </c>
      <c r="R513">
        <f t="shared" si="1210"/>
        <v>0</v>
      </c>
      <c r="S513">
        <f t="shared" si="1210"/>
        <v>0</v>
      </c>
      <c r="T513" s="16">
        <f t="shared" si="1210"/>
        <v>0</v>
      </c>
      <c r="U513" s="17">
        <f t="shared" si="1210"/>
        <v>0</v>
      </c>
      <c r="V513" s="15" t="str">
        <f t="shared" si="1210"/>
        <v>p4c</v>
      </c>
      <c r="W513" s="61">
        <f t="shared" si="1210"/>
        <v>1.4910674201012974</v>
      </c>
      <c r="X513" s="451">
        <f t="shared" si="1210"/>
        <v>1.4910674201012974</v>
      </c>
      <c r="Y513" s="451">
        <f t="shared" si="1210"/>
        <v>1.4910674201012974</v>
      </c>
      <c r="Z513">
        <f t="shared" si="1210"/>
        <v>0</v>
      </c>
      <c r="AA513">
        <f t="shared" si="1210"/>
        <v>0</v>
      </c>
      <c r="AD513">
        <f t="shared" ref="AD513:AG513" si="1211">AD331</f>
        <v>0</v>
      </c>
      <c r="AE513">
        <f t="shared" si="1211"/>
        <v>0</v>
      </c>
      <c r="AF513">
        <f t="shared" si="1211"/>
        <v>0</v>
      </c>
      <c r="AG513">
        <f t="shared" si="1211"/>
        <v>0</v>
      </c>
      <c r="AI513" s="28"/>
      <c r="AJ513">
        <f t="shared" ref="AJ513:BD513" si="1212">AJ331</f>
        <v>0</v>
      </c>
      <c r="AK513" s="11">
        <f t="shared" si="1212"/>
        <v>0</v>
      </c>
      <c r="AL513">
        <f t="shared" si="1212"/>
        <v>0</v>
      </c>
      <c r="AM513">
        <f t="shared" si="1212"/>
        <v>0</v>
      </c>
      <c r="AN513">
        <f t="shared" si="1212"/>
        <v>0</v>
      </c>
      <c r="AO513" s="2">
        <f t="shared" si="1212"/>
        <v>0</v>
      </c>
      <c r="AP513" s="28">
        <f t="shared" si="1212"/>
        <v>0</v>
      </c>
      <c r="AQ513" s="19">
        <f t="shared" si="1212"/>
        <v>0</v>
      </c>
      <c r="AR513">
        <f t="shared" si="1212"/>
        <v>0</v>
      </c>
      <c r="AS513" s="2">
        <f t="shared" si="1212"/>
        <v>0</v>
      </c>
      <c r="AT513" s="21">
        <f t="shared" si="1212"/>
        <v>0</v>
      </c>
      <c r="AU513">
        <f t="shared" si="1212"/>
        <v>0</v>
      </c>
      <c r="AV513">
        <f t="shared" si="1212"/>
        <v>0</v>
      </c>
      <c r="AW513" s="16">
        <f t="shared" si="1212"/>
        <v>0</v>
      </c>
      <c r="AX513" s="17">
        <f t="shared" si="1212"/>
        <v>0</v>
      </c>
      <c r="AY513" s="15" t="str">
        <f t="shared" si="1212"/>
        <v>p4c</v>
      </c>
      <c r="AZ513" s="61">
        <f t="shared" si="1212"/>
        <v>0.76584319385710953</v>
      </c>
      <c r="BA513" s="451">
        <f t="shared" si="1212"/>
        <v>0.76584319385710953</v>
      </c>
      <c r="BB513" s="451">
        <f t="shared" si="1212"/>
        <v>0.76584319385710953</v>
      </c>
      <c r="BC513">
        <f t="shared" si="1212"/>
        <v>0</v>
      </c>
      <c r="BD513">
        <f t="shared" si="1212"/>
        <v>0</v>
      </c>
    </row>
    <row r="514" spans="1:56" x14ac:dyDescent="0.3">
      <c r="A514">
        <f t="shared" ref="A514:AA514" si="1213">A332</f>
        <v>0</v>
      </c>
      <c r="B514">
        <f t="shared" si="1213"/>
        <v>0</v>
      </c>
      <c r="C514">
        <f t="shared" si="1213"/>
        <v>0</v>
      </c>
      <c r="D514">
        <f t="shared" si="1213"/>
        <v>0</v>
      </c>
      <c r="F514" s="28"/>
      <c r="G514">
        <f t="shared" si="1213"/>
        <v>0</v>
      </c>
      <c r="H514" s="11">
        <f t="shared" si="1213"/>
        <v>0</v>
      </c>
      <c r="I514">
        <f t="shared" si="1213"/>
        <v>0</v>
      </c>
      <c r="J514">
        <f t="shared" si="1213"/>
        <v>0</v>
      </c>
      <c r="K514">
        <f t="shared" si="1213"/>
        <v>0</v>
      </c>
      <c r="L514" s="2">
        <f t="shared" si="1213"/>
        <v>0</v>
      </c>
      <c r="M514" s="28">
        <f t="shared" si="1213"/>
        <v>0</v>
      </c>
      <c r="N514" s="19">
        <f t="shared" si="1213"/>
        <v>0</v>
      </c>
      <c r="O514">
        <f t="shared" si="1213"/>
        <v>0</v>
      </c>
      <c r="P514" s="2">
        <f t="shared" si="1213"/>
        <v>0</v>
      </c>
      <c r="Q514" s="21">
        <f t="shared" si="1213"/>
        <v>0</v>
      </c>
      <c r="R514">
        <f t="shared" si="1213"/>
        <v>0</v>
      </c>
      <c r="S514">
        <f t="shared" si="1213"/>
        <v>0</v>
      </c>
      <c r="T514" s="11">
        <f t="shared" si="1213"/>
        <v>0</v>
      </c>
      <c r="U514" s="13">
        <f t="shared" si="1213"/>
        <v>0</v>
      </c>
      <c r="V514" s="2">
        <f t="shared" si="1213"/>
        <v>0</v>
      </c>
      <c r="W514">
        <f t="shared" si="1213"/>
        <v>0</v>
      </c>
      <c r="X514" s="452">
        <f t="shared" si="1213"/>
        <v>0</v>
      </c>
      <c r="Y514" s="452">
        <f t="shared" si="1213"/>
        <v>0</v>
      </c>
      <c r="Z514">
        <f t="shared" si="1213"/>
        <v>0</v>
      </c>
      <c r="AA514">
        <f t="shared" si="1213"/>
        <v>0</v>
      </c>
      <c r="AD514">
        <f t="shared" ref="AD514:AG514" si="1214">AD332</f>
        <v>0</v>
      </c>
      <c r="AE514">
        <f t="shared" si="1214"/>
        <v>0</v>
      </c>
      <c r="AF514">
        <f t="shared" si="1214"/>
        <v>0</v>
      </c>
      <c r="AG514">
        <f t="shared" si="1214"/>
        <v>0</v>
      </c>
      <c r="AI514" s="28"/>
      <c r="AJ514">
        <f t="shared" ref="AJ514:BD514" si="1215">AJ332</f>
        <v>0</v>
      </c>
      <c r="AK514" s="11">
        <f t="shared" si="1215"/>
        <v>0</v>
      </c>
      <c r="AL514">
        <f t="shared" si="1215"/>
        <v>0</v>
      </c>
      <c r="AM514">
        <f t="shared" si="1215"/>
        <v>0</v>
      </c>
      <c r="AN514">
        <f t="shared" si="1215"/>
        <v>0</v>
      </c>
      <c r="AO514" s="2">
        <f t="shared" si="1215"/>
        <v>0</v>
      </c>
      <c r="AP514" s="28">
        <f t="shared" si="1215"/>
        <v>0</v>
      </c>
      <c r="AQ514" s="19">
        <f t="shared" si="1215"/>
        <v>0</v>
      </c>
      <c r="AR514">
        <f t="shared" si="1215"/>
        <v>0</v>
      </c>
      <c r="AS514" s="2">
        <f t="shared" si="1215"/>
        <v>0</v>
      </c>
      <c r="AT514" s="21">
        <f t="shared" si="1215"/>
        <v>0</v>
      </c>
      <c r="AU514">
        <f t="shared" si="1215"/>
        <v>0</v>
      </c>
      <c r="AV514">
        <f t="shared" si="1215"/>
        <v>0</v>
      </c>
      <c r="AW514" s="11">
        <f t="shared" si="1215"/>
        <v>0</v>
      </c>
      <c r="AX514" s="13">
        <f t="shared" si="1215"/>
        <v>0</v>
      </c>
      <c r="AY514" s="2">
        <f t="shared" si="1215"/>
        <v>0</v>
      </c>
      <c r="AZ514">
        <f t="shared" si="1215"/>
        <v>0</v>
      </c>
      <c r="BA514" s="452">
        <f t="shared" si="1215"/>
        <v>0</v>
      </c>
      <c r="BB514" s="452">
        <f t="shared" si="1215"/>
        <v>0</v>
      </c>
      <c r="BC514">
        <f t="shared" si="1215"/>
        <v>0</v>
      </c>
      <c r="BD514">
        <f t="shared" si="1215"/>
        <v>0</v>
      </c>
    </row>
    <row r="515" spans="1:56" x14ac:dyDescent="0.3">
      <c r="A515">
        <f t="shared" ref="A515:T515" si="1216">A333</f>
        <v>0</v>
      </c>
      <c r="B515">
        <f t="shared" si="1216"/>
        <v>0</v>
      </c>
      <c r="C515">
        <f t="shared" si="1216"/>
        <v>0</v>
      </c>
      <c r="D515">
        <f t="shared" si="1216"/>
        <v>0</v>
      </c>
      <c r="F515" s="28"/>
      <c r="G515">
        <f t="shared" si="1216"/>
        <v>0</v>
      </c>
      <c r="H515" s="11">
        <f t="shared" si="1216"/>
        <v>0</v>
      </c>
      <c r="I515">
        <f t="shared" si="1216"/>
        <v>0</v>
      </c>
      <c r="J515">
        <f t="shared" si="1216"/>
        <v>0</v>
      </c>
      <c r="K515">
        <f t="shared" si="1216"/>
        <v>0</v>
      </c>
      <c r="L515" s="2">
        <f t="shared" si="1216"/>
        <v>0</v>
      </c>
      <c r="M515" s="28">
        <f t="shared" si="1216"/>
        <v>0</v>
      </c>
      <c r="N515" s="19">
        <f t="shared" si="1216"/>
        <v>0</v>
      </c>
      <c r="O515">
        <f t="shared" si="1216"/>
        <v>0</v>
      </c>
      <c r="P515" s="2"/>
      <c r="Q515" s="2" t="str">
        <f t="shared" si="1216"/>
        <v>Vaccine Effective</v>
      </c>
      <c r="R515" s="33">
        <f t="shared" si="1216"/>
        <v>3655.9714391042212</v>
      </c>
      <c r="S515">
        <f t="shared" si="1216"/>
        <v>0</v>
      </c>
      <c r="T515" s="18">
        <f t="shared" si="1216"/>
        <v>0</v>
      </c>
      <c r="U515" s="438"/>
      <c r="V515" s="12" t="str">
        <f t="shared" ref="V515:AA515" si="1217">V333</f>
        <v>ED visits prevented</v>
      </c>
      <c r="W515" s="33">
        <f t="shared" si="1217"/>
        <v>923.25609430422901</v>
      </c>
      <c r="X515" s="450">
        <f t="shared" si="1217"/>
        <v>1028.1715595660735</v>
      </c>
      <c r="Y515" s="450">
        <f t="shared" si="1217"/>
        <v>818.34062904238488</v>
      </c>
      <c r="Z515">
        <f t="shared" si="1217"/>
        <v>0</v>
      </c>
      <c r="AA515">
        <f t="shared" si="1217"/>
        <v>0</v>
      </c>
      <c r="AD515">
        <f t="shared" ref="AD515:AG515" si="1218">AD333</f>
        <v>0</v>
      </c>
      <c r="AE515">
        <f t="shared" si="1218"/>
        <v>0</v>
      </c>
      <c r="AF515">
        <f t="shared" si="1218"/>
        <v>0</v>
      </c>
      <c r="AG515">
        <f t="shared" si="1218"/>
        <v>0</v>
      </c>
      <c r="AI515" s="28"/>
      <c r="AJ515">
        <f t="shared" ref="AJ515:AR515" si="1219">AJ333</f>
        <v>0</v>
      </c>
      <c r="AK515" s="11">
        <f t="shared" si="1219"/>
        <v>0</v>
      </c>
      <c r="AL515">
        <f t="shared" si="1219"/>
        <v>0</v>
      </c>
      <c r="AM515">
        <f t="shared" si="1219"/>
        <v>0</v>
      </c>
      <c r="AN515">
        <f t="shared" si="1219"/>
        <v>0</v>
      </c>
      <c r="AO515" s="2">
        <f t="shared" si="1219"/>
        <v>0</v>
      </c>
      <c r="AP515" s="28">
        <f t="shared" si="1219"/>
        <v>0</v>
      </c>
      <c r="AQ515" s="19">
        <f t="shared" si="1219"/>
        <v>0</v>
      </c>
      <c r="AR515">
        <f t="shared" si="1219"/>
        <v>0</v>
      </c>
      <c r="AS515" s="2"/>
      <c r="AT515" s="2" t="str">
        <f t="shared" ref="AT515:AW515" si="1220">AT333</f>
        <v>Vaccine Effective</v>
      </c>
      <c r="AU515" s="33">
        <f t="shared" si="1220"/>
        <v>1833.7303613177905</v>
      </c>
      <c r="AV515">
        <f t="shared" si="1220"/>
        <v>0</v>
      </c>
      <c r="AW515" s="18">
        <f t="shared" si="1220"/>
        <v>0</v>
      </c>
      <c r="AX515" s="500"/>
      <c r="AY515" s="12" t="str">
        <f t="shared" ref="AY515:BD515" si="1221">AY333</f>
        <v>ED visits prevented</v>
      </c>
      <c r="AZ515" s="33">
        <f t="shared" si="1221"/>
        <v>501.85372873785138</v>
      </c>
      <c r="BA515" s="450">
        <f t="shared" si="1221"/>
        <v>558.88256154897101</v>
      </c>
      <c r="BB515" s="450">
        <f t="shared" si="1221"/>
        <v>444.82489592673193</v>
      </c>
      <c r="BC515">
        <f t="shared" si="1221"/>
        <v>0</v>
      </c>
      <c r="BD515">
        <f t="shared" si="1221"/>
        <v>0</v>
      </c>
    </row>
    <row r="516" spans="1:56" x14ac:dyDescent="0.3">
      <c r="A516">
        <f t="shared" ref="A516:AA516" si="1222">A334</f>
        <v>0</v>
      </c>
      <c r="B516">
        <f t="shared" si="1222"/>
        <v>0</v>
      </c>
      <c r="C516">
        <f t="shared" si="1222"/>
        <v>0</v>
      </c>
      <c r="D516">
        <f t="shared" si="1222"/>
        <v>0</v>
      </c>
      <c r="F516" s="28"/>
      <c r="G516">
        <f t="shared" si="1222"/>
        <v>0</v>
      </c>
      <c r="H516" s="11">
        <f t="shared" si="1222"/>
        <v>0</v>
      </c>
      <c r="I516">
        <f t="shared" si="1222"/>
        <v>0</v>
      </c>
      <c r="J516">
        <f t="shared" si="1222"/>
        <v>0</v>
      </c>
      <c r="K516">
        <f t="shared" si="1222"/>
        <v>0</v>
      </c>
      <c r="L516" s="2">
        <f t="shared" si="1222"/>
        <v>0</v>
      </c>
      <c r="M516" s="28">
        <f t="shared" si="1222"/>
        <v>0</v>
      </c>
      <c r="N516" s="19">
        <f t="shared" si="1222"/>
        <v>0</v>
      </c>
      <c r="O516">
        <f t="shared" si="1222"/>
        <v>0</v>
      </c>
      <c r="P516" s="2">
        <f t="shared" si="1222"/>
        <v>0</v>
      </c>
      <c r="Q516" s="64" t="str">
        <f t="shared" si="1222"/>
        <v>p6</v>
      </c>
      <c r="R516" s="66">
        <f t="shared" si="1222"/>
        <v>0.51</v>
      </c>
      <c r="S516" s="17">
        <f t="shared" si="1222"/>
        <v>0</v>
      </c>
      <c r="T516" s="11">
        <f t="shared" si="1222"/>
        <v>0</v>
      </c>
      <c r="U516" s="13">
        <f t="shared" si="1222"/>
        <v>0</v>
      </c>
      <c r="V516" s="2" t="str">
        <f t="shared" si="1222"/>
        <v>p4b</v>
      </c>
      <c r="W516" s="61">
        <f t="shared" si="1222"/>
        <v>0.55998491824682028</v>
      </c>
      <c r="X516" s="451">
        <f t="shared" si="1222"/>
        <v>0.55998491824682028</v>
      </c>
      <c r="Y516" s="451">
        <f t="shared" si="1222"/>
        <v>0.55998491824682028</v>
      </c>
      <c r="Z516">
        <f t="shared" si="1222"/>
        <v>0</v>
      </c>
      <c r="AA516">
        <f t="shared" si="1222"/>
        <v>0</v>
      </c>
      <c r="AD516">
        <f t="shared" ref="AD516:AG516" si="1223">AD334</f>
        <v>0</v>
      </c>
      <c r="AE516">
        <f t="shared" si="1223"/>
        <v>0</v>
      </c>
      <c r="AF516">
        <f t="shared" si="1223"/>
        <v>0</v>
      </c>
      <c r="AG516">
        <f t="shared" si="1223"/>
        <v>0</v>
      </c>
      <c r="AI516" s="28"/>
      <c r="AJ516">
        <f t="shared" ref="AJ516:BD516" si="1224">AJ334</f>
        <v>0</v>
      </c>
      <c r="AK516" s="11">
        <f t="shared" si="1224"/>
        <v>0</v>
      </c>
      <c r="AL516">
        <f t="shared" si="1224"/>
        <v>0</v>
      </c>
      <c r="AM516">
        <f t="shared" si="1224"/>
        <v>0</v>
      </c>
      <c r="AN516">
        <f t="shared" si="1224"/>
        <v>0</v>
      </c>
      <c r="AO516" s="2">
        <f t="shared" si="1224"/>
        <v>0</v>
      </c>
      <c r="AP516" s="28">
        <f t="shared" si="1224"/>
        <v>0</v>
      </c>
      <c r="AQ516" s="19">
        <f t="shared" si="1224"/>
        <v>0</v>
      </c>
      <c r="AR516">
        <f t="shared" si="1224"/>
        <v>0</v>
      </c>
      <c r="AS516" s="2">
        <f t="shared" si="1224"/>
        <v>0</v>
      </c>
      <c r="AT516" s="64" t="str">
        <f t="shared" si="1224"/>
        <v>p6</v>
      </c>
      <c r="AU516" s="66">
        <f t="shared" si="1224"/>
        <v>0.51</v>
      </c>
      <c r="AV516" s="17">
        <f t="shared" si="1224"/>
        <v>0</v>
      </c>
      <c r="AW516" s="11">
        <f t="shared" si="1224"/>
        <v>0</v>
      </c>
      <c r="AX516" s="13">
        <f t="shared" si="1224"/>
        <v>0</v>
      </c>
      <c r="AY516" s="2" t="str">
        <f t="shared" si="1224"/>
        <v>p4b</v>
      </c>
      <c r="AZ516" s="61">
        <f t="shared" si="1224"/>
        <v>0.30439064631456758</v>
      </c>
      <c r="BA516" s="451">
        <f t="shared" si="1224"/>
        <v>0.30439064631456758</v>
      </c>
      <c r="BB516" s="451">
        <f t="shared" si="1224"/>
        <v>0.30439064631456758</v>
      </c>
      <c r="BC516">
        <f t="shared" si="1224"/>
        <v>0</v>
      </c>
      <c r="BD516">
        <f t="shared" si="1224"/>
        <v>0</v>
      </c>
    </row>
    <row r="517" spans="1:56" x14ac:dyDescent="0.3">
      <c r="A517">
        <f t="shared" ref="A517:AA517" si="1225">A335</f>
        <v>0</v>
      </c>
      <c r="B517">
        <f t="shared" si="1225"/>
        <v>0</v>
      </c>
      <c r="C517">
        <f t="shared" si="1225"/>
        <v>0</v>
      </c>
      <c r="D517">
        <f t="shared" si="1225"/>
        <v>0</v>
      </c>
      <c r="E517">
        <f t="shared" si="1225"/>
        <v>0</v>
      </c>
      <c r="F517" s="28">
        <f t="shared" si="1225"/>
        <v>0</v>
      </c>
      <c r="G517">
        <f t="shared" si="1225"/>
        <v>0</v>
      </c>
      <c r="H517" s="11">
        <f t="shared" si="1225"/>
        <v>0</v>
      </c>
      <c r="I517">
        <f t="shared" si="1225"/>
        <v>0</v>
      </c>
      <c r="J517">
        <f t="shared" si="1225"/>
        <v>0</v>
      </c>
      <c r="K517">
        <f t="shared" si="1225"/>
        <v>0</v>
      </c>
      <c r="L517" s="2">
        <f t="shared" si="1225"/>
        <v>0</v>
      </c>
      <c r="M517" s="28">
        <f t="shared" si="1225"/>
        <v>0</v>
      </c>
      <c r="N517">
        <f t="shared" si="1225"/>
        <v>0</v>
      </c>
      <c r="O517">
        <f t="shared" si="1225"/>
        <v>0</v>
      </c>
      <c r="P517" s="2">
        <f t="shared" si="1225"/>
        <v>0</v>
      </c>
      <c r="Q517" s="94">
        <f t="shared" si="1225"/>
        <v>0</v>
      </c>
      <c r="R517">
        <f t="shared" si="1225"/>
        <v>0</v>
      </c>
      <c r="S517">
        <f t="shared" si="1225"/>
        <v>0</v>
      </c>
      <c r="T517" s="11">
        <f t="shared" si="1225"/>
        <v>0</v>
      </c>
      <c r="U517" s="13">
        <f t="shared" si="1225"/>
        <v>0</v>
      </c>
      <c r="V517" s="2">
        <f t="shared" si="1225"/>
        <v>0</v>
      </c>
      <c r="W517">
        <f t="shared" si="1225"/>
        <v>0</v>
      </c>
      <c r="X517" s="452">
        <f t="shared" si="1225"/>
        <v>0</v>
      </c>
      <c r="Y517" s="452">
        <f t="shared" si="1225"/>
        <v>0</v>
      </c>
      <c r="Z517">
        <f t="shared" si="1225"/>
        <v>0</v>
      </c>
      <c r="AA517">
        <f t="shared" si="1225"/>
        <v>0</v>
      </c>
      <c r="AD517">
        <f t="shared" ref="AD517:BD517" si="1226">AD335</f>
        <v>0</v>
      </c>
      <c r="AE517">
        <f t="shared" si="1226"/>
        <v>0</v>
      </c>
      <c r="AF517">
        <f t="shared" si="1226"/>
        <v>0</v>
      </c>
      <c r="AG517">
        <f t="shared" si="1226"/>
        <v>0</v>
      </c>
      <c r="AH517">
        <f t="shared" si="1226"/>
        <v>0</v>
      </c>
      <c r="AI517" s="28">
        <f t="shared" si="1226"/>
        <v>0</v>
      </c>
      <c r="AJ517">
        <f t="shared" si="1226"/>
        <v>0</v>
      </c>
      <c r="AK517" s="11">
        <f t="shared" si="1226"/>
        <v>0</v>
      </c>
      <c r="AL517">
        <f t="shared" si="1226"/>
        <v>0</v>
      </c>
      <c r="AM517">
        <f t="shared" si="1226"/>
        <v>0</v>
      </c>
      <c r="AN517">
        <f t="shared" si="1226"/>
        <v>0</v>
      </c>
      <c r="AO517" s="2">
        <f t="shared" si="1226"/>
        <v>0</v>
      </c>
      <c r="AP517" s="28">
        <f t="shared" si="1226"/>
        <v>0</v>
      </c>
      <c r="AQ517">
        <f t="shared" si="1226"/>
        <v>0</v>
      </c>
      <c r="AR517">
        <f t="shared" si="1226"/>
        <v>0</v>
      </c>
      <c r="AS517" s="2">
        <f t="shared" si="1226"/>
        <v>0</v>
      </c>
      <c r="AT517" s="94">
        <f t="shared" si="1226"/>
        <v>0</v>
      </c>
      <c r="AU517">
        <f t="shared" si="1226"/>
        <v>0</v>
      </c>
      <c r="AV517">
        <f t="shared" si="1226"/>
        <v>0</v>
      </c>
      <c r="AW517" s="11">
        <f t="shared" si="1226"/>
        <v>0</v>
      </c>
      <c r="AX517" s="13">
        <f t="shared" si="1226"/>
        <v>0</v>
      </c>
      <c r="AY517" s="2">
        <f t="shared" si="1226"/>
        <v>0</v>
      </c>
      <c r="AZ517">
        <f t="shared" si="1226"/>
        <v>0</v>
      </c>
      <c r="BA517" s="452">
        <f t="shared" si="1226"/>
        <v>0</v>
      </c>
      <c r="BB517" s="452">
        <f t="shared" si="1226"/>
        <v>0</v>
      </c>
      <c r="BC517">
        <f t="shared" si="1226"/>
        <v>0</v>
      </c>
      <c r="BD517">
        <f t="shared" si="1226"/>
        <v>0</v>
      </c>
    </row>
    <row r="518" spans="1:56" x14ac:dyDescent="0.3">
      <c r="A518">
        <f t="shared" ref="A518:S518" si="1227">A336</f>
        <v>0</v>
      </c>
      <c r="B518">
        <f t="shared" si="1227"/>
        <v>0</v>
      </c>
      <c r="C518" s="53">
        <f t="shared" si="1227"/>
        <v>0</v>
      </c>
      <c r="D518">
        <f t="shared" si="1227"/>
        <v>0</v>
      </c>
      <c r="E518">
        <f t="shared" si="1227"/>
        <v>0</v>
      </c>
      <c r="F518">
        <f t="shared" si="1227"/>
        <v>0</v>
      </c>
      <c r="G518">
        <f t="shared" si="1227"/>
        <v>0</v>
      </c>
      <c r="H518" s="11">
        <f t="shared" si="1227"/>
        <v>0</v>
      </c>
      <c r="I518">
        <f t="shared" si="1227"/>
        <v>0</v>
      </c>
      <c r="J518">
        <f t="shared" si="1227"/>
        <v>0</v>
      </c>
      <c r="K518">
        <f t="shared" si="1227"/>
        <v>0</v>
      </c>
      <c r="L518">
        <f t="shared" si="1227"/>
        <v>0</v>
      </c>
      <c r="M518">
        <f t="shared" si="1227"/>
        <v>0</v>
      </c>
      <c r="N518" s="14"/>
      <c r="O518" s="28"/>
      <c r="P518">
        <f t="shared" si="1227"/>
        <v>0</v>
      </c>
      <c r="Q518" s="11">
        <f t="shared" si="1227"/>
        <v>0</v>
      </c>
      <c r="R518" s="13">
        <f t="shared" si="1227"/>
        <v>0</v>
      </c>
      <c r="S518">
        <f t="shared" si="1227"/>
        <v>0</v>
      </c>
      <c r="T518" s="18"/>
      <c r="U518" s="438"/>
      <c r="V518" s="12" t="str">
        <f t="shared" ref="V518:AA518" si="1228">V336</f>
        <v>Hospitalizations prevented</v>
      </c>
      <c r="W518" s="30">
        <f t="shared" si="1228"/>
        <v>274.36863264758182</v>
      </c>
      <c r="X518" s="453">
        <f t="shared" si="1228"/>
        <v>305.54688635753433</v>
      </c>
      <c r="Y518" s="453">
        <f t="shared" si="1228"/>
        <v>243.19037893762933</v>
      </c>
      <c r="Z518">
        <f t="shared" si="1228"/>
        <v>0</v>
      </c>
      <c r="AA518">
        <f t="shared" si="1228"/>
        <v>0</v>
      </c>
      <c r="AD518">
        <f t="shared" ref="AD518:AP518" si="1229">AD336</f>
        <v>0</v>
      </c>
      <c r="AE518">
        <f t="shared" si="1229"/>
        <v>0</v>
      </c>
      <c r="AF518" s="53">
        <f t="shared" si="1229"/>
        <v>0</v>
      </c>
      <c r="AG518">
        <f t="shared" si="1229"/>
        <v>0</v>
      </c>
      <c r="AH518">
        <f t="shared" si="1229"/>
        <v>0</v>
      </c>
      <c r="AI518">
        <f t="shared" si="1229"/>
        <v>0</v>
      </c>
      <c r="AJ518">
        <f t="shared" si="1229"/>
        <v>0</v>
      </c>
      <c r="AK518" s="11">
        <f t="shared" si="1229"/>
        <v>0</v>
      </c>
      <c r="AL518">
        <f t="shared" si="1229"/>
        <v>0</v>
      </c>
      <c r="AM518">
        <f t="shared" si="1229"/>
        <v>0</v>
      </c>
      <c r="AN518">
        <f t="shared" si="1229"/>
        <v>0</v>
      </c>
      <c r="AO518">
        <f t="shared" si="1229"/>
        <v>0</v>
      </c>
      <c r="AP518">
        <f t="shared" si="1229"/>
        <v>0</v>
      </c>
      <c r="AQ518" s="14"/>
      <c r="AR518" s="28"/>
      <c r="AS518">
        <f t="shared" ref="AS518:AV518" si="1230">AS336</f>
        <v>0</v>
      </c>
      <c r="AT518" s="11">
        <f t="shared" si="1230"/>
        <v>0</v>
      </c>
      <c r="AU518" s="13">
        <f t="shared" si="1230"/>
        <v>0</v>
      </c>
      <c r="AV518">
        <f t="shared" si="1230"/>
        <v>0</v>
      </c>
      <c r="AW518" s="18"/>
      <c r="AX518" s="500"/>
      <c r="AY518" s="12" t="str">
        <f t="shared" ref="AY518:BD518" si="1231">AY336</f>
        <v>Hospitalizations prevented</v>
      </c>
      <c r="AZ518" s="30">
        <f t="shared" si="1231"/>
        <v>69.218705606373959</v>
      </c>
      <c r="BA518" s="453">
        <f t="shared" si="1231"/>
        <v>77.08446760709829</v>
      </c>
      <c r="BB518" s="453">
        <f t="shared" si="1231"/>
        <v>61.352943605649649</v>
      </c>
      <c r="BC518">
        <f t="shared" si="1231"/>
        <v>0</v>
      </c>
      <c r="BD518">
        <f t="shared" si="1231"/>
        <v>0</v>
      </c>
    </row>
    <row r="519" spans="1:56" x14ac:dyDescent="0.3">
      <c r="A519">
        <f t="shared" ref="A519:AA519" si="1232">A337</f>
        <v>0</v>
      </c>
      <c r="B519">
        <f t="shared" si="1232"/>
        <v>0</v>
      </c>
      <c r="C519" s="22">
        <f t="shared" si="1232"/>
        <v>0</v>
      </c>
      <c r="D519">
        <f t="shared" si="1232"/>
        <v>0</v>
      </c>
      <c r="E519">
        <f t="shared" si="1232"/>
        <v>0</v>
      </c>
      <c r="F519">
        <f t="shared" si="1232"/>
        <v>0</v>
      </c>
      <c r="G519">
        <f t="shared" si="1232"/>
        <v>0</v>
      </c>
      <c r="H519" s="11">
        <f t="shared" si="1232"/>
        <v>0</v>
      </c>
      <c r="I519">
        <f t="shared" si="1232"/>
        <v>0</v>
      </c>
      <c r="J519">
        <f t="shared" si="1232"/>
        <v>0</v>
      </c>
      <c r="K519">
        <f t="shared" si="1232"/>
        <v>0</v>
      </c>
      <c r="L519">
        <f t="shared" si="1232"/>
        <v>0</v>
      </c>
      <c r="M519">
        <f t="shared" si="1232"/>
        <v>0</v>
      </c>
      <c r="N519" s="285"/>
      <c r="O519" s="28"/>
      <c r="P519">
        <f t="shared" si="1232"/>
        <v>0</v>
      </c>
      <c r="Q519" s="11">
        <f t="shared" si="1232"/>
        <v>0</v>
      </c>
      <c r="R519">
        <f t="shared" si="1232"/>
        <v>0</v>
      </c>
      <c r="S519">
        <f t="shared" si="1232"/>
        <v>0</v>
      </c>
      <c r="T519">
        <f t="shared" si="1232"/>
        <v>0</v>
      </c>
      <c r="U519">
        <f t="shared" si="1232"/>
        <v>0</v>
      </c>
      <c r="V519" s="2" t="str">
        <f t="shared" si="1232"/>
        <v>p4c</v>
      </c>
      <c r="W519" s="61">
        <f t="shared" si="1232"/>
        <v>0.16641351979207206</v>
      </c>
      <c r="X519" s="451">
        <f t="shared" si="1232"/>
        <v>0.16641351979207206</v>
      </c>
      <c r="Y519" s="451">
        <f t="shared" si="1232"/>
        <v>0.16641351979207206</v>
      </c>
      <c r="Z519">
        <f t="shared" si="1232"/>
        <v>0</v>
      </c>
      <c r="AA519">
        <f t="shared" si="1232"/>
        <v>0</v>
      </c>
      <c r="AD519">
        <f t="shared" ref="AD519:AP519" si="1233">AD337</f>
        <v>0</v>
      </c>
      <c r="AE519">
        <f t="shared" si="1233"/>
        <v>0</v>
      </c>
      <c r="AF519" s="22">
        <f t="shared" si="1233"/>
        <v>0</v>
      </c>
      <c r="AG519">
        <f t="shared" si="1233"/>
        <v>0</v>
      </c>
      <c r="AH519">
        <f t="shared" si="1233"/>
        <v>0</v>
      </c>
      <c r="AI519">
        <f t="shared" si="1233"/>
        <v>0</v>
      </c>
      <c r="AJ519">
        <f t="shared" si="1233"/>
        <v>0</v>
      </c>
      <c r="AK519" s="11">
        <f t="shared" si="1233"/>
        <v>0</v>
      </c>
      <c r="AL519">
        <f t="shared" si="1233"/>
        <v>0</v>
      </c>
      <c r="AM519">
        <f t="shared" si="1233"/>
        <v>0</v>
      </c>
      <c r="AN519">
        <f t="shared" si="1233"/>
        <v>0</v>
      </c>
      <c r="AO519">
        <f t="shared" si="1233"/>
        <v>0</v>
      </c>
      <c r="AP519">
        <f t="shared" si="1233"/>
        <v>0</v>
      </c>
      <c r="AQ519" s="285"/>
      <c r="AR519" s="28"/>
      <c r="AS519">
        <f t="shared" ref="AS519:BD519" si="1234">AS337</f>
        <v>0</v>
      </c>
      <c r="AT519" s="11">
        <f t="shared" si="1234"/>
        <v>0</v>
      </c>
      <c r="AU519">
        <f t="shared" si="1234"/>
        <v>0</v>
      </c>
      <c r="AV519">
        <f t="shared" si="1234"/>
        <v>0</v>
      </c>
      <c r="AW519">
        <f t="shared" si="1234"/>
        <v>0</v>
      </c>
      <c r="AX519">
        <f t="shared" si="1234"/>
        <v>0</v>
      </c>
      <c r="AY519" s="2" t="str">
        <f t="shared" si="1234"/>
        <v>p4c</v>
      </c>
      <c r="AZ519" s="61">
        <f t="shared" si="1234"/>
        <v>4.1983401397796216E-2</v>
      </c>
      <c r="BA519" s="451">
        <f t="shared" si="1234"/>
        <v>4.1983401397796216E-2</v>
      </c>
      <c r="BB519" s="451">
        <f t="shared" si="1234"/>
        <v>4.1983401397796216E-2</v>
      </c>
      <c r="BC519">
        <f t="shared" si="1234"/>
        <v>0</v>
      </c>
      <c r="BD519">
        <f t="shared" si="1234"/>
        <v>0</v>
      </c>
    </row>
    <row r="520" spans="1:56" x14ac:dyDescent="0.3">
      <c r="A520">
        <f t="shared" ref="A520:H520" si="1235">A338</f>
        <v>0</v>
      </c>
      <c r="B520">
        <f t="shared" si="1235"/>
        <v>0</v>
      </c>
      <c r="C520">
        <f t="shared" si="1235"/>
        <v>0</v>
      </c>
      <c r="D520">
        <f t="shared" si="1235"/>
        <v>0</v>
      </c>
      <c r="E520">
        <f t="shared" si="1235"/>
        <v>0</v>
      </c>
      <c r="F520">
        <f t="shared" si="1235"/>
        <v>0</v>
      </c>
      <c r="G520">
        <f t="shared" si="1235"/>
        <v>0</v>
      </c>
      <c r="H520" s="11">
        <f t="shared" si="1235"/>
        <v>0</v>
      </c>
      <c r="N520" s="2" t="str">
        <f t="shared" ref="N520:AA520" si="1236">N338</f>
        <v>Expected healthcare visits had palivizumab not been obtained</v>
      </c>
      <c r="O520" s="33">
        <f t="shared" si="1236"/>
        <v>7168.5714492239631</v>
      </c>
      <c r="P520">
        <f t="shared" si="1236"/>
        <v>0</v>
      </c>
      <c r="Q520" s="11">
        <f t="shared" si="1236"/>
        <v>0</v>
      </c>
      <c r="R520">
        <f t="shared" si="1236"/>
        <v>0</v>
      </c>
      <c r="S520">
        <f t="shared" si="1236"/>
        <v>0</v>
      </c>
      <c r="T520">
        <f t="shared" si="1236"/>
        <v>0</v>
      </c>
      <c r="U520">
        <f t="shared" si="1236"/>
        <v>0</v>
      </c>
      <c r="V520">
        <f t="shared" si="1236"/>
        <v>0</v>
      </c>
      <c r="W520" s="13">
        <f t="shared" si="1236"/>
        <v>0</v>
      </c>
      <c r="X520" s="452"/>
      <c r="Y520" s="452">
        <f t="shared" si="1236"/>
        <v>0</v>
      </c>
      <c r="Z520">
        <f t="shared" si="1236"/>
        <v>0</v>
      </c>
      <c r="AA520">
        <f t="shared" si="1236"/>
        <v>0</v>
      </c>
      <c r="AD520">
        <f t="shared" ref="AD520:AK520" si="1237">AD338</f>
        <v>0</v>
      </c>
      <c r="AE520">
        <f t="shared" si="1237"/>
        <v>0</v>
      </c>
      <c r="AF520">
        <f t="shared" si="1237"/>
        <v>0</v>
      </c>
      <c r="AG520">
        <f t="shared" si="1237"/>
        <v>0</v>
      </c>
      <c r="AH520">
        <f t="shared" si="1237"/>
        <v>0</v>
      </c>
      <c r="AI520">
        <f t="shared" si="1237"/>
        <v>0</v>
      </c>
      <c r="AJ520">
        <f t="shared" si="1237"/>
        <v>0</v>
      </c>
      <c r="AK520" s="11">
        <f t="shared" si="1237"/>
        <v>0</v>
      </c>
      <c r="AQ520" s="2" t="str">
        <f t="shared" ref="AQ520:AZ520" si="1238">AQ338</f>
        <v>Expected healthcare visits had palivizumab not been obtained</v>
      </c>
      <c r="AR520" s="33">
        <f t="shared" si="1238"/>
        <v>3595.5497280740992</v>
      </c>
      <c r="AS520">
        <f t="shared" si="1238"/>
        <v>0</v>
      </c>
      <c r="AT520" s="11">
        <f t="shared" si="1238"/>
        <v>0</v>
      </c>
      <c r="AU520">
        <f t="shared" si="1238"/>
        <v>0</v>
      </c>
      <c r="AV520">
        <f t="shared" si="1238"/>
        <v>0</v>
      </c>
      <c r="AW520">
        <f t="shared" si="1238"/>
        <v>0</v>
      </c>
      <c r="AX520">
        <f t="shared" si="1238"/>
        <v>0</v>
      </c>
      <c r="AY520">
        <f t="shared" si="1238"/>
        <v>0</v>
      </c>
      <c r="AZ520" s="13">
        <f t="shared" si="1238"/>
        <v>0</v>
      </c>
      <c r="BA520" s="452"/>
      <c r="BB520" s="452">
        <f t="shared" ref="BB520:BD520" si="1239">BB338</f>
        <v>0</v>
      </c>
      <c r="BC520">
        <f t="shared" si="1239"/>
        <v>0</v>
      </c>
      <c r="BD520">
        <f t="shared" si="1239"/>
        <v>0</v>
      </c>
    </row>
    <row r="521" spans="1:56" x14ac:dyDescent="0.3">
      <c r="A521">
        <f t="shared" ref="A521:AA521" si="1240">A339</f>
        <v>0</v>
      </c>
      <c r="B521">
        <f t="shared" si="1240"/>
        <v>0</v>
      </c>
      <c r="C521">
        <f t="shared" si="1240"/>
        <v>0</v>
      </c>
      <c r="D521">
        <f t="shared" si="1240"/>
        <v>0</v>
      </c>
      <c r="E521">
        <f t="shared" si="1240"/>
        <v>0</v>
      </c>
      <c r="F521">
        <f t="shared" si="1240"/>
        <v>0</v>
      </c>
      <c r="G521">
        <f t="shared" si="1240"/>
        <v>0</v>
      </c>
      <c r="H521" s="11">
        <f t="shared" si="1240"/>
        <v>0</v>
      </c>
      <c r="I521">
        <f t="shared" si="1240"/>
        <v>0</v>
      </c>
      <c r="J521">
        <f t="shared" si="1240"/>
        <v>0</v>
      </c>
      <c r="K521">
        <f t="shared" si="1240"/>
        <v>0</v>
      </c>
      <c r="L521">
        <f t="shared" si="1240"/>
        <v>0</v>
      </c>
      <c r="M521">
        <f t="shared" si="1240"/>
        <v>0</v>
      </c>
      <c r="N521" s="16" t="str">
        <f t="shared" si="1240"/>
        <v>sum p4a-c</v>
      </c>
      <c r="O521" s="68">
        <f t="shared" si="1240"/>
        <v>2.2174658581401898</v>
      </c>
      <c r="P521" s="17">
        <f t="shared" si="1240"/>
        <v>0</v>
      </c>
      <c r="Q521" s="11">
        <f t="shared" si="1240"/>
        <v>0</v>
      </c>
      <c r="R521" s="13">
        <f t="shared" si="1240"/>
        <v>0</v>
      </c>
      <c r="S521" s="13">
        <f t="shared" si="1240"/>
        <v>0</v>
      </c>
      <c r="T521">
        <f t="shared" si="1240"/>
        <v>0</v>
      </c>
      <c r="U521">
        <f t="shared" si="1240"/>
        <v>0</v>
      </c>
      <c r="V521">
        <f t="shared" si="1240"/>
        <v>0</v>
      </c>
      <c r="W521" s="437" t="str">
        <f t="shared" si="1240"/>
        <v>base</v>
      </c>
      <c r="X521" s="449" t="str">
        <f t="shared" si="1240"/>
        <v>low</v>
      </c>
      <c r="Y521" s="449" t="str">
        <f t="shared" si="1240"/>
        <v>high</v>
      </c>
      <c r="Z521">
        <f t="shared" si="1240"/>
        <v>0</v>
      </c>
      <c r="AA521">
        <f t="shared" si="1240"/>
        <v>0</v>
      </c>
      <c r="AD521">
        <f t="shared" ref="AD521:BD521" si="1241">AD339</f>
        <v>0</v>
      </c>
      <c r="AE521">
        <f t="shared" si="1241"/>
        <v>0</v>
      </c>
      <c r="AF521">
        <f t="shared" si="1241"/>
        <v>0</v>
      </c>
      <c r="AG521">
        <f t="shared" si="1241"/>
        <v>0</v>
      </c>
      <c r="AH521">
        <f t="shared" si="1241"/>
        <v>0</v>
      </c>
      <c r="AI521">
        <f t="shared" si="1241"/>
        <v>0</v>
      </c>
      <c r="AJ521">
        <f t="shared" si="1241"/>
        <v>0</v>
      </c>
      <c r="AK521" s="11">
        <f t="shared" si="1241"/>
        <v>0</v>
      </c>
      <c r="AL521">
        <f t="shared" si="1241"/>
        <v>0</v>
      </c>
      <c r="AM521">
        <f t="shared" si="1241"/>
        <v>0</v>
      </c>
      <c r="AN521">
        <f t="shared" si="1241"/>
        <v>0</v>
      </c>
      <c r="AO521">
        <f t="shared" si="1241"/>
        <v>0</v>
      </c>
      <c r="AP521">
        <f t="shared" si="1241"/>
        <v>0</v>
      </c>
      <c r="AQ521" s="16" t="str">
        <f t="shared" si="1241"/>
        <v>sum p4a-c</v>
      </c>
      <c r="AR521" s="68">
        <f t="shared" si="1241"/>
        <v>2.2174658581401898</v>
      </c>
      <c r="AS521" s="17">
        <f t="shared" si="1241"/>
        <v>0</v>
      </c>
      <c r="AT521" s="11">
        <f t="shared" si="1241"/>
        <v>0</v>
      </c>
      <c r="AU521" s="13">
        <f t="shared" si="1241"/>
        <v>0</v>
      </c>
      <c r="AV521" s="13">
        <f t="shared" si="1241"/>
        <v>0</v>
      </c>
      <c r="AW521">
        <f t="shared" si="1241"/>
        <v>0</v>
      </c>
      <c r="AX521">
        <f t="shared" si="1241"/>
        <v>0</v>
      </c>
      <c r="AY521">
        <f t="shared" si="1241"/>
        <v>0</v>
      </c>
      <c r="AZ521" s="684" t="str">
        <f t="shared" si="1241"/>
        <v>base</v>
      </c>
      <c r="BA521" s="449" t="str">
        <f t="shared" si="1241"/>
        <v>low</v>
      </c>
      <c r="BB521" s="449" t="str">
        <f t="shared" si="1241"/>
        <v>high</v>
      </c>
      <c r="BC521">
        <f t="shared" si="1241"/>
        <v>0</v>
      </c>
      <c r="BD521">
        <f t="shared" si="1241"/>
        <v>0</v>
      </c>
    </row>
    <row r="522" spans="1:56" x14ac:dyDescent="0.3">
      <c r="A522">
        <f t="shared" ref="A522:T522" si="1242">A340</f>
        <v>0</v>
      </c>
      <c r="B522">
        <f t="shared" si="1242"/>
        <v>0</v>
      </c>
      <c r="C522">
        <f t="shared" si="1242"/>
        <v>0</v>
      </c>
      <c r="D522">
        <f t="shared" si="1242"/>
        <v>0</v>
      </c>
      <c r="E522">
        <f t="shared" si="1242"/>
        <v>0</v>
      </c>
      <c r="F522">
        <f t="shared" si="1242"/>
        <v>0</v>
      </c>
      <c r="G522">
        <f t="shared" si="1242"/>
        <v>0</v>
      </c>
      <c r="H522" s="11">
        <f t="shared" si="1242"/>
        <v>0</v>
      </c>
      <c r="I522">
        <f t="shared" si="1242"/>
        <v>0</v>
      </c>
      <c r="J522">
        <f t="shared" si="1242"/>
        <v>0</v>
      </c>
      <c r="K522">
        <f t="shared" si="1242"/>
        <v>0</v>
      </c>
      <c r="L522">
        <f t="shared" si="1242"/>
        <v>0</v>
      </c>
      <c r="M522">
        <f t="shared" si="1242"/>
        <v>0</v>
      </c>
      <c r="N522" s="59"/>
      <c r="O522" s="68"/>
      <c r="P522">
        <f t="shared" si="1242"/>
        <v>0</v>
      </c>
      <c r="Q522" s="11">
        <f t="shared" si="1242"/>
        <v>0</v>
      </c>
      <c r="R522" s="13">
        <f t="shared" si="1242"/>
        <v>0</v>
      </c>
      <c r="S522">
        <f t="shared" si="1242"/>
        <v>0</v>
      </c>
      <c r="T522">
        <f t="shared" si="1242"/>
        <v>0</v>
      </c>
      <c r="V522" s="2" t="str">
        <f t="shared" ref="V522:AA522" si="1243">V340</f>
        <v>Outpatient</v>
      </c>
      <c r="W522" s="33">
        <f t="shared" si="1243"/>
        <v>3749.1707272892941</v>
      </c>
      <c r="X522" s="450">
        <f t="shared" si="1243"/>
        <v>4175.2128553903503</v>
      </c>
      <c r="Y522" s="450">
        <f t="shared" si="1243"/>
        <v>3323.1285991882382</v>
      </c>
      <c r="Z522">
        <f t="shared" si="1243"/>
        <v>0</v>
      </c>
      <c r="AA522">
        <f t="shared" si="1243"/>
        <v>0</v>
      </c>
      <c r="AD522">
        <f t="shared" ref="AD522:AP522" si="1244">AD340</f>
        <v>0</v>
      </c>
      <c r="AE522">
        <f t="shared" si="1244"/>
        <v>0</v>
      </c>
      <c r="AF522">
        <f t="shared" si="1244"/>
        <v>0</v>
      </c>
      <c r="AG522">
        <f t="shared" si="1244"/>
        <v>0</v>
      </c>
      <c r="AH522">
        <f t="shared" si="1244"/>
        <v>0</v>
      </c>
      <c r="AI522">
        <f t="shared" si="1244"/>
        <v>0</v>
      </c>
      <c r="AJ522">
        <f t="shared" si="1244"/>
        <v>0</v>
      </c>
      <c r="AK522" s="11">
        <f t="shared" si="1244"/>
        <v>0</v>
      </c>
      <c r="AL522">
        <f t="shared" si="1244"/>
        <v>0</v>
      </c>
      <c r="AM522">
        <f t="shared" si="1244"/>
        <v>0</v>
      </c>
      <c r="AN522">
        <f t="shared" si="1244"/>
        <v>0</v>
      </c>
      <c r="AO522">
        <f t="shared" si="1244"/>
        <v>0</v>
      </c>
      <c r="AP522">
        <f t="shared" si="1244"/>
        <v>0</v>
      </c>
      <c r="AQ522" s="59"/>
      <c r="AR522" s="68"/>
      <c r="AS522">
        <f t="shared" ref="AS522:AW522" si="1245">AS340</f>
        <v>0</v>
      </c>
      <c r="AT522" s="11">
        <f t="shared" si="1245"/>
        <v>0</v>
      </c>
      <c r="AU522" s="13">
        <f t="shared" si="1245"/>
        <v>0</v>
      </c>
      <c r="AV522">
        <f t="shared" si="1245"/>
        <v>0</v>
      </c>
      <c r="AW522">
        <f t="shared" si="1245"/>
        <v>0</v>
      </c>
      <c r="AY522" s="2" t="str">
        <f t="shared" ref="AY522:BD522" si="1246">AY340</f>
        <v>Outpatient</v>
      </c>
      <c r="AZ522" s="33">
        <f t="shared" si="1246"/>
        <v>1261.7163976223628</v>
      </c>
      <c r="BA522" s="450">
        <f t="shared" si="1246"/>
        <v>1405.0932609885406</v>
      </c>
      <c r="BB522" s="450">
        <f t="shared" si="1246"/>
        <v>1118.3395342561853</v>
      </c>
      <c r="BC522">
        <f t="shared" si="1246"/>
        <v>0</v>
      </c>
      <c r="BD522">
        <f t="shared" si="1246"/>
        <v>0</v>
      </c>
    </row>
    <row r="523" spans="1:56" x14ac:dyDescent="0.3">
      <c r="A523">
        <f t="shared" ref="A523:AA523" si="1247">A341</f>
        <v>0</v>
      </c>
      <c r="B523">
        <f t="shared" si="1247"/>
        <v>0</v>
      </c>
      <c r="C523">
        <f t="shared" si="1247"/>
        <v>0</v>
      </c>
      <c r="D523">
        <f t="shared" si="1247"/>
        <v>0</v>
      </c>
      <c r="E523">
        <f t="shared" si="1247"/>
        <v>0</v>
      </c>
      <c r="F523">
        <f t="shared" si="1247"/>
        <v>0</v>
      </c>
      <c r="G523">
        <f t="shared" si="1247"/>
        <v>0</v>
      </c>
      <c r="H523" s="11">
        <f t="shared" si="1247"/>
        <v>0</v>
      </c>
      <c r="I523">
        <f t="shared" si="1247"/>
        <v>0</v>
      </c>
      <c r="J523">
        <f t="shared" si="1247"/>
        <v>0</v>
      </c>
      <c r="M523">
        <f t="shared" si="1247"/>
        <v>0</v>
      </c>
      <c r="N523" s="59"/>
      <c r="O523" s="68"/>
      <c r="P523">
        <f t="shared" si="1247"/>
        <v>0</v>
      </c>
      <c r="Q523" s="11">
        <f t="shared" si="1247"/>
        <v>0</v>
      </c>
      <c r="R523" s="13">
        <f t="shared" si="1247"/>
        <v>0</v>
      </c>
      <c r="S523">
        <f t="shared" si="1247"/>
        <v>0</v>
      </c>
      <c r="T523" s="16">
        <f t="shared" si="1247"/>
        <v>0</v>
      </c>
      <c r="U523" s="17">
        <f t="shared" si="1247"/>
        <v>0</v>
      </c>
      <c r="V523" s="15" t="str">
        <f t="shared" si="1247"/>
        <v>p4c</v>
      </c>
      <c r="W523" s="61">
        <f t="shared" si="1247"/>
        <v>1.4910674201012974</v>
      </c>
      <c r="X523" s="451">
        <f t="shared" si="1247"/>
        <v>1.4910674201012974</v>
      </c>
      <c r="Y523" s="451">
        <f t="shared" si="1247"/>
        <v>1.4910674201012974</v>
      </c>
      <c r="Z523">
        <f t="shared" si="1247"/>
        <v>0</v>
      </c>
      <c r="AA523">
        <f t="shared" si="1247"/>
        <v>0</v>
      </c>
      <c r="AD523">
        <f t="shared" ref="AD523:AM523" si="1248">AD341</f>
        <v>0</v>
      </c>
      <c r="AE523">
        <f t="shared" si="1248"/>
        <v>0</v>
      </c>
      <c r="AF523">
        <f t="shared" si="1248"/>
        <v>0</v>
      </c>
      <c r="AG523">
        <f t="shared" si="1248"/>
        <v>0</v>
      </c>
      <c r="AH523">
        <f t="shared" si="1248"/>
        <v>0</v>
      </c>
      <c r="AI523">
        <f t="shared" si="1248"/>
        <v>0</v>
      </c>
      <c r="AJ523">
        <f t="shared" si="1248"/>
        <v>0</v>
      </c>
      <c r="AK523" s="11">
        <f t="shared" si="1248"/>
        <v>0</v>
      </c>
      <c r="AL523">
        <f t="shared" si="1248"/>
        <v>0</v>
      </c>
      <c r="AM523">
        <f t="shared" si="1248"/>
        <v>0</v>
      </c>
      <c r="AP523">
        <f t="shared" ref="AP523" si="1249">AP341</f>
        <v>0</v>
      </c>
      <c r="AQ523" s="59"/>
      <c r="AR523" s="68"/>
      <c r="AS523">
        <f t="shared" ref="AS523:BD523" si="1250">AS341</f>
        <v>0</v>
      </c>
      <c r="AT523" s="11">
        <f t="shared" si="1250"/>
        <v>0</v>
      </c>
      <c r="AU523" s="13">
        <f t="shared" si="1250"/>
        <v>0</v>
      </c>
      <c r="AV523">
        <f t="shared" si="1250"/>
        <v>0</v>
      </c>
      <c r="AW523" s="16">
        <f t="shared" si="1250"/>
        <v>0</v>
      </c>
      <c r="AX523" s="17">
        <f t="shared" si="1250"/>
        <v>0</v>
      </c>
      <c r="AY523" s="15" t="str">
        <f t="shared" si="1250"/>
        <v>p4c</v>
      </c>
      <c r="AZ523" s="61">
        <f t="shared" si="1250"/>
        <v>0.76584319385710953</v>
      </c>
      <c r="BA523" s="451">
        <f t="shared" si="1250"/>
        <v>0.76584319385710953</v>
      </c>
      <c r="BB523" s="451">
        <f t="shared" si="1250"/>
        <v>0.76584319385710953</v>
      </c>
      <c r="BC523">
        <f t="shared" si="1250"/>
        <v>0</v>
      </c>
      <c r="BD523">
        <f t="shared" si="1250"/>
        <v>0</v>
      </c>
    </row>
    <row r="524" spans="1:56" x14ac:dyDescent="0.3">
      <c r="A524">
        <f t="shared" ref="A524:AA524" si="1251">A342</f>
        <v>0</v>
      </c>
      <c r="B524">
        <f t="shared" si="1251"/>
        <v>0</v>
      </c>
      <c r="C524">
        <f t="shared" si="1251"/>
        <v>0</v>
      </c>
      <c r="D524">
        <f t="shared" si="1251"/>
        <v>0</v>
      </c>
      <c r="E524">
        <f t="shared" si="1251"/>
        <v>0</v>
      </c>
      <c r="F524">
        <f t="shared" si="1251"/>
        <v>0</v>
      </c>
      <c r="G524">
        <f t="shared" si="1251"/>
        <v>0</v>
      </c>
      <c r="H524" s="11">
        <f t="shared" si="1251"/>
        <v>0</v>
      </c>
      <c r="I524">
        <f t="shared" si="1251"/>
        <v>0</v>
      </c>
      <c r="J524">
        <f t="shared" si="1251"/>
        <v>0</v>
      </c>
      <c r="M524">
        <f t="shared" si="1251"/>
        <v>0</v>
      </c>
      <c r="N524" s="11">
        <f t="shared" si="1251"/>
        <v>0</v>
      </c>
      <c r="O524" s="13">
        <f t="shared" si="1251"/>
        <v>0</v>
      </c>
      <c r="P524" s="13">
        <f t="shared" si="1251"/>
        <v>0</v>
      </c>
      <c r="Q524" s="11">
        <f t="shared" si="1251"/>
        <v>0</v>
      </c>
      <c r="R524" s="13">
        <f t="shared" si="1251"/>
        <v>0</v>
      </c>
      <c r="S524">
        <f t="shared" si="1251"/>
        <v>0</v>
      </c>
      <c r="T524" s="11">
        <f t="shared" si="1251"/>
        <v>0</v>
      </c>
      <c r="U524" s="13">
        <f t="shared" si="1251"/>
        <v>0</v>
      </c>
      <c r="V524" s="2">
        <f t="shared" si="1251"/>
        <v>0</v>
      </c>
      <c r="W524">
        <f t="shared" si="1251"/>
        <v>0.42911403910169688</v>
      </c>
      <c r="X524" s="452">
        <f t="shared" si="1251"/>
        <v>0.42911403910169688</v>
      </c>
      <c r="Y524" s="452">
        <f t="shared" si="1251"/>
        <v>0.42911403910169688</v>
      </c>
      <c r="Z524">
        <f t="shared" si="1251"/>
        <v>0</v>
      </c>
      <c r="AA524">
        <f t="shared" si="1251"/>
        <v>0</v>
      </c>
      <c r="AD524">
        <f t="shared" ref="AD524:AM524" si="1252">AD342</f>
        <v>0</v>
      </c>
      <c r="AE524">
        <f t="shared" si="1252"/>
        <v>0</v>
      </c>
      <c r="AF524">
        <f t="shared" si="1252"/>
        <v>0</v>
      </c>
      <c r="AG524">
        <f t="shared" si="1252"/>
        <v>0</v>
      </c>
      <c r="AH524">
        <f t="shared" si="1252"/>
        <v>0</v>
      </c>
      <c r="AI524">
        <f t="shared" si="1252"/>
        <v>0</v>
      </c>
      <c r="AJ524">
        <f t="shared" si="1252"/>
        <v>0</v>
      </c>
      <c r="AK524" s="11">
        <f t="shared" si="1252"/>
        <v>0</v>
      </c>
      <c r="AL524">
        <f t="shared" si="1252"/>
        <v>0</v>
      </c>
      <c r="AM524">
        <f t="shared" si="1252"/>
        <v>0</v>
      </c>
      <c r="AP524">
        <f t="shared" ref="AP524:BD524" si="1253">AP342</f>
        <v>0</v>
      </c>
      <c r="AQ524" s="11">
        <f t="shared" si="1253"/>
        <v>0</v>
      </c>
      <c r="AR524" s="13">
        <f t="shared" si="1253"/>
        <v>0</v>
      </c>
      <c r="AS524" s="13">
        <f t="shared" si="1253"/>
        <v>0</v>
      </c>
      <c r="AT524" s="11">
        <f t="shared" si="1253"/>
        <v>0</v>
      </c>
      <c r="AU524" s="13">
        <f t="shared" si="1253"/>
        <v>0</v>
      </c>
      <c r="AV524">
        <f t="shared" si="1253"/>
        <v>0</v>
      </c>
      <c r="AW524" s="11">
        <f t="shared" si="1253"/>
        <v>0</v>
      </c>
      <c r="AX524" s="13">
        <f t="shared" si="1253"/>
        <v>0</v>
      </c>
      <c r="AY524" s="2">
        <f t="shared" si="1253"/>
        <v>0</v>
      </c>
      <c r="AZ524">
        <f t="shared" si="1253"/>
        <v>1.5025619072578801E-2</v>
      </c>
      <c r="BA524" s="452">
        <f t="shared" si="1253"/>
        <v>1.5025619072578801E-2</v>
      </c>
      <c r="BB524" s="452">
        <f t="shared" si="1253"/>
        <v>1.5025619072578801E-2</v>
      </c>
      <c r="BC524">
        <f t="shared" si="1253"/>
        <v>0</v>
      </c>
      <c r="BD524">
        <f t="shared" si="1253"/>
        <v>0</v>
      </c>
    </row>
    <row r="525" spans="1:56" x14ac:dyDescent="0.3">
      <c r="A525">
        <f t="shared" ref="A525:H525" si="1254">A343</f>
        <v>0</v>
      </c>
      <c r="B525">
        <f t="shared" si="1254"/>
        <v>0</v>
      </c>
      <c r="C525">
        <f t="shared" si="1254"/>
        <v>0</v>
      </c>
      <c r="D525">
        <f t="shared" si="1254"/>
        <v>0</v>
      </c>
      <c r="E525">
        <f t="shared" si="1254"/>
        <v>0</v>
      </c>
      <c r="F525">
        <f t="shared" si="1254"/>
        <v>0</v>
      </c>
      <c r="G525">
        <f t="shared" si="1254"/>
        <v>0</v>
      </c>
      <c r="H525" s="11">
        <f t="shared" si="1254"/>
        <v>0</v>
      </c>
      <c r="K525" s="12" t="str">
        <f t="shared" ref="K525:AA525" si="1255">K343</f>
        <v>obtain palivizumab product</v>
      </c>
      <c r="L525" s="30">
        <f t="shared" si="1255"/>
        <v>3232.7764699999998</v>
      </c>
      <c r="M525" s="438">
        <f t="shared" si="1255"/>
        <v>0</v>
      </c>
      <c r="N525" s="11">
        <f t="shared" si="1255"/>
        <v>0</v>
      </c>
      <c r="O525" s="13">
        <f t="shared" si="1255"/>
        <v>0</v>
      </c>
      <c r="P525">
        <f t="shared" si="1255"/>
        <v>0</v>
      </c>
      <c r="Q525" s="65" t="str">
        <f t="shared" si="1255"/>
        <v>1-p6</v>
      </c>
      <c r="R525" s="67">
        <f t="shared" si="1255"/>
        <v>0.49</v>
      </c>
      <c r="S525" s="438">
        <f t="shared" si="1255"/>
        <v>0</v>
      </c>
      <c r="T525" s="18">
        <f t="shared" si="1255"/>
        <v>0</v>
      </c>
      <c r="U525" s="438">
        <f t="shared" si="1255"/>
        <v>0</v>
      </c>
      <c r="V525" s="12" t="str">
        <f t="shared" si="1255"/>
        <v>ED</v>
      </c>
      <c r="W525" s="33">
        <f t="shared" si="1255"/>
        <v>1229.0606316655517</v>
      </c>
      <c r="X525" s="450">
        <f t="shared" si="1255"/>
        <v>1368.726612536637</v>
      </c>
      <c r="Y525" s="450">
        <f t="shared" si="1255"/>
        <v>1089.3946507944663</v>
      </c>
      <c r="Z525">
        <f t="shared" si="1255"/>
        <v>0</v>
      </c>
      <c r="AA525">
        <f t="shared" si="1255"/>
        <v>0</v>
      </c>
      <c r="AD525">
        <f t="shared" ref="AD525:AK525" si="1256">AD343</f>
        <v>0</v>
      </c>
      <c r="AE525">
        <f t="shared" si="1256"/>
        <v>0</v>
      </c>
      <c r="AF525">
        <f t="shared" si="1256"/>
        <v>0</v>
      </c>
      <c r="AG525">
        <f t="shared" si="1256"/>
        <v>0</v>
      </c>
      <c r="AH525">
        <f t="shared" si="1256"/>
        <v>0</v>
      </c>
      <c r="AI525">
        <f t="shared" si="1256"/>
        <v>0</v>
      </c>
      <c r="AJ525">
        <f t="shared" si="1256"/>
        <v>0</v>
      </c>
      <c r="AK525" s="11">
        <f t="shared" si="1256"/>
        <v>0</v>
      </c>
      <c r="AN525" s="12" t="str">
        <f t="shared" ref="AN525:BD525" si="1257">AN343</f>
        <v>obtain palivizumab product</v>
      </c>
      <c r="AO525" s="30">
        <f t="shared" si="1257"/>
        <v>3232.7764699999998</v>
      </c>
      <c r="AP525" s="500">
        <f t="shared" si="1257"/>
        <v>0</v>
      </c>
      <c r="AQ525" s="11">
        <f t="shared" si="1257"/>
        <v>0</v>
      </c>
      <c r="AR525" s="13">
        <f t="shared" si="1257"/>
        <v>0</v>
      </c>
      <c r="AS525">
        <f t="shared" si="1257"/>
        <v>0</v>
      </c>
      <c r="AT525" s="65" t="str">
        <f t="shared" si="1257"/>
        <v>1-p6</v>
      </c>
      <c r="AU525" s="67">
        <f t="shared" si="1257"/>
        <v>0.49</v>
      </c>
      <c r="AV525" s="500">
        <f t="shared" si="1257"/>
        <v>0</v>
      </c>
      <c r="AW525" s="18">
        <f t="shared" si="1257"/>
        <v>0</v>
      </c>
      <c r="AX525" s="500">
        <f t="shared" si="1257"/>
        <v>0</v>
      </c>
      <c r="AY525" s="12" t="str">
        <f t="shared" si="1257"/>
        <v>ED</v>
      </c>
      <c r="AZ525" s="33">
        <f t="shared" si="1257"/>
        <v>502.04021667967771</v>
      </c>
      <c r="BA525" s="450">
        <f t="shared" si="1257"/>
        <v>559.09024130236833</v>
      </c>
      <c r="BB525" s="450">
        <f t="shared" si="1257"/>
        <v>444.9901920569871</v>
      </c>
      <c r="BC525">
        <f t="shared" si="1257"/>
        <v>0</v>
      </c>
      <c r="BD525">
        <f t="shared" si="1257"/>
        <v>0</v>
      </c>
    </row>
    <row r="526" spans="1:56" x14ac:dyDescent="0.3">
      <c r="A526">
        <f t="shared" ref="A526:O526" si="1258">A344</f>
        <v>0</v>
      </c>
      <c r="B526">
        <f t="shared" si="1258"/>
        <v>0</v>
      </c>
      <c r="C526">
        <f t="shared" si="1258"/>
        <v>0</v>
      </c>
      <c r="D526">
        <f t="shared" si="1258"/>
        <v>0</v>
      </c>
      <c r="E526">
        <f t="shared" si="1258"/>
        <v>0</v>
      </c>
      <c r="F526">
        <f t="shared" si="1258"/>
        <v>0</v>
      </c>
      <c r="G526">
        <f t="shared" si="1258"/>
        <v>0</v>
      </c>
      <c r="H526" s="11">
        <f t="shared" si="1258"/>
        <v>0</v>
      </c>
      <c r="I526">
        <f t="shared" si="1258"/>
        <v>0</v>
      </c>
      <c r="J526">
        <f t="shared" si="1258"/>
        <v>0</v>
      </c>
      <c r="K526" s="59" t="str">
        <f t="shared" si="1258"/>
        <v>p2</v>
      </c>
      <c r="L526" s="60">
        <f t="shared" si="1258"/>
        <v>0.38</v>
      </c>
      <c r="M526">
        <f t="shared" si="1258"/>
        <v>0</v>
      </c>
      <c r="N526" s="11">
        <f t="shared" si="1258"/>
        <v>0</v>
      </c>
      <c r="O526" s="13">
        <f t="shared" si="1258"/>
        <v>0</v>
      </c>
      <c r="Q526" s="2" t="str">
        <f t="shared" ref="Q526:AA526" si="1259">Q344</f>
        <v>MA attended for RSV due to Vaccine Failure &amp;</v>
      </c>
      <c r="R526" s="71">
        <f t="shared" si="1259"/>
        <v>3512.6000101197419</v>
      </c>
      <c r="S526">
        <f t="shared" si="1259"/>
        <v>0</v>
      </c>
      <c r="T526" s="11">
        <f t="shared" si="1259"/>
        <v>0</v>
      </c>
      <c r="U526" s="13">
        <f t="shared" si="1259"/>
        <v>0</v>
      </c>
      <c r="V526" s="2" t="str">
        <f t="shared" si="1259"/>
        <v>p4b</v>
      </c>
      <c r="W526" s="61">
        <f t="shared" si="1259"/>
        <v>0.55998491824682028</v>
      </c>
      <c r="X526" s="451">
        <f t="shared" si="1259"/>
        <v>0.55998491824682028</v>
      </c>
      <c r="Y526" s="451">
        <f t="shared" si="1259"/>
        <v>0.55998491824682028</v>
      </c>
      <c r="Z526">
        <f t="shared" si="1259"/>
        <v>0</v>
      </c>
      <c r="AA526">
        <f t="shared" si="1259"/>
        <v>0</v>
      </c>
      <c r="AD526">
        <f t="shared" ref="AD526:AR526" si="1260">AD344</f>
        <v>0</v>
      </c>
      <c r="AE526">
        <f t="shared" si="1260"/>
        <v>0</v>
      </c>
      <c r="AF526">
        <f t="shared" si="1260"/>
        <v>0</v>
      </c>
      <c r="AG526">
        <f t="shared" si="1260"/>
        <v>0</v>
      </c>
      <c r="AH526">
        <f t="shared" si="1260"/>
        <v>0</v>
      </c>
      <c r="AI526">
        <f t="shared" si="1260"/>
        <v>0</v>
      </c>
      <c r="AJ526">
        <f t="shared" si="1260"/>
        <v>0</v>
      </c>
      <c r="AK526" s="11">
        <f t="shared" si="1260"/>
        <v>0</v>
      </c>
      <c r="AL526">
        <f t="shared" si="1260"/>
        <v>0</v>
      </c>
      <c r="AM526">
        <f t="shared" si="1260"/>
        <v>0</v>
      </c>
      <c r="AN526" s="59" t="str">
        <f t="shared" si="1260"/>
        <v>p2</v>
      </c>
      <c r="AO526" s="60">
        <f t="shared" si="1260"/>
        <v>0.38</v>
      </c>
      <c r="AP526">
        <f t="shared" si="1260"/>
        <v>0</v>
      </c>
      <c r="AQ526" s="11">
        <f t="shared" si="1260"/>
        <v>0</v>
      </c>
      <c r="AR526" s="13">
        <f t="shared" si="1260"/>
        <v>0</v>
      </c>
      <c r="AT526" s="2" t="str">
        <f t="shared" ref="AT526:BD526" si="1261">AT344</f>
        <v>MA attended for RSV due to Vaccine Failure &amp;</v>
      </c>
      <c r="AU526" s="71">
        <f t="shared" si="1261"/>
        <v>1761.8193667563087</v>
      </c>
      <c r="AV526">
        <f t="shared" si="1261"/>
        <v>0</v>
      </c>
      <c r="AW526" s="11">
        <f t="shared" si="1261"/>
        <v>0</v>
      </c>
      <c r="AX526" s="13">
        <f t="shared" si="1261"/>
        <v>0</v>
      </c>
      <c r="AY526" s="2" t="str">
        <f t="shared" si="1261"/>
        <v>p4b</v>
      </c>
      <c r="AZ526" s="61">
        <f t="shared" si="1261"/>
        <v>0.30439064631456758</v>
      </c>
      <c r="BA526" s="451">
        <f t="shared" si="1261"/>
        <v>0.30439064631456758</v>
      </c>
      <c r="BB526" s="451">
        <f t="shared" si="1261"/>
        <v>0.30439064631456758</v>
      </c>
      <c r="BC526">
        <f t="shared" si="1261"/>
        <v>0</v>
      </c>
      <c r="BD526">
        <f t="shared" si="1261"/>
        <v>0</v>
      </c>
    </row>
    <row r="527" spans="1:56" x14ac:dyDescent="0.3">
      <c r="A527">
        <f t="shared" ref="A527:N527" si="1262">A345</f>
        <v>0</v>
      </c>
      <c r="B527">
        <f t="shared" si="1262"/>
        <v>0</v>
      </c>
      <c r="C527">
        <f t="shared" si="1262"/>
        <v>0</v>
      </c>
      <c r="D527">
        <f t="shared" si="1262"/>
        <v>0</v>
      </c>
      <c r="E527">
        <f t="shared" si="1262"/>
        <v>0</v>
      </c>
      <c r="F527">
        <f t="shared" si="1262"/>
        <v>0</v>
      </c>
      <c r="G527">
        <f t="shared" si="1262"/>
        <v>0</v>
      </c>
      <c r="H527" s="11">
        <f t="shared" si="1262"/>
        <v>0</v>
      </c>
      <c r="I527">
        <f t="shared" si="1262"/>
        <v>0</v>
      </c>
      <c r="J527">
        <f t="shared" si="1262"/>
        <v>0</v>
      </c>
      <c r="K527" s="11">
        <f t="shared" si="1262"/>
        <v>0</v>
      </c>
      <c r="L527">
        <f t="shared" si="1262"/>
        <v>0</v>
      </c>
      <c r="M527">
        <f t="shared" si="1262"/>
        <v>0</v>
      </c>
      <c r="N527" s="11">
        <f t="shared" si="1262"/>
        <v>0</v>
      </c>
      <c r="O527" s="13"/>
      <c r="Q527" s="2" t="str">
        <f t="shared" ref="Q527:AA527" si="1263">Q345</f>
        <v>post-immun. protection period</v>
      </c>
      <c r="R527" s="13">
        <f t="shared" si="1263"/>
        <v>0</v>
      </c>
      <c r="S527">
        <f t="shared" si="1263"/>
        <v>0</v>
      </c>
      <c r="T527" s="11">
        <f t="shared" si="1263"/>
        <v>0</v>
      </c>
      <c r="U527" s="13">
        <f t="shared" si="1263"/>
        <v>0</v>
      </c>
      <c r="V527" s="2">
        <f t="shared" si="1263"/>
        <v>0</v>
      </c>
      <c r="W527">
        <f t="shared" si="1263"/>
        <v>0.10579471295971989</v>
      </c>
      <c r="X527" s="452">
        <f t="shared" si="1263"/>
        <v>0.10579471295971989</v>
      </c>
      <c r="Y527" s="452">
        <f t="shared" si="1263"/>
        <v>0.10579471295971989</v>
      </c>
      <c r="Z527">
        <f t="shared" si="1263"/>
        <v>0</v>
      </c>
      <c r="AA527">
        <f t="shared" si="1263"/>
        <v>0</v>
      </c>
      <c r="AD527">
        <f t="shared" ref="AD527:AQ527" si="1264">AD345</f>
        <v>0</v>
      </c>
      <c r="AE527">
        <f t="shared" si="1264"/>
        <v>0</v>
      </c>
      <c r="AF527">
        <f t="shared" si="1264"/>
        <v>0</v>
      </c>
      <c r="AG527">
        <f t="shared" si="1264"/>
        <v>0</v>
      </c>
      <c r="AH527">
        <f t="shared" si="1264"/>
        <v>0</v>
      </c>
      <c r="AI527">
        <f t="shared" si="1264"/>
        <v>0</v>
      </c>
      <c r="AJ527">
        <f t="shared" si="1264"/>
        <v>0</v>
      </c>
      <c r="AK527" s="11">
        <f t="shared" si="1264"/>
        <v>0</v>
      </c>
      <c r="AL527">
        <f t="shared" si="1264"/>
        <v>0</v>
      </c>
      <c r="AM527">
        <f t="shared" si="1264"/>
        <v>0</v>
      </c>
      <c r="AN527" s="11">
        <f t="shared" si="1264"/>
        <v>0</v>
      </c>
      <c r="AO527">
        <f t="shared" si="1264"/>
        <v>0</v>
      </c>
      <c r="AP527">
        <f t="shared" si="1264"/>
        <v>0</v>
      </c>
      <c r="AQ527" s="11">
        <f t="shared" si="1264"/>
        <v>0</v>
      </c>
      <c r="AR527" s="13"/>
      <c r="AT527" s="2" t="str">
        <f t="shared" ref="AT527:BD527" si="1265">AT345</f>
        <v>post-immun. protection period</v>
      </c>
      <c r="AU527" s="13">
        <f t="shared" si="1265"/>
        <v>0</v>
      </c>
      <c r="AV527">
        <f t="shared" si="1265"/>
        <v>0</v>
      </c>
      <c r="AW527" s="11">
        <f t="shared" si="1265"/>
        <v>0</v>
      </c>
      <c r="AX527" s="13">
        <f t="shared" si="1265"/>
        <v>0</v>
      </c>
      <c r="AY527" s="2">
        <f t="shared" si="1265"/>
        <v>0</v>
      </c>
      <c r="AZ527">
        <f t="shared" si="1265"/>
        <v>6.1454995444528478E-3</v>
      </c>
      <c r="BA527" s="452">
        <f t="shared" si="1265"/>
        <v>6.1454995444528478E-3</v>
      </c>
      <c r="BB527" s="452">
        <f t="shared" si="1265"/>
        <v>6.1454995444528478E-3</v>
      </c>
      <c r="BC527">
        <f t="shared" si="1265"/>
        <v>0</v>
      </c>
      <c r="BD527">
        <f t="shared" si="1265"/>
        <v>0</v>
      </c>
    </row>
    <row r="528" spans="1:56" x14ac:dyDescent="0.3">
      <c r="A528">
        <f t="shared" ref="A528:T528" si="1266">A346</f>
        <v>0</v>
      </c>
      <c r="B528">
        <f t="shared" si="1266"/>
        <v>0</v>
      </c>
      <c r="C528">
        <f t="shared" si="1266"/>
        <v>0</v>
      </c>
      <c r="D528">
        <f t="shared" si="1266"/>
        <v>0</v>
      </c>
      <c r="E528">
        <f t="shared" si="1266"/>
        <v>0</v>
      </c>
      <c r="F528">
        <f t="shared" si="1266"/>
        <v>0</v>
      </c>
      <c r="G528">
        <f t="shared" si="1266"/>
        <v>0</v>
      </c>
      <c r="H528" s="11">
        <f t="shared" si="1266"/>
        <v>0</v>
      </c>
      <c r="I528">
        <f t="shared" si="1266"/>
        <v>0</v>
      </c>
      <c r="J528">
        <f t="shared" si="1266"/>
        <v>0</v>
      </c>
      <c r="K528" s="11">
        <f t="shared" si="1266"/>
        <v>0</v>
      </c>
      <c r="L528">
        <f t="shared" si="1266"/>
        <v>0</v>
      </c>
      <c r="M528">
        <f t="shared" si="1266"/>
        <v>0</v>
      </c>
      <c r="N528" s="11">
        <f t="shared" si="1266"/>
        <v>0</v>
      </c>
      <c r="O528">
        <f t="shared" si="1266"/>
        <v>0</v>
      </c>
      <c r="P528">
        <f t="shared" si="1266"/>
        <v>0</v>
      </c>
      <c r="Q528">
        <f t="shared" si="1266"/>
        <v>0</v>
      </c>
      <c r="R528">
        <f t="shared" si="1266"/>
        <v>0</v>
      </c>
      <c r="S528">
        <f t="shared" si="1266"/>
        <v>0</v>
      </c>
      <c r="T528" s="18">
        <f t="shared" si="1266"/>
        <v>0</v>
      </c>
      <c r="U528" s="438"/>
      <c r="V528" s="12" t="str">
        <f t="shared" ref="V528:AA528" si="1267">V346</f>
        <v>Hospitalized</v>
      </c>
      <c r="W528" s="30">
        <f t="shared" si="1267"/>
        <v>299.03147915523982</v>
      </c>
      <c r="X528" s="453">
        <f t="shared" si="1267"/>
        <v>333.01232905924439</v>
      </c>
      <c r="Y528" s="453">
        <f t="shared" si="1267"/>
        <v>265.05062925123531</v>
      </c>
      <c r="Z528">
        <f t="shared" si="1267"/>
        <v>0</v>
      </c>
      <c r="AA528">
        <f t="shared" si="1267"/>
        <v>0</v>
      </c>
      <c r="AD528">
        <f t="shared" ref="AD528:AW528" si="1268">AD346</f>
        <v>0</v>
      </c>
      <c r="AE528">
        <f t="shared" si="1268"/>
        <v>0</v>
      </c>
      <c r="AF528">
        <f t="shared" si="1268"/>
        <v>0</v>
      </c>
      <c r="AG528">
        <f t="shared" si="1268"/>
        <v>0</v>
      </c>
      <c r="AH528">
        <f t="shared" si="1268"/>
        <v>0</v>
      </c>
      <c r="AI528">
        <f t="shared" si="1268"/>
        <v>0</v>
      </c>
      <c r="AJ528">
        <f t="shared" si="1268"/>
        <v>0</v>
      </c>
      <c r="AK528" s="11">
        <f t="shared" si="1268"/>
        <v>0</v>
      </c>
      <c r="AL528">
        <f t="shared" si="1268"/>
        <v>0</v>
      </c>
      <c r="AM528">
        <f t="shared" si="1268"/>
        <v>0</v>
      </c>
      <c r="AN528" s="11">
        <f t="shared" si="1268"/>
        <v>0</v>
      </c>
      <c r="AO528">
        <f t="shared" si="1268"/>
        <v>0</v>
      </c>
      <c r="AP528">
        <f t="shared" si="1268"/>
        <v>0</v>
      </c>
      <c r="AQ528" s="11">
        <f t="shared" si="1268"/>
        <v>0</v>
      </c>
      <c r="AR528">
        <f t="shared" si="1268"/>
        <v>0</v>
      </c>
      <c r="AS528">
        <f t="shared" si="1268"/>
        <v>0</v>
      </c>
      <c r="AT528">
        <f t="shared" si="1268"/>
        <v>0</v>
      </c>
      <c r="AU528">
        <f t="shared" si="1268"/>
        <v>0</v>
      </c>
      <c r="AV528">
        <f t="shared" si="1268"/>
        <v>0</v>
      </c>
      <c r="AW528" s="18">
        <f t="shared" si="1268"/>
        <v>0</v>
      </c>
      <c r="AX528" s="500"/>
      <c r="AY528" s="12" t="str">
        <f t="shared" ref="AY528:BD528" si="1269">AY346</f>
        <v>Hospitalized</v>
      </c>
      <c r="AZ528" s="30">
        <f t="shared" si="1269"/>
        <v>69.097674235069277</v>
      </c>
      <c r="BA528" s="453">
        <f t="shared" si="1269"/>
        <v>76.949682670872619</v>
      </c>
      <c r="BB528" s="453">
        <f t="shared" si="1269"/>
        <v>61.24566579926595</v>
      </c>
      <c r="BC528">
        <f t="shared" si="1269"/>
        <v>0</v>
      </c>
      <c r="BD528">
        <f t="shared" si="1269"/>
        <v>0</v>
      </c>
    </row>
    <row r="529" spans="1:56" x14ac:dyDescent="0.3">
      <c r="A529">
        <f t="shared" ref="A529:AA529" si="1270">A347</f>
        <v>0</v>
      </c>
      <c r="B529">
        <f t="shared" si="1270"/>
        <v>0</v>
      </c>
      <c r="C529">
        <f t="shared" si="1270"/>
        <v>0</v>
      </c>
      <c r="D529">
        <f t="shared" si="1270"/>
        <v>0</v>
      </c>
      <c r="E529">
        <f t="shared" si="1270"/>
        <v>0</v>
      </c>
      <c r="F529">
        <f t="shared" si="1270"/>
        <v>0</v>
      </c>
      <c r="G529">
        <f t="shared" si="1270"/>
        <v>0</v>
      </c>
      <c r="H529" s="11">
        <f t="shared" si="1270"/>
        <v>0</v>
      </c>
      <c r="I529">
        <f t="shared" si="1270"/>
        <v>0</v>
      </c>
      <c r="J529">
        <f t="shared" si="1270"/>
        <v>0</v>
      </c>
      <c r="K529" s="11">
        <f t="shared" si="1270"/>
        <v>0</v>
      </c>
      <c r="L529">
        <f t="shared" si="1270"/>
        <v>0</v>
      </c>
      <c r="M529">
        <f t="shared" si="1270"/>
        <v>0</v>
      </c>
      <c r="N529" s="18">
        <f t="shared" si="1270"/>
        <v>0</v>
      </c>
      <c r="O529" s="438">
        <f t="shared" si="1270"/>
        <v>0</v>
      </c>
      <c r="P529" s="438">
        <f t="shared" si="1270"/>
        <v>0</v>
      </c>
      <c r="Q529">
        <f t="shared" si="1270"/>
        <v>0</v>
      </c>
      <c r="R529">
        <f t="shared" si="1270"/>
        <v>0</v>
      </c>
      <c r="S529">
        <f t="shared" si="1270"/>
        <v>0</v>
      </c>
      <c r="T529">
        <f t="shared" si="1270"/>
        <v>0</v>
      </c>
      <c r="U529">
        <f t="shared" si="1270"/>
        <v>0</v>
      </c>
      <c r="V529" s="2" t="str">
        <f t="shared" si="1270"/>
        <v>p4c</v>
      </c>
      <c r="W529" s="61">
        <f t="shared" si="1270"/>
        <v>0.16641351979207206</v>
      </c>
      <c r="X529" s="451">
        <f t="shared" si="1270"/>
        <v>0.16641351979207206</v>
      </c>
      <c r="Y529" s="451">
        <f t="shared" si="1270"/>
        <v>0.16641351979207206</v>
      </c>
      <c r="Z529">
        <f t="shared" si="1270"/>
        <v>0</v>
      </c>
      <c r="AA529">
        <f t="shared" si="1270"/>
        <v>0</v>
      </c>
      <c r="AD529">
        <f t="shared" ref="AD529:BD529" si="1271">AD347</f>
        <v>0</v>
      </c>
      <c r="AE529">
        <f t="shared" si="1271"/>
        <v>0</v>
      </c>
      <c r="AF529">
        <f t="shared" si="1271"/>
        <v>0</v>
      </c>
      <c r="AG529">
        <f t="shared" si="1271"/>
        <v>0</v>
      </c>
      <c r="AH529">
        <f t="shared" si="1271"/>
        <v>0</v>
      </c>
      <c r="AI529">
        <f t="shared" si="1271"/>
        <v>0</v>
      </c>
      <c r="AJ529">
        <f t="shared" si="1271"/>
        <v>0</v>
      </c>
      <c r="AK529" s="11">
        <f t="shared" si="1271"/>
        <v>0</v>
      </c>
      <c r="AL529">
        <f t="shared" si="1271"/>
        <v>0</v>
      </c>
      <c r="AM529">
        <f t="shared" si="1271"/>
        <v>0</v>
      </c>
      <c r="AN529" s="11">
        <f t="shared" si="1271"/>
        <v>0</v>
      </c>
      <c r="AO529">
        <f t="shared" si="1271"/>
        <v>0</v>
      </c>
      <c r="AP529">
        <f t="shared" si="1271"/>
        <v>0</v>
      </c>
      <c r="AQ529" s="18">
        <f t="shared" si="1271"/>
        <v>0</v>
      </c>
      <c r="AR529" s="500">
        <f t="shared" si="1271"/>
        <v>0</v>
      </c>
      <c r="AS529" s="500">
        <f t="shared" si="1271"/>
        <v>0</v>
      </c>
      <c r="AT529">
        <f t="shared" si="1271"/>
        <v>0</v>
      </c>
      <c r="AU529">
        <f t="shared" si="1271"/>
        <v>0</v>
      </c>
      <c r="AV529">
        <f t="shared" si="1271"/>
        <v>0</v>
      </c>
      <c r="AW529">
        <f t="shared" si="1271"/>
        <v>0</v>
      </c>
      <c r="AX529">
        <f t="shared" si="1271"/>
        <v>0</v>
      </c>
      <c r="AY529" s="2" t="str">
        <f t="shared" si="1271"/>
        <v>p4c</v>
      </c>
      <c r="AZ529" s="61">
        <f t="shared" si="1271"/>
        <v>4.1983401397796216E-2</v>
      </c>
      <c r="BA529" s="451">
        <f t="shared" si="1271"/>
        <v>4.1983401397796216E-2</v>
      </c>
      <c r="BB529" s="451">
        <f t="shared" si="1271"/>
        <v>4.1983401397796216E-2</v>
      </c>
      <c r="BC529">
        <f t="shared" si="1271"/>
        <v>0</v>
      </c>
      <c r="BD529">
        <f t="shared" si="1271"/>
        <v>0</v>
      </c>
    </row>
    <row r="530" spans="1:56" x14ac:dyDescent="0.3">
      <c r="A530">
        <f t="shared" ref="A530:L530" si="1272">A348</f>
        <v>0</v>
      </c>
      <c r="B530">
        <f t="shared" si="1272"/>
        <v>0</v>
      </c>
      <c r="C530">
        <f t="shared" si="1272"/>
        <v>0</v>
      </c>
      <c r="D530">
        <f t="shared" si="1272"/>
        <v>0</v>
      </c>
      <c r="E530">
        <f t="shared" si="1272"/>
        <v>0</v>
      </c>
      <c r="F530">
        <f t="shared" si="1272"/>
        <v>0</v>
      </c>
      <c r="G530">
        <f t="shared" si="1272"/>
        <v>0</v>
      </c>
      <c r="H530" s="11">
        <f t="shared" si="1272"/>
        <v>0</v>
      </c>
      <c r="I530">
        <f t="shared" si="1272"/>
        <v>0</v>
      </c>
      <c r="J530">
        <f t="shared" si="1272"/>
        <v>0</v>
      </c>
      <c r="K530" s="11">
        <f t="shared" si="1272"/>
        <v>0</v>
      </c>
      <c r="L530">
        <f t="shared" si="1272"/>
        <v>0</v>
      </c>
      <c r="N530" s="2" t="str">
        <f t="shared" ref="N530:AA530" si="1273">N348</f>
        <v>Not MA for RSV</v>
      </c>
      <c r="O530" s="63" t="str">
        <f t="shared" si="1273"/>
        <v>unknown</v>
      </c>
      <c r="P530" s="13">
        <f t="shared" si="1273"/>
        <v>0</v>
      </c>
      <c r="Q530">
        <f t="shared" si="1273"/>
        <v>0</v>
      </c>
      <c r="R530">
        <f t="shared" si="1273"/>
        <v>0</v>
      </c>
      <c r="S530">
        <f t="shared" si="1273"/>
        <v>0</v>
      </c>
      <c r="T530">
        <f t="shared" si="1273"/>
        <v>0</v>
      </c>
      <c r="U530">
        <f t="shared" si="1273"/>
        <v>0</v>
      </c>
      <c r="V530">
        <f t="shared" si="1273"/>
        <v>0</v>
      </c>
      <c r="W530">
        <f t="shared" si="1273"/>
        <v>1.095726879289363E-2</v>
      </c>
      <c r="X530">
        <f t="shared" si="1273"/>
        <v>1.095726879289363E-2</v>
      </c>
      <c r="Y530">
        <f t="shared" si="1273"/>
        <v>1.095726879289363E-2</v>
      </c>
      <c r="Z530">
        <f t="shared" si="1273"/>
        <v>0</v>
      </c>
      <c r="AA530">
        <f t="shared" si="1273"/>
        <v>0</v>
      </c>
      <c r="AD530">
        <f t="shared" ref="AD530:AO530" si="1274">AD348</f>
        <v>0</v>
      </c>
      <c r="AE530">
        <f t="shared" si="1274"/>
        <v>0</v>
      </c>
      <c r="AF530">
        <f t="shared" si="1274"/>
        <v>0</v>
      </c>
      <c r="AG530">
        <f t="shared" si="1274"/>
        <v>0</v>
      </c>
      <c r="AH530">
        <f t="shared" si="1274"/>
        <v>0</v>
      </c>
      <c r="AI530">
        <f t="shared" si="1274"/>
        <v>0</v>
      </c>
      <c r="AJ530">
        <f t="shared" si="1274"/>
        <v>0</v>
      </c>
      <c r="AK530" s="11">
        <f t="shared" si="1274"/>
        <v>0</v>
      </c>
      <c r="AL530">
        <f t="shared" si="1274"/>
        <v>0</v>
      </c>
      <c r="AM530">
        <f t="shared" si="1274"/>
        <v>0</v>
      </c>
      <c r="AN530" s="11">
        <f t="shared" si="1274"/>
        <v>0</v>
      </c>
      <c r="AO530">
        <f t="shared" si="1274"/>
        <v>0</v>
      </c>
      <c r="AQ530" s="2" t="str">
        <f t="shared" ref="AQ530:BD530" si="1275">AQ348</f>
        <v>Not MA for RSV</v>
      </c>
      <c r="AR530" s="63" t="str">
        <f t="shared" si="1275"/>
        <v>unknown</v>
      </c>
      <c r="AS530" s="13">
        <f t="shared" si="1275"/>
        <v>0</v>
      </c>
      <c r="AT530">
        <f t="shared" si="1275"/>
        <v>0</v>
      </c>
      <c r="AU530">
        <f t="shared" si="1275"/>
        <v>0</v>
      </c>
      <c r="AV530">
        <f t="shared" si="1275"/>
        <v>0</v>
      </c>
      <c r="AW530">
        <f t="shared" si="1275"/>
        <v>0</v>
      </c>
      <c r="AX530">
        <f t="shared" si="1275"/>
        <v>0</v>
      </c>
      <c r="AY530">
        <f t="shared" si="1275"/>
        <v>0</v>
      </c>
      <c r="AZ530">
        <f t="shared" si="1275"/>
        <v>8.0222919714660352E-4</v>
      </c>
      <c r="BA530">
        <f t="shared" si="1275"/>
        <v>8.0222919714660352E-4</v>
      </c>
      <c r="BB530">
        <f t="shared" si="1275"/>
        <v>8.0222919714660352E-4</v>
      </c>
      <c r="BC530">
        <f t="shared" si="1275"/>
        <v>0</v>
      </c>
      <c r="BD530">
        <f t="shared" si="1275"/>
        <v>0</v>
      </c>
    </row>
    <row r="531" spans="1:56" x14ac:dyDescent="0.3">
      <c r="A531">
        <f t="shared" ref="A531:AA531" si="1276">A349</f>
        <v>0</v>
      </c>
      <c r="B531">
        <f t="shared" si="1276"/>
        <v>0</v>
      </c>
      <c r="C531">
        <f t="shared" si="1276"/>
        <v>0</v>
      </c>
      <c r="D531">
        <f t="shared" si="1276"/>
        <v>0</v>
      </c>
      <c r="E531">
        <f t="shared" si="1276"/>
        <v>0</v>
      </c>
      <c r="F531">
        <f t="shared" si="1276"/>
        <v>0</v>
      </c>
      <c r="G531">
        <f t="shared" si="1276"/>
        <v>0</v>
      </c>
      <c r="H531" s="59" t="str">
        <f t="shared" si="1276"/>
        <v>p1</v>
      </c>
      <c r="I531" s="281">
        <f t="shared" si="1276"/>
        <v>9.7999999999999997E-3</v>
      </c>
      <c r="J531" s="438">
        <f t="shared" si="1276"/>
        <v>0</v>
      </c>
      <c r="K531" s="11">
        <f t="shared" si="1276"/>
        <v>0</v>
      </c>
      <c r="L531">
        <f t="shared" si="1276"/>
        <v>0</v>
      </c>
      <c r="M531">
        <f t="shared" si="1276"/>
        <v>0</v>
      </c>
      <c r="N531">
        <f t="shared" si="1276"/>
        <v>0</v>
      </c>
      <c r="O531">
        <f t="shared" si="1276"/>
        <v>0</v>
      </c>
      <c r="P531">
        <f t="shared" si="1276"/>
        <v>0</v>
      </c>
      <c r="Q531">
        <f t="shared" si="1276"/>
        <v>0</v>
      </c>
      <c r="R531">
        <f t="shared" si="1276"/>
        <v>0</v>
      </c>
      <c r="S531">
        <f t="shared" si="1276"/>
        <v>0</v>
      </c>
      <c r="T531">
        <f t="shared" si="1276"/>
        <v>0</v>
      </c>
      <c r="U531">
        <f t="shared" si="1276"/>
        <v>0</v>
      </c>
      <c r="V531">
        <f t="shared" si="1276"/>
        <v>0</v>
      </c>
      <c r="W531">
        <f t="shared" si="1276"/>
        <v>0</v>
      </c>
      <c r="X531">
        <f t="shared" si="1276"/>
        <v>0</v>
      </c>
      <c r="Y531">
        <f t="shared" si="1276"/>
        <v>0</v>
      </c>
      <c r="Z531">
        <f t="shared" si="1276"/>
        <v>0</v>
      </c>
      <c r="AA531">
        <f t="shared" si="1276"/>
        <v>0</v>
      </c>
      <c r="AD531">
        <f t="shared" ref="AD531:BD531" si="1277">AD349</f>
        <v>0</v>
      </c>
      <c r="AE531">
        <f t="shared" si="1277"/>
        <v>0</v>
      </c>
      <c r="AF531">
        <f t="shared" si="1277"/>
        <v>0</v>
      </c>
      <c r="AG531">
        <f t="shared" si="1277"/>
        <v>0</v>
      </c>
      <c r="AH531">
        <f t="shared" si="1277"/>
        <v>0</v>
      </c>
      <c r="AI531">
        <f t="shared" si="1277"/>
        <v>0</v>
      </c>
      <c r="AJ531">
        <f t="shared" si="1277"/>
        <v>0</v>
      </c>
      <c r="AK531" s="59" t="str">
        <f t="shared" si="1277"/>
        <v>p1</v>
      </c>
      <c r="AL531" s="281">
        <f t="shared" si="1277"/>
        <v>9.7999999999999997E-3</v>
      </c>
      <c r="AM531" s="500">
        <f t="shared" si="1277"/>
        <v>0</v>
      </c>
      <c r="AN531" s="11">
        <f t="shared" si="1277"/>
        <v>0</v>
      </c>
      <c r="AO531">
        <f t="shared" si="1277"/>
        <v>0</v>
      </c>
      <c r="AP531">
        <f t="shared" si="1277"/>
        <v>0</v>
      </c>
      <c r="AQ531">
        <f t="shared" si="1277"/>
        <v>0</v>
      </c>
      <c r="AR531">
        <f t="shared" si="1277"/>
        <v>0</v>
      </c>
      <c r="AS531">
        <f t="shared" si="1277"/>
        <v>0</v>
      </c>
      <c r="AT531">
        <f t="shared" si="1277"/>
        <v>0</v>
      </c>
      <c r="AU531">
        <f t="shared" si="1277"/>
        <v>0</v>
      </c>
      <c r="AV531">
        <f t="shared" si="1277"/>
        <v>0</v>
      </c>
      <c r="AW531">
        <f t="shared" si="1277"/>
        <v>0</v>
      </c>
      <c r="AX531">
        <f t="shared" si="1277"/>
        <v>0</v>
      </c>
      <c r="AY531">
        <f t="shared" si="1277"/>
        <v>0</v>
      </c>
      <c r="AZ531">
        <f t="shared" si="1277"/>
        <v>0</v>
      </c>
      <c r="BA531">
        <f t="shared" si="1277"/>
        <v>0</v>
      </c>
      <c r="BB531">
        <f t="shared" si="1277"/>
        <v>0</v>
      </c>
      <c r="BC531">
        <f t="shared" si="1277"/>
        <v>0</v>
      </c>
      <c r="BD531">
        <f t="shared" si="1277"/>
        <v>0</v>
      </c>
    </row>
    <row r="532" spans="1:56" x14ac:dyDescent="0.3">
      <c r="A532">
        <f t="shared" ref="A532:F532" si="1278">A350</f>
        <v>0</v>
      </c>
      <c r="B532">
        <f t="shared" si="1278"/>
        <v>0</v>
      </c>
      <c r="C532">
        <f t="shared" si="1278"/>
        <v>0</v>
      </c>
      <c r="D532">
        <f t="shared" si="1278"/>
        <v>0</v>
      </c>
      <c r="E532">
        <f t="shared" si="1278"/>
        <v>0</v>
      </c>
      <c r="F532">
        <f t="shared" si="1278"/>
        <v>0</v>
      </c>
      <c r="H532" s="15" t="str">
        <f t="shared" ref="H532:AA532" si="1279">H350</f>
        <v>WiS high-risk births</v>
      </c>
      <c r="I532" s="28">
        <f t="shared" si="1279"/>
        <v>8507.3064999999988</v>
      </c>
      <c r="J532">
        <f t="shared" si="1279"/>
        <v>0</v>
      </c>
      <c r="K532" s="11">
        <f t="shared" si="1279"/>
        <v>0</v>
      </c>
      <c r="L532">
        <f t="shared" si="1279"/>
        <v>0</v>
      </c>
      <c r="M532">
        <f t="shared" si="1279"/>
        <v>0</v>
      </c>
      <c r="N532">
        <f t="shared" si="1279"/>
        <v>0</v>
      </c>
      <c r="O532">
        <f t="shared" si="1279"/>
        <v>0</v>
      </c>
      <c r="P532">
        <f t="shared" si="1279"/>
        <v>0</v>
      </c>
      <c r="Q532">
        <f t="shared" si="1279"/>
        <v>0</v>
      </c>
      <c r="R532">
        <f t="shared" si="1279"/>
        <v>0</v>
      </c>
      <c r="S532">
        <f t="shared" si="1279"/>
        <v>0</v>
      </c>
      <c r="T532">
        <f t="shared" si="1279"/>
        <v>0</v>
      </c>
      <c r="U532">
        <f t="shared" si="1279"/>
        <v>0</v>
      </c>
      <c r="V532">
        <f t="shared" si="1279"/>
        <v>0</v>
      </c>
      <c r="W532">
        <f t="shared" si="1279"/>
        <v>0</v>
      </c>
      <c r="X532">
        <f t="shared" si="1279"/>
        <v>0</v>
      </c>
      <c r="Y532">
        <f t="shared" si="1279"/>
        <v>0</v>
      </c>
      <c r="Z532">
        <f t="shared" si="1279"/>
        <v>0</v>
      </c>
      <c r="AA532">
        <f t="shared" si="1279"/>
        <v>0</v>
      </c>
      <c r="AD532">
        <f t="shared" ref="AD532:AG532" si="1280">AD350</f>
        <v>0</v>
      </c>
      <c r="AE532">
        <f t="shared" si="1280"/>
        <v>0</v>
      </c>
      <c r="AF532">
        <f t="shared" si="1280"/>
        <v>0</v>
      </c>
      <c r="AG532">
        <f t="shared" si="1280"/>
        <v>0</v>
      </c>
      <c r="AK532" s="15" t="str">
        <f t="shared" ref="AK532:BD532" si="1281">AK350</f>
        <v>OoS high-risk births that don't obtain Mat Cand.</v>
      </c>
      <c r="AL532" s="28">
        <f t="shared" si="1281"/>
        <v>8507.3064999999988</v>
      </c>
      <c r="AM532">
        <f t="shared" si="1281"/>
        <v>0</v>
      </c>
      <c r="AN532" s="11">
        <f t="shared" si="1281"/>
        <v>0</v>
      </c>
      <c r="AO532">
        <f t="shared" si="1281"/>
        <v>0</v>
      </c>
      <c r="AP532">
        <f t="shared" si="1281"/>
        <v>0</v>
      </c>
      <c r="AQ532">
        <f t="shared" si="1281"/>
        <v>0</v>
      </c>
      <c r="AR532">
        <f t="shared" si="1281"/>
        <v>0</v>
      </c>
      <c r="AS532">
        <f t="shared" si="1281"/>
        <v>0</v>
      </c>
      <c r="AT532">
        <f t="shared" si="1281"/>
        <v>0</v>
      </c>
      <c r="AU532">
        <f t="shared" si="1281"/>
        <v>0</v>
      </c>
      <c r="AV532">
        <f t="shared" si="1281"/>
        <v>0</v>
      </c>
      <c r="AW532">
        <f t="shared" si="1281"/>
        <v>0</v>
      </c>
      <c r="AX532">
        <f t="shared" si="1281"/>
        <v>0</v>
      </c>
      <c r="AY532">
        <f t="shared" si="1281"/>
        <v>0</v>
      </c>
      <c r="AZ532">
        <f t="shared" si="1281"/>
        <v>0</v>
      </c>
      <c r="BA532">
        <f t="shared" si="1281"/>
        <v>0</v>
      </c>
      <c r="BB532">
        <f t="shared" si="1281"/>
        <v>0</v>
      </c>
      <c r="BC532">
        <f t="shared" si="1281"/>
        <v>0</v>
      </c>
      <c r="BD532">
        <f t="shared" si="1281"/>
        <v>0</v>
      </c>
    </row>
    <row r="533" spans="1:56" x14ac:dyDescent="0.3">
      <c r="A533">
        <f t="shared" ref="A533:L533" si="1282">A351</f>
        <v>0</v>
      </c>
      <c r="B533">
        <f t="shared" si="1282"/>
        <v>0</v>
      </c>
      <c r="C533">
        <f t="shared" si="1282"/>
        <v>0</v>
      </c>
      <c r="D533">
        <f t="shared" si="1282"/>
        <v>0</v>
      </c>
      <c r="E533">
        <f t="shared" si="1282"/>
        <v>0</v>
      </c>
      <c r="F533">
        <f t="shared" si="1282"/>
        <v>0</v>
      </c>
      <c r="G533">
        <f t="shared" si="1282"/>
        <v>0</v>
      </c>
      <c r="J533">
        <f t="shared" si="1282"/>
        <v>0</v>
      </c>
      <c r="K533" s="11">
        <f t="shared" si="1282"/>
        <v>0</v>
      </c>
      <c r="L533">
        <f t="shared" si="1282"/>
        <v>0</v>
      </c>
      <c r="N533" s="2" t="str">
        <f t="shared" ref="N533:AA533" si="1283">N351</f>
        <v>Not MA for RSV</v>
      </c>
      <c r="O533" s="62" t="str">
        <f t="shared" si="1283"/>
        <v>unknown</v>
      </c>
      <c r="P533">
        <f t="shared" si="1283"/>
        <v>0</v>
      </c>
      <c r="Q533">
        <f t="shared" si="1283"/>
        <v>0</v>
      </c>
      <c r="R533">
        <f t="shared" si="1283"/>
        <v>0</v>
      </c>
      <c r="S533">
        <f t="shared" si="1283"/>
        <v>0</v>
      </c>
      <c r="T533">
        <f t="shared" si="1283"/>
        <v>0</v>
      </c>
      <c r="U533">
        <f t="shared" si="1283"/>
        <v>0</v>
      </c>
      <c r="V533">
        <f t="shared" si="1283"/>
        <v>0</v>
      </c>
      <c r="W533">
        <f t="shared" si="1283"/>
        <v>0</v>
      </c>
      <c r="X533">
        <f t="shared" si="1283"/>
        <v>0</v>
      </c>
      <c r="Y533">
        <f t="shared" si="1283"/>
        <v>0</v>
      </c>
      <c r="Z533">
        <f t="shared" si="1283"/>
        <v>0</v>
      </c>
      <c r="AA533">
        <f t="shared" si="1283"/>
        <v>0</v>
      </c>
      <c r="AD533">
        <f t="shared" ref="AD533:AJ533" si="1284">AD351</f>
        <v>0</v>
      </c>
      <c r="AE533">
        <f t="shared" si="1284"/>
        <v>0</v>
      </c>
      <c r="AF533">
        <f t="shared" si="1284"/>
        <v>0</v>
      </c>
      <c r="AG533">
        <f t="shared" si="1284"/>
        <v>0</v>
      </c>
      <c r="AH533">
        <f t="shared" si="1284"/>
        <v>0</v>
      </c>
      <c r="AI533">
        <f t="shared" si="1284"/>
        <v>0</v>
      </c>
      <c r="AJ533">
        <f t="shared" si="1284"/>
        <v>0</v>
      </c>
      <c r="AM533">
        <f t="shared" ref="AM533:AO533" si="1285">AM351</f>
        <v>0</v>
      </c>
      <c r="AN533" s="11">
        <f t="shared" si="1285"/>
        <v>0</v>
      </c>
      <c r="AO533">
        <f t="shared" si="1285"/>
        <v>0</v>
      </c>
      <c r="AQ533" s="2" t="str">
        <f t="shared" ref="AQ533:BD533" si="1286">AQ351</f>
        <v>Not MA for RSV</v>
      </c>
      <c r="AR533" s="62" t="str">
        <f t="shared" si="1286"/>
        <v>unknown</v>
      </c>
      <c r="AS533">
        <f t="shared" si="1286"/>
        <v>0</v>
      </c>
      <c r="AT533">
        <f t="shared" si="1286"/>
        <v>0</v>
      </c>
      <c r="AU533">
        <f t="shared" si="1286"/>
        <v>0</v>
      </c>
      <c r="AV533">
        <f t="shared" si="1286"/>
        <v>0</v>
      </c>
      <c r="AW533">
        <f t="shared" si="1286"/>
        <v>0</v>
      </c>
      <c r="AX533">
        <f t="shared" si="1286"/>
        <v>0</v>
      </c>
      <c r="AY533">
        <f t="shared" si="1286"/>
        <v>0</v>
      </c>
      <c r="AZ533">
        <f t="shared" si="1286"/>
        <v>0</v>
      </c>
      <c r="BA533">
        <f t="shared" si="1286"/>
        <v>0</v>
      </c>
      <c r="BB533">
        <f t="shared" si="1286"/>
        <v>0</v>
      </c>
      <c r="BC533">
        <f t="shared" si="1286"/>
        <v>0</v>
      </c>
      <c r="BD533">
        <f t="shared" si="1286"/>
        <v>0</v>
      </c>
    </row>
    <row r="534" spans="1:56" x14ac:dyDescent="0.3">
      <c r="A534">
        <f t="shared" ref="A534:AA534" si="1287">A352</f>
        <v>0</v>
      </c>
      <c r="B534">
        <f t="shared" si="1287"/>
        <v>0</v>
      </c>
      <c r="C534">
        <f t="shared" si="1287"/>
        <v>0</v>
      </c>
      <c r="D534">
        <f t="shared" si="1287"/>
        <v>0</v>
      </c>
      <c r="E534">
        <f t="shared" si="1287"/>
        <v>0</v>
      </c>
      <c r="F534">
        <f t="shared" si="1287"/>
        <v>0</v>
      </c>
      <c r="G534">
        <f t="shared" si="1287"/>
        <v>0</v>
      </c>
      <c r="J534">
        <f t="shared" si="1287"/>
        <v>0</v>
      </c>
      <c r="K534" s="11">
        <f t="shared" si="1287"/>
        <v>0</v>
      </c>
      <c r="L534">
        <f t="shared" si="1287"/>
        <v>0</v>
      </c>
      <c r="M534">
        <f t="shared" si="1287"/>
        <v>0</v>
      </c>
      <c r="N534" s="16">
        <f t="shared" si="1287"/>
        <v>0</v>
      </c>
      <c r="O534">
        <f t="shared" si="1287"/>
        <v>0</v>
      </c>
      <c r="P534" s="17">
        <f t="shared" si="1287"/>
        <v>0</v>
      </c>
      <c r="Q534">
        <f t="shared" si="1287"/>
        <v>0</v>
      </c>
      <c r="R534">
        <f t="shared" si="1287"/>
        <v>0</v>
      </c>
      <c r="S534">
        <f t="shared" si="1287"/>
        <v>0</v>
      </c>
      <c r="U534">
        <f t="shared" si="1287"/>
        <v>0</v>
      </c>
      <c r="V534">
        <f t="shared" si="1287"/>
        <v>0</v>
      </c>
      <c r="W534">
        <f t="shared" si="1287"/>
        <v>0</v>
      </c>
      <c r="X534" s="29">
        <f t="shared" si="1287"/>
        <v>0</v>
      </c>
      <c r="Y534">
        <f t="shared" si="1287"/>
        <v>0</v>
      </c>
      <c r="Z534">
        <f t="shared" si="1287"/>
        <v>0</v>
      </c>
      <c r="AA534">
        <f t="shared" si="1287"/>
        <v>0</v>
      </c>
      <c r="AD534">
        <f t="shared" ref="AD534:AJ534" si="1288">AD352</f>
        <v>0</v>
      </c>
      <c r="AE534">
        <f t="shared" si="1288"/>
        <v>0</v>
      </c>
      <c r="AF534">
        <f t="shared" si="1288"/>
        <v>0</v>
      </c>
      <c r="AG534">
        <f t="shared" si="1288"/>
        <v>0</v>
      </c>
      <c r="AH534">
        <f t="shared" si="1288"/>
        <v>0</v>
      </c>
      <c r="AI534">
        <f t="shared" si="1288"/>
        <v>0</v>
      </c>
      <c r="AJ534">
        <f t="shared" si="1288"/>
        <v>0</v>
      </c>
      <c r="AM534">
        <f t="shared" ref="AM534:AV534" si="1289">AM352</f>
        <v>0</v>
      </c>
      <c r="AN534" s="11">
        <f t="shared" si="1289"/>
        <v>0</v>
      </c>
      <c r="AO534">
        <f t="shared" si="1289"/>
        <v>0</v>
      </c>
      <c r="AP534">
        <f t="shared" si="1289"/>
        <v>0</v>
      </c>
      <c r="AQ534" s="16">
        <f t="shared" si="1289"/>
        <v>0</v>
      </c>
      <c r="AR534">
        <f t="shared" si="1289"/>
        <v>0</v>
      </c>
      <c r="AS534" s="17">
        <f t="shared" si="1289"/>
        <v>0</v>
      </c>
      <c r="AT534">
        <f t="shared" si="1289"/>
        <v>0</v>
      </c>
      <c r="AU534">
        <f t="shared" si="1289"/>
        <v>0</v>
      </c>
      <c r="AV534">
        <f t="shared" si="1289"/>
        <v>0</v>
      </c>
      <c r="AX534">
        <f t="shared" ref="AX534:BD534" si="1290">AX352</f>
        <v>0</v>
      </c>
      <c r="AY534">
        <f t="shared" si="1290"/>
        <v>0</v>
      </c>
      <c r="AZ534">
        <f t="shared" si="1290"/>
        <v>0</v>
      </c>
      <c r="BA534" s="29">
        <f t="shared" si="1290"/>
        <v>0</v>
      </c>
      <c r="BB534">
        <f t="shared" si="1290"/>
        <v>0</v>
      </c>
      <c r="BC534">
        <f t="shared" si="1290"/>
        <v>0</v>
      </c>
      <c r="BD534">
        <f t="shared" si="1290"/>
        <v>0</v>
      </c>
    </row>
    <row r="535" spans="1:56" x14ac:dyDescent="0.3">
      <c r="A535">
        <f t="shared" ref="A535:AA535" si="1291">A353</f>
        <v>0</v>
      </c>
      <c r="B535">
        <f t="shared" si="1291"/>
        <v>0</v>
      </c>
      <c r="C535">
        <f t="shared" si="1291"/>
        <v>0</v>
      </c>
      <c r="D535">
        <f t="shared" si="1291"/>
        <v>0</v>
      </c>
      <c r="E535">
        <f t="shared" si="1291"/>
        <v>0</v>
      </c>
      <c r="F535">
        <f t="shared" si="1291"/>
        <v>0</v>
      </c>
      <c r="G535">
        <f t="shared" si="1291"/>
        <v>0</v>
      </c>
      <c r="H535">
        <f t="shared" si="1291"/>
        <v>0</v>
      </c>
      <c r="I535">
        <f t="shared" si="1291"/>
        <v>0</v>
      </c>
      <c r="J535">
        <f t="shared" si="1291"/>
        <v>0</v>
      </c>
      <c r="K535" s="59">
        <f t="shared" si="1291"/>
        <v>0</v>
      </c>
      <c r="L535">
        <f t="shared" si="1291"/>
        <v>0</v>
      </c>
      <c r="M535">
        <f t="shared" si="1291"/>
        <v>0</v>
      </c>
      <c r="N535" s="11">
        <f t="shared" si="1291"/>
        <v>0</v>
      </c>
      <c r="O535" s="13">
        <f t="shared" si="1291"/>
        <v>0</v>
      </c>
      <c r="P535" s="13">
        <f t="shared" si="1291"/>
        <v>0</v>
      </c>
      <c r="Q535">
        <f t="shared" si="1291"/>
        <v>0</v>
      </c>
      <c r="R535">
        <f t="shared" si="1291"/>
        <v>0</v>
      </c>
      <c r="S535" s="437" t="str">
        <f t="shared" si="1291"/>
        <v>base</v>
      </c>
      <c r="T535" s="449" t="str">
        <f t="shared" si="1291"/>
        <v>low</v>
      </c>
      <c r="U535" s="449" t="str">
        <f t="shared" si="1291"/>
        <v>high</v>
      </c>
      <c r="V535">
        <f t="shared" si="1291"/>
        <v>0</v>
      </c>
      <c r="W535" s="37">
        <f t="shared" si="1291"/>
        <v>0</v>
      </c>
      <c r="X535" s="20">
        <f t="shared" si="1291"/>
        <v>0</v>
      </c>
      <c r="Y535">
        <f t="shared" si="1291"/>
        <v>0</v>
      </c>
      <c r="Z535">
        <f t="shared" si="1291"/>
        <v>0</v>
      </c>
      <c r="AA535">
        <f t="shared" si="1291"/>
        <v>0</v>
      </c>
      <c r="AD535">
        <f t="shared" ref="AD535:BD535" si="1292">AD353</f>
        <v>0</v>
      </c>
      <c r="AE535">
        <f t="shared" si="1292"/>
        <v>0</v>
      </c>
      <c r="AF535">
        <f t="shared" si="1292"/>
        <v>0</v>
      </c>
      <c r="AG535">
        <f t="shared" si="1292"/>
        <v>0</v>
      </c>
      <c r="AH535">
        <f t="shared" si="1292"/>
        <v>0</v>
      </c>
      <c r="AI535">
        <f t="shared" si="1292"/>
        <v>0</v>
      </c>
      <c r="AJ535">
        <f t="shared" si="1292"/>
        <v>0</v>
      </c>
      <c r="AK535">
        <f t="shared" si="1292"/>
        <v>0</v>
      </c>
      <c r="AL535">
        <f t="shared" si="1292"/>
        <v>0</v>
      </c>
      <c r="AM535">
        <f t="shared" si="1292"/>
        <v>0</v>
      </c>
      <c r="AN535" s="59">
        <f t="shared" si="1292"/>
        <v>0</v>
      </c>
      <c r="AO535">
        <f t="shared" si="1292"/>
        <v>0</v>
      </c>
      <c r="AP535">
        <f t="shared" si="1292"/>
        <v>0</v>
      </c>
      <c r="AQ535" s="11">
        <f t="shared" si="1292"/>
        <v>0</v>
      </c>
      <c r="AR535" s="13">
        <f t="shared" si="1292"/>
        <v>0</v>
      </c>
      <c r="AS535" s="13">
        <f t="shared" si="1292"/>
        <v>0</v>
      </c>
      <c r="AT535">
        <f t="shared" si="1292"/>
        <v>0</v>
      </c>
      <c r="AU535">
        <f t="shared" si="1292"/>
        <v>0</v>
      </c>
      <c r="AV535" s="684" t="str">
        <f t="shared" si="1292"/>
        <v>base</v>
      </c>
      <c r="AW535" s="449" t="str">
        <f t="shared" si="1292"/>
        <v>low</v>
      </c>
      <c r="AX535" s="449" t="str">
        <f t="shared" si="1292"/>
        <v>high</v>
      </c>
      <c r="AY535">
        <f t="shared" si="1292"/>
        <v>0</v>
      </c>
      <c r="AZ535" s="37">
        <f t="shared" si="1292"/>
        <v>0</v>
      </c>
      <c r="BA535" s="20">
        <f t="shared" si="1292"/>
        <v>0</v>
      </c>
      <c r="BB535">
        <f t="shared" si="1292"/>
        <v>0</v>
      </c>
      <c r="BC535">
        <f t="shared" si="1292"/>
        <v>0</v>
      </c>
      <c r="BD535">
        <f t="shared" si="1292"/>
        <v>0</v>
      </c>
    </row>
    <row r="536" spans="1:56" x14ac:dyDescent="0.3">
      <c r="A536">
        <f t="shared" ref="A536:AA536" si="1293">A354</f>
        <v>0</v>
      </c>
      <c r="B536">
        <f t="shared" si="1293"/>
        <v>0</v>
      </c>
      <c r="C536">
        <f t="shared" si="1293"/>
        <v>0</v>
      </c>
      <c r="D536">
        <f t="shared" si="1293"/>
        <v>0</v>
      </c>
      <c r="E536">
        <f t="shared" si="1293"/>
        <v>0</v>
      </c>
      <c r="F536">
        <f t="shared" si="1293"/>
        <v>0</v>
      </c>
      <c r="G536">
        <f t="shared" si="1293"/>
        <v>0</v>
      </c>
      <c r="H536">
        <f t="shared" si="1293"/>
        <v>0</v>
      </c>
      <c r="I536">
        <f t="shared" si="1293"/>
        <v>0</v>
      </c>
      <c r="J536">
        <f t="shared" si="1293"/>
        <v>0</v>
      </c>
      <c r="K536" s="59" t="str">
        <f t="shared" si="1293"/>
        <v>1-p2</v>
      </c>
      <c r="L536" s="67">
        <f>L354</f>
        <v>0.62</v>
      </c>
      <c r="M536" s="438">
        <f t="shared" si="1293"/>
        <v>0</v>
      </c>
      <c r="N536" s="11">
        <f t="shared" si="1293"/>
        <v>0</v>
      </c>
      <c r="O536">
        <f t="shared" si="1293"/>
        <v>0</v>
      </c>
      <c r="P536">
        <f t="shared" si="1293"/>
        <v>0</v>
      </c>
      <c r="Q536">
        <f t="shared" si="1293"/>
        <v>0</v>
      </c>
      <c r="R536" s="12" t="str">
        <f t="shared" si="1293"/>
        <v>Outpatient</v>
      </c>
      <c r="S536" s="30">
        <f t="shared" si="1293"/>
        <v>10128.054769615412</v>
      </c>
      <c r="T536" s="453">
        <f t="shared" si="1293"/>
        <v>11278.970084344437</v>
      </c>
      <c r="U536" s="453">
        <f t="shared" si="1293"/>
        <v>8977.1394548863882</v>
      </c>
      <c r="V536">
        <f t="shared" si="1293"/>
        <v>0</v>
      </c>
      <c r="W536" s="69">
        <f t="shared" si="1293"/>
        <v>0</v>
      </c>
      <c r="X536">
        <f t="shared" si="1293"/>
        <v>0</v>
      </c>
      <c r="Y536">
        <f t="shared" si="1293"/>
        <v>0</v>
      </c>
      <c r="Z536">
        <f t="shared" si="1293"/>
        <v>0</v>
      </c>
      <c r="AA536">
        <f t="shared" si="1293"/>
        <v>0</v>
      </c>
      <c r="AD536">
        <f t="shared" ref="AD536:AN536" si="1294">AD354</f>
        <v>0</v>
      </c>
      <c r="AE536">
        <f t="shared" si="1294"/>
        <v>0</v>
      </c>
      <c r="AF536">
        <f t="shared" si="1294"/>
        <v>0</v>
      </c>
      <c r="AG536">
        <f t="shared" si="1294"/>
        <v>0</v>
      </c>
      <c r="AH536">
        <f t="shared" si="1294"/>
        <v>0</v>
      </c>
      <c r="AI536">
        <f t="shared" si="1294"/>
        <v>0</v>
      </c>
      <c r="AJ536">
        <f t="shared" si="1294"/>
        <v>0</v>
      </c>
      <c r="AK536">
        <f t="shared" si="1294"/>
        <v>0</v>
      </c>
      <c r="AL536">
        <f t="shared" si="1294"/>
        <v>0</v>
      </c>
      <c r="AM536">
        <f t="shared" si="1294"/>
        <v>0</v>
      </c>
      <c r="AN536" s="59" t="str">
        <f t="shared" si="1294"/>
        <v>1-p2</v>
      </c>
      <c r="AO536" s="67">
        <f>AO354</f>
        <v>0.62</v>
      </c>
      <c r="AP536" s="500">
        <f t="shared" ref="AP536:BD536" si="1295">AP354</f>
        <v>0</v>
      </c>
      <c r="AQ536" s="11">
        <f t="shared" si="1295"/>
        <v>0</v>
      </c>
      <c r="AR536">
        <f t="shared" si="1295"/>
        <v>0</v>
      </c>
      <c r="AS536">
        <f t="shared" si="1295"/>
        <v>0</v>
      </c>
      <c r="AT536">
        <f t="shared" si="1295"/>
        <v>0</v>
      </c>
      <c r="AU536" s="12" t="str">
        <f t="shared" si="1295"/>
        <v>Outpatient</v>
      </c>
      <c r="AV536" s="30">
        <f t="shared" si="1295"/>
        <v>4118.7160032880929</v>
      </c>
      <c r="AW536" s="453">
        <f t="shared" si="1295"/>
        <v>4586.7519127526493</v>
      </c>
      <c r="AX536" s="453">
        <f t="shared" si="1295"/>
        <v>3650.6800938235374</v>
      </c>
      <c r="AY536">
        <f t="shared" si="1295"/>
        <v>0</v>
      </c>
      <c r="AZ536" s="69">
        <f t="shared" si="1295"/>
        <v>0</v>
      </c>
      <c r="BA536">
        <f t="shared" si="1295"/>
        <v>0</v>
      </c>
      <c r="BB536">
        <f t="shared" si="1295"/>
        <v>0</v>
      </c>
      <c r="BC536">
        <f t="shared" si="1295"/>
        <v>0</v>
      </c>
      <c r="BD536">
        <f t="shared" si="1295"/>
        <v>0</v>
      </c>
    </row>
    <row r="537" spans="1:56" x14ac:dyDescent="0.3">
      <c r="A537">
        <f t="shared" ref="A537:G537" si="1296">A355</f>
        <v>0</v>
      </c>
      <c r="B537">
        <f t="shared" si="1296"/>
        <v>0</v>
      </c>
      <c r="C537">
        <f t="shared" si="1296"/>
        <v>0</v>
      </c>
      <c r="D537">
        <f t="shared" si="1296"/>
        <v>0</v>
      </c>
      <c r="E537">
        <f t="shared" si="1296"/>
        <v>0</v>
      </c>
      <c r="F537">
        <f t="shared" si="1296"/>
        <v>0</v>
      </c>
      <c r="G537">
        <f t="shared" si="1296"/>
        <v>0</v>
      </c>
      <c r="K537" s="15" t="str">
        <f t="shared" ref="K537:AA537" si="1297">K355</f>
        <v>do not obtain palivizumab product</v>
      </c>
      <c r="L537" s="28">
        <f t="shared" si="1297"/>
        <v>5274.530029999999</v>
      </c>
      <c r="M537">
        <f t="shared" si="1297"/>
        <v>0</v>
      </c>
      <c r="N537" s="59"/>
      <c r="O537" s="50"/>
      <c r="P537">
        <f t="shared" si="1297"/>
        <v>0</v>
      </c>
      <c r="Q537" s="16">
        <f t="shared" si="1297"/>
        <v>0</v>
      </c>
      <c r="R537" s="2" t="str">
        <f t="shared" si="1297"/>
        <v>p4c</v>
      </c>
      <c r="S537" s="61">
        <f t="shared" si="1297"/>
        <v>1.9201814592029942</v>
      </c>
      <c r="T537" s="451">
        <f t="shared" si="1297"/>
        <v>1.9201814592029942</v>
      </c>
      <c r="U537" s="451">
        <f t="shared" si="1297"/>
        <v>1.9201814592029942</v>
      </c>
      <c r="V537">
        <f t="shared" si="1297"/>
        <v>0</v>
      </c>
      <c r="W537">
        <f t="shared" si="1297"/>
        <v>0</v>
      </c>
      <c r="X537">
        <f t="shared" si="1297"/>
        <v>0</v>
      </c>
      <c r="Y537">
        <f t="shared" si="1297"/>
        <v>0</v>
      </c>
      <c r="Z537">
        <f t="shared" si="1297"/>
        <v>0</v>
      </c>
      <c r="AA537">
        <f t="shared" si="1297"/>
        <v>0</v>
      </c>
      <c r="AD537">
        <f t="shared" ref="AD537:AJ537" si="1298">AD355</f>
        <v>0</v>
      </c>
      <c r="AE537">
        <f t="shared" si="1298"/>
        <v>0</v>
      </c>
      <c r="AF537">
        <f t="shared" si="1298"/>
        <v>0</v>
      </c>
      <c r="AG537">
        <f t="shared" si="1298"/>
        <v>0</v>
      </c>
      <c r="AH537">
        <f t="shared" si="1298"/>
        <v>0</v>
      </c>
      <c r="AI537">
        <f t="shared" si="1298"/>
        <v>0</v>
      </c>
      <c r="AJ537">
        <f t="shared" si="1298"/>
        <v>0</v>
      </c>
      <c r="AN537" s="15" t="str">
        <f t="shared" ref="AN537:AP537" si="1299">AN355</f>
        <v>do not obtain palivizumab product</v>
      </c>
      <c r="AO537" s="28">
        <f t="shared" si="1299"/>
        <v>5274.530029999999</v>
      </c>
      <c r="AP537">
        <f t="shared" si="1299"/>
        <v>0</v>
      </c>
      <c r="AQ537" s="59"/>
      <c r="AR537" s="50"/>
      <c r="AS537">
        <f t="shared" ref="AS537:BD537" si="1300">AS355</f>
        <v>0</v>
      </c>
      <c r="AT537" s="16">
        <f t="shared" si="1300"/>
        <v>0</v>
      </c>
      <c r="AU537" s="2" t="str">
        <f t="shared" si="1300"/>
        <v>p4c</v>
      </c>
      <c r="AV537" s="61">
        <f t="shared" si="1300"/>
        <v>0.78086881292968835</v>
      </c>
      <c r="AW537" s="451">
        <f t="shared" si="1300"/>
        <v>0.78086881292968835</v>
      </c>
      <c r="AX537" s="451">
        <f t="shared" si="1300"/>
        <v>0.78086881292968835</v>
      </c>
      <c r="AY537">
        <f t="shared" si="1300"/>
        <v>0</v>
      </c>
      <c r="AZ537">
        <f t="shared" si="1300"/>
        <v>0</v>
      </c>
      <c r="BA537">
        <f t="shared" si="1300"/>
        <v>0</v>
      </c>
      <c r="BB537">
        <f t="shared" si="1300"/>
        <v>0</v>
      </c>
      <c r="BC537">
        <f t="shared" si="1300"/>
        <v>0</v>
      </c>
      <c r="BD537">
        <f t="shared" si="1300"/>
        <v>0</v>
      </c>
    </row>
    <row r="538" spans="1:56" x14ac:dyDescent="0.3">
      <c r="A538">
        <f t="shared" ref="A538:AA538" si="1301">A356</f>
        <v>0</v>
      </c>
      <c r="B538">
        <f t="shared" si="1301"/>
        <v>0</v>
      </c>
      <c r="C538">
        <f t="shared" si="1301"/>
        <v>0</v>
      </c>
      <c r="D538">
        <f t="shared" si="1301"/>
        <v>0</v>
      </c>
      <c r="E538">
        <f t="shared" si="1301"/>
        <v>0</v>
      </c>
      <c r="F538">
        <f t="shared" si="1301"/>
        <v>0</v>
      </c>
      <c r="G538">
        <f t="shared" si="1301"/>
        <v>0</v>
      </c>
      <c r="H538">
        <f t="shared" si="1301"/>
        <v>0</v>
      </c>
      <c r="I538">
        <f t="shared" si="1301"/>
        <v>0</v>
      </c>
      <c r="J538">
        <f t="shared" si="1301"/>
        <v>0</v>
      </c>
      <c r="K538" s="14"/>
      <c r="L538" s="58"/>
      <c r="M538">
        <f t="shared" si="1301"/>
        <v>0</v>
      </c>
      <c r="N538" s="59"/>
      <c r="O538" s="50"/>
      <c r="P538">
        <f t="shared" si="1301"/>
        <v>0</v>
      </c>
      <c r="Q538" s="11">
        <f t="shared" si="1301"/>
        <v>0</v>
      </c>
      <c r="R538" s="2">
        <f t="shared" si="1301"/>
        <v>0</v>
      </c>
      <c r="S538">
        <f t="shared" si="1301"/>
        <v>0</v>
      </c>
      <c r="T538" s="452">
        <f t="shared" si="1301"/>
        <v>0</v>
      </c>
      <c r="U538" s="452">
        <f t="shared" si="1301"/>
        <v>0</v>
      </c>
      <c r="V538">
        <f t="shared" si="1301"/>
        <v>0</v>
      </c>
      <c r="W538">
        <f t="shared" si="1301"/>
        <v>0</v>
      </c>
      <c r="X538">
        <f t="shared" si="1301"/>
        <v>0</v>
      </c>
      <c r="Y538">
        <f t="shared" si="1301"/>
        <v>0</v>
      </c>
      <c r="Z538">
        <f t="shared" si="1301"/>
        <v>0</v>
      </c>
      <c r="AA538">
        <f t="shared" si="1301"/>
        <v>0</v>
      </c>
      <c r="AD538">
        <f t="shared" ref="AD538:AM538" si="1302">AD356</f>
        <v>0</v>
      </c>
      <c r="AE538">
        <f t="shared" si="1302"/>
        <v>0</v>
      </c>
      <c r="AF538">
        <f t="shared" si="1302"/>
        <v>0</v>
      </c>
      <c r="AG538">
        <f t="shared" si="1302"/>
        <v>0</v>
      </c>
      <c r="AH538">
        <f t="shared" si="1302"/>
        <v>0</v>
      </c>
      <c r="AI538">
        <f t="shared" si="1302"/>
        <v>0</v>
      </c>
      <c r="AJ538">
        <f t="shared" si="1302"/>
        <v>0</v>
      </c>
      <c r="AK538">
        <f t="shared" si="1302"/>
        <v>0</v>
      </c>
      <c r="AL538">
        <f t="shared" si="1302"/>
        <v>0</v>
      </c>
      <c r="AM538">
        <f t="shared" si="1302"/>
        <v>0</v>
      </c>
      <c r="AN538" s="14"/>
      <c r="AO538" s="58"/>
      <c r="AP538">
        <f t="shared" ref="AP538" si="1303">AP356</f>
        <v>0</v>
      </c>
      <c r="AQ538" s="59"/>
      <c r="AR538" s="50"/>
      <c r="AS538">
        <f t="shared" ref="AS538:BD538" si="1304">AS356</f>
        <v>0</v>
      </c>
      <c r="AT538" s="11">
        <f t="shared" si="1304"/>
        <v>0</v>
      </c>
      <c r="AU538" s="2">
        <f t="shared" si="1304"/>
        <v>0</v>
      </c>
      <c r="AV538">
        <f t="shared" si="1304"/>
        <v>0</v>
      </c>
      <c r="AW538" s="452">
        <f t="shared" si="1304"/>
        <v>0</v>
      </c>
      <c r="AX538" s="452">
        <f t="shared" si="1304"/>
        <v>0</v>
      </c>
      <c r="AY538">
        <f t="shared" si="1304"/>
        <v>0</v>
      </c>
      <c r="AZ538">
        <f t="shared" si="1304"/>
        <v>0</v>
      </c>
      <c r="BA538">
        <f t="shared" si="1304"/>
        <v>0</v>
      </c>
      <c r="BB538">
        <f t="shared" si="1304"/>
        <v>0</v>
      </c>
      <c r="BC538">
        <f t="shared" si="1304"/>
        <v>0</v>
      </c>
      <c r="BD538">
        <f t="shared" si="1304"/>
        <v>0</v>
      </c>
    </row>
    <row r="539" spans="1:56" x14ac:dyDescent="0.3">
      <c r="A539">
        <f t="shared" ref="A539:AA539" si="1305">A357</f>
        <v>0</v>
      </c>
      <c r="B539">
        <f t="shared" si="1305"/>
        <v>0</v>
      </c>
      <c r="C539">
        <f t="shared" si="1305"/>
        <v>0</v>
      </c>
      <c r="D539">
        <f t="shared" si="1305"/>
        <v>0</v>
      </c>
      <c r="E539">
        <f t="shared" si="1305"/>
        <v>0</v>
      </c>
      <c r="F539">
        <f t="shared" si="1305"/>
        <v>0</v>
      </c>
      <c r="G539">
        <f t="shared" si="1305"/>
        <v>0</v>
      </c>
      <c r="H539">
        <f t="shared" si="1305"/>
        <v>0</v>
      </c>
      <c r="I539">
        <f t="shared" si="1305"/>
        <v>0</v>
      </c>
      <c r="J539">
        <f t="shared" si="1305"/>
        <v>0</v>
      </c>
      <c r="M539">
        <f t="shared" si="1305"/>
        <v>0</v>
      </c>
      <c r="N539" s="18" t="str">
        <f t="shared" si="1305"/>
        <v>sum p4a-c</v>
      </c>
      <c r="O539" s="50">
        <f t="shared" si="1305"/>
        <v>2.7633318789944998</v>
      </c>
      <c r="P539" s="438">
        <f t="shared" si="1305"/>
        <v>0</v>
      </c>
      <c r="Q539" s="18">
        <f t="shared" si="1305"/>
        <v>0</v>
      </c>
      <c r="R539" s="12" t="str">
        <f t="shared" si="1305"/>
        <v>ED</v>
      </c>
      <c r="S539" s="30">
        <f t="shared" si="1305"/>
        <v>3511.6746581612206</v>
      </c>
      <c r="T539" s="453">
        <f t="shared" si="1305"/>
        <v>3910.7285965886326</v>
      </c>
      <c r="U539" s="453">
        <f t="shared" si="1305"/>
        <v>3112.6207197338094</v>
      </c>
      <c r="V539">
        <f t="shared" si="1305"/>
        <v>0</v>
      </c>
      <c r="W539">
        <f t="shared" si="1305"/>
        <v>0</v>
      </c>
      <c r="X539">
        <f t="shared" si="1305"/>
        <v>0</v>
      </c>
      <c r="Y539">
        <f t="shared" si="1305"/>
        <v>0</v>
      </c>
      <c r="Z539">
        <f t="shared" si="1305"/>
        <v>0</v>
      </c>
      <c r="AA539">
        <f t="shared" si="1305"/>
        <v>0</v>
      </c>
      <c r="AD539">
        <f t="shared" ref="AD539:AM539" si="1306">AD357</f>
        <v>0</v>
      </c>
      <c r="AE539">
        <f t="shared" si="1306"/>
        <v>0</v>
      </c>
      <c r="AF539">
        <f t="shared" si="1306"/>
        <v>0</v>
      </c>
      <c r="AG539">
        <f t="shared" si="1306"/>
        <v>0</v>
      </c>
      <c r="AH539">
        <f t="shared" si="1306"/>
        <v>0</v>
      </c>
      <c r="AI539">
        <f t="shared" si="1306"/>
        <v>0</v>
      </c>
      <c r="AJ539">
        <f t="shared" si="1306"/>
        <v>0</v>
      </c>
      <c r="AK539">
        <f t="shared" si="1306"/>
        <v>0</v>
      </c>
      <c r="AL539">
        <f t="shared" si="1306"/>
        <v>0</v>
      </c>
      <c r="AM539">
        <f t="shared" si="1306"/>
        <v>0</v>
      </c>
      <c r="AP539">
        <f t="shared" ref="AP539:BD539" si="1307">AP357</f>
        <v>0</v>
      </c>
      <c r="AQ539" s="18" t="str">
        <f t="shared" si="1307"/>
        <v>sum p4a-c</v>
      </c>
      <c r="AR539" s="50">
        <f t="shared" si="1307"/>
        <v>2.7633318789944998</v>
      </c>
      <c r="AS539" s="500">
        <f t="shared" si="1307"/>
        <v>0</v>
      </c>
      <c r="AT539" s="18">
        <f t="shared" si="1307"/>
        <v>0</v>
      </c>
      <c r="AU539" s="12" t="str">
        <f t="shared" si="1307"/>
        <v>ED</v>
      </c>
      <c r="AV539" s="30">
        <f t="shared" si="1307"/>
        <v>1637.9322267338632</v>
      </c>
      <c r="AW539" s="453">
        <f t="shared" si="1307"/>
        <v>1824.0608888627116</v>
      </c>
      <c r="AX539" s="453">
        <f t="shared" si="1307"/>
        <v>1451.8035646050153</v>
      </c>
      <c r="AY539">
        <f t="shared" si="1307"/>
        <v>0</v>
      </c>
      <c r="AZ539">
        <f t="shared" si="1307"/>
        <v>0</v>
      </c>
      <c r="BA539">
        <f t="shared" si="1307"/>
        <v>0</v>
      </c>
      <c r="BB539">
        <f t="shared" si="1307"/>
        <v>0</v>
      </c>
      <c r="BC539">
        <f t="shared" si="1307"/>
        <v>0</v>
      </c>
      <c r="BD539">
        <f t="shared" si="1307"/>
        <v>0</v>
      </c>
    </row>
    <row r="540" spans="1:56" x14ac:dyDescent="0.3">
      <c r="A540">
        <f t="shared" ref="A540:K540" si="1308">A358</f>
        <v>0</v>
      </c>
      <c r="B540">
        <f t="shared" si="1308"/>
        <v>0</v>
      </c>
      <c r="C540">
        <f t="shared" si="1308"/>
        <v>0</v>
      </c>
      <c r="D540">
        <f t="shared" si="1308"/>
        <v>0</v>
      </c>
      <c r="E540">
        <f t="shared" si="1308"/>
        <v>0</v>
      </c>
      <c r="F540">
        <f t="shared" si="1308"/>
        <v>0</v>
      </c>
      <c r="G540">
        <f t="shared" si="1308"/>
        <v>0</v>
      </c>
      <c r="H540">
        <f t="shared" si="1308"/>
        <v>0</v>
      </c>
      <c r="I540">
        <f t="shared" si="1308"/>
        <v>0</v>
      </c>
      <c r="J540">
        <f t="shared" si="1308"/>
        <v>0</v>
      </c>
      <c r="K540">
        <f t="shared" si="1308"/>
        <v>0</v>
      </c>
      <c r="N540" s="2" t="str">
        <f t="shared" ref="N540:AA540" si="1309">N358</f>
        <v>Medically Attended for RSV</v>
      </c>
      <c r="O540" s="54">
        <f t="shared" si="1309"/>
        <v>14575.276978612812</v>
      </c>
      <c r="P540">
        <f t="shared" si="1309"/>
        <v>0</v>
      </c>
      <c r="Q540" s="11">
        <f t="shared" si="1309"/>
        <v>0</v>
      </c>
      <c r="R540" s="2" t="str">
        <f t="shared" si="1309"/>
        <v>p4b</v>
      </c>
      <c r="S540" s="61">
        <f t="shared" si="1309"/>
        <v>0.66577963120654016</v>
      </c>
      <c r="T540" s="451">
        <f t="shared" si="1309"/>
        <v>0.66577963120654016</v>
      </c>
      <c r="U540" s="451">
        <f t="shared" si="1309"/>
        <v>0.66577963120654016</v>
      </c>
      <c r="V540">
        <f t="shared" si="1309"/>
        <v>0</v>
      </c>
      <c r="W540">
        <f t="shared" si="1309"/>
        <v>0</v>
      </c>
      <c r="X540">
        <f t="shared" si="1309"/>
        <v>0</v>
      </c>
      <c r="Y540">
        <f t="shared" si="1309"/>
        <v>0</v>
      </c>
      <c r="Z540">
        <f t="shared" si="1309"/>
        <v>0</v>
      </c>
      <c r="AA540">
        <f t="shared" si="1309"/>
        <v>0</v>
      </c>
      <c r="AD540">
        <f t="shared" ref="AD540:AN540" si="1310">AD358</f>
        <v>0</v>
      </c>
      <c r="AE540">
        <f t="shared" si="1310"/>
        <v>0</v>
      </c>
      <c r="AF540">
        <f t="shared" si="1310"/>
        <v>0</v>
      </c>
      <c r="AG540">
        <f t="shared" si="1310"/>
        <v>0</v>
      </c>
      <c r="AH540">
        <f t="shared" si="1310"/>
        <v>0</v>
      </c>
      <c r="AI540">
        <f t="shared" si="1310"/>
        <v>0</v>
      </c>
      <c r="AJ540">
        <f t="shared" si="1310"/>
        <v>0</v>
      </c>
      <c r="AK540">
        <f t="shared" si="1310"/>
        <v>0</v>
      </c>
      <c r="AL540">
        <f t="shared" si="1310"/>
        <v>0</v>
      </c>
      <c r="AM540">
        <f t="shared" si="1310"/>
        <v>0</v>
      </c>
      <c r="AN540">
        <f t="shared" si="1310"/>
        <v>0</v>
      </c>
      <c r="AQ540" s="2" t="str">
        <f t="shared" ref="AQ540:BD540" si="1311">AQ358</f>
        <v>Medically Attended for RSV</v>
      </c>
      <c r="AR540" s="54">
        <f t="shared" si="1311"/>
        <v>5982.3223234474681</v>
      </c>
      <c r="AS540">
        <f t="shared" si="1311"/>
        <v>0</v>
      </c>
      <c r="AT540" s="11">
        <f t="shared" si="1311"/>
        <v>0</v>
      </c>
      <c r="AU540" s="2" t="str">
        <f t="shared" si="1311"/>
        <v>p4b</v>
      </c>
      <c r="AV540" s="61">
        <f t="shared" si="1311"/>
        <v>0.31053614585902045</v>
      </c>
      <c r="AW540" s="451">
        <f t="shared" si="1311"/>
        <v>0.31053614585902045</v>
      </c>
      <c r="AX540" s="451">
        <f t="shared" si="1311"/>
        <v>0.31053614585902045</v>
      </c>
      <c r="AY540">
        <f t="shared" si="1311"/>
        <v>0</v>
      </c>
      <c r="AZ540">
        <f t="shared" si="1311"/>
        <v>0</v>
      </c>
      <c r="BA540">
        <f t="shared" si="1311"/>
        <v>0</v>
      </c>
      <c r="BB540">
        <f t="shared" si="1311"/>
        <v>0</v>
      </c>
      <c r="BC540">
        <f t="shared" si="1311"/>
        <v>0</v>
      </c>
      <c r="BD540">
        <f t="shared" si="1311"/>
        <v>0</v>
      </c>
    </row>
    <row r="541" spans="1:56" x14ac:dyDescent="0.3">
      <c r="A541">
        <f t="shared" ref="A541:AA541" si="1312">A359</f>
        <v>0</v>
      </c>
      <c r="B541">
        <f t="shared" si="1312"/>
        <v>0</v>
      </c>
      <c r="C541">
        <f t="shared" si="1312"/>
        <v>0</v>
      </c>
      <c r="D541">
        <f t="shared" si="1312"/>
        <v>0</v>
      </c>
      <c r="E541">
        <f t="shared" si="1312"/>
        <v>0</v>
      </c>
      <c r="F541">
        <f t="shared" si="1312"/>
        <v>0</v>
      </c>
      <c r="G541">
        <f t="shared" si="1312"/>
        <v>0</v>
      </c>
      <c r="H541">
        <f t="shared" si="1312"/>
        <v>0</v>
      </c>
      <c r="I541">
        <f t="shared" si="1312"/>
        <v>0</v>
      </c>
      <c r="J541">
        <f t="shared" si="1312"/>
        <v>0</v>
      </c>
      <c r="K541">
        <f t="shared" si="1312"/>
        <v>0</v>
      </c>
      <c r="L541">
        <f t="shared" si="1312"/>
        <v>0</v>
      </c>
      <c r="M541">
        <f t="shared" si="1312"/>
        <v>0</v>
      </c>
      <c r="N541" s="14"/>
      <c r="O541" s="28"/>
      <c r="P541">
        <f t="shared" si="1312"/>
        <v>0</v>
      </c>
      <c r="Q541" s="11">
        <f t="shared" si="1312"/>
        <v>0</v>
      </c>
      <c r="R541" s="2">
        <f t="shared" si="1312"/>
        <v>0</v>
      </c>
      <c r="S541">
        <f t="shared" si="1312"/>
        <v>0</v>
      </c>
      <c r="T541" s="452">
        <f t="shared" si="1312"/>
        <v>0</v>
      </c>
      <c r="U541" s="452">
        <f t="shared" si="1312"/>
        <v>0</v>
      </c>
      <c r="V541">
        <f t="shared" si="1312"/>
        <v>0</v>
      </c>
      <c r="W541">
        <f t="shared" si="1312"/>
        <v>0</v>
      </c>
      <c r="X541">
        <f t="shared" si="1312"/>
        <v>0</v>
      </c>
      <c r="Y541">
        <f t="shared" si="1312"/>
        <v>0</v>
      </c>
      <c r="Z541">
        <f t="shared" si="1312"/>
        <v>0</v>
      </c>
      <c r="AA541">
        <f t="shared" si="1312"/>
        <v>0</v>
      </c>
      <c r="AD541">
        <f t="shared" ref="AD541:AP541" si="1313">AD359</f>
        <v>0</v>
      </c>
      <c r="AE541">
        <f t="shared" si="1313"/>
        <v>0</v>
      </c>
      <c r="AF541">
        <f t="shared" si="1313"/>
        <v>0</v>
      </c>
      <c r="AG541">
        <f t="shared" si="1313"/>
        <v>0</v>
      </c>
      <c r="AH541">
        <f t="shared" si="1313"/>
        <v>0</v>
      </c>
      <c r="AI541">
        <f t="shared" si="1313"/>
        <v>0</v>
      </c>
      <c r="AJ541">
        <f t="shared" si="1313"/>
        <v>0</v>
      </c>
      <c r="AK541">
        <f t="shared" si="1313"/>
        <v>0</v>
      </c>
      <c r="AL541">
        <f t="shared" si="1313"/>
        <v>0</v>
      </c>
      <c r="AM541">
        <f t="shared" si="1313"/>
        <v>0</v>
      </c>
      <c r="AN541">
        <f t="shared" si="1313"/>
        <v>0</v>
      </c>
      <c r="AO541">
        <f t="shared" si="1313"/>
        <v>0</v>
      </c>
      <c r="AP541">
        <f t="shared" si="1313"/>
        <v>0</v>
      </c>
      <c r="AQ541" s="14"/>
      <c r="AR541" s="28"/>
      <c r="AS541">
        <f t="shared" ref="AS541:BD541" si="1314">AS359</f>
        <v>0</v>
      </c>
      <c r="AT541" s="11">
        <f t="shared" si="1314"/>
        <v>0</v>
      </c>
      <c r="AU541" s="2">
        <f t="shared" si="1314"/>
        <v>0</v>
      </c>
      <c r="AV541">
        <f t="shared" si="1314"/>
        <v>0</v>
      </c>
      <c r="AW541" s="452">
        <f t="shared" si="1314"/>
        <v>0</v>
      </c>
      <c r="AX541" s="452">
        <f t="shared" si="1314"/>
        <v>0</v>
      </c>
      <c r="AY541">
        <f t="shared" si="1314"/>
        <v>0</v>
      </c>
      <c r="AZ541">
        <f t="shared" si="1314"/>
        <v>0</v>
      </c>
      <c r="BA541">
        <f t="shared" si="1314"/>
        <v>0</v>
      </c>
      <c r="BB541">
        <f t="shared" si="1314"/>
        <v>0</v>
      </c>
      <c r="BC541">
        <f t="shared" si="1314"/>
        <v>0</v>
      </c>
      <c r="BD541">
        <f t="shared" si="1314"/>
        <v>0</v>
      </c>
    </row>
    <row r="542" spans="1:56" x14ac:dyDescent="0.3">
      <c r="A542">
        <f t="shared" ref="A542:AA542" si="1315">A360</f>
        <v>0</v>
      </c>
      <c r="B542">
        <f t="shared" si="1315"/>
        <v>0</v>
      </c>
      <c r="C542">
        <f t="shared" si="1315"/>
        <v>0</v>
      </c>
      <c r="D542">
        <f t="shared" si="1315"/>
        <v>0</v>
      </c>
      <c r="E542">
        <f t="shared" si="1315"/>
        <v>0</v>
      </c>
      <c r="F542">
        <f t="shared" si="1315"/>
        <v>0</v>
      </c>
      <c r="G542">
        <f t="shared" si="1315"/>
        <v>0</v>
      </c>
      <c r="H542">
        <f t="shared" si="1315"/>
        <v>0</v>
      </c>
      <c r="I542">
        <f t="shared" si="1315"/>
        <v>0</v>
      </c>
      <c r="J542" s="28">
        <f t="shared" si="1315"/>
        <v>0</v>
      </c>
      <c r="K542">
        <f t="shared" si="1315"/>
        <v>0</v>
      </c>
      <c r="L542">
        <f t="shared" si="1315"/>
        <v>0</v>
      </c>
      <c r="M542">
        <f t="shared" si="1315"/>
        <v>0</v>
      </c>
      <c r="N542" s="285"/>
      <c r="O542" s="28"/>
      <c r="P542">
        <f t="shared" si="1315"/>
        <v>0</v>
      </c>
      <c r="Q542" s="18">
        <f t="shared" si="1315"/>
        <v>0</v>
      </c>
      <c r="R542" s="12" t="str">
        <f t="shared" si="1315"/>
        <v>Hospitalized</v>
      </c>
      <c r="S542" s="30">
        <f t="shared" si="1315"/>
        <v>935.5475508361825</v>
      </c>
      <c r="T542" s="453">
        <f t="shared" si="1315"/>
        <v>1041.8597725221125</v>
      </c>
      <c r="U542" s="453">
        <f t="shared" si="1315"/>
        <v>829.23532915025282</v>
      </c>
      <c r="V542">
        <f t="shared" si="1315"/>
        <v>0</v>
      </c>
      <c r="W542">
        <f t="shared" si="1315"/>
        <v>0</v>
      </c>
      <c r="X542">
        <f t="shared" si="1315"/>
        <v>0</v>
      </c>
      <c r="Y542">
        <f t="shared" si="1315"/>
        <v>0</v>
      </c>
      <c r="Z542">
        <f t="shared" si="1315"/>
        <v>0</v>
      </c>
      <c r="AA542">
        <f t="shared" si="1315"/>
        <v>0</v>
      </c>
      <c r="AD542">
        <f t="shared" ref="AD542:AP542" si="1316">AD360</f>
        <v>0</v>
      </c>
      <c r="AE542">
        <f t="shared" si="1316"/>
        <v>0</v>
      </c>
      <c r="AF542">
        <f t="shared" si="1316"/>
        <v>0</v>
      </c>
      <c r="AG542">
        <f t="shared" si="1316"/>
        <v>0</v>
      </c>
      <c r="AH542">
        <f t="shared" si="1316"/>
        <v>0</v>
      </c>
      <c r="AI542">
        <f t="shared" si="1316"/>
        <v>0</v>
      </c>
      <c r="AJ542">
        <f t="shared" si="1316"/>
        <v>0</v>
      </c>
      <c r="AK542">
        <f t="shared" si="1316"/>
        <v>0</v>
      </c>
      <c r="AL542">
        <f t="shared" si="1316"/>
        <v>0</v>
      </c>
      <c r="AM542" s="28">
        <f t="shared" si="1316"/>
        <v>0</v>
      </c>
      <c r="AN542">
        <f t="shared" si="1316"/>
        <v>0</v>
      </c>
      <c r="AO542">
        <f t="shared" si="1316"/>
        <v>0</v>
      </c>
      <c r="AP542">
        <f t="shared" si="1316"/>
        <v>0</v>
      </c>
      <c r="AQ542" s="285"/>
      <c r="AR542" s="28"/>
      <c r="AS542">
        <f t="shared" ref="AS542:BD542" si="1317">AS360</f>
        <v>0</v>
      </c>
      <c r="AT542" s="18">
        <f t="shared" si="1317"/>
        <v>0</v>
      </c>
      <c r="AU542" s="12" t="str">
        <f t="shared" si="1317"/>
        <v>Hospitalized</v>
      </c>
      <c r="AV542" s="30">
        <f t="shared" si="1317"/>
        <v>225.67409342551264</v>
      </c>
      <c r="AW542" s="453">
        <f t="shared" si="1317"/>
        <v>251.31887676932095</v>
      </c>
      <c r="AX542" s="453">
        <f t="shared" si="1317"/>
        <v>200.02931008170441</v>
      </c>
      <c r="AY542">
        <f t="shared" si="1317"/>
        <v>0</v>
      </c>
      <c r="AZ542">
        <f t="shared" si="1317"/>
        <v>0</v>
      </c>
      <c r="BA542">
        <f t="shared" si="1317"/>
        <v>0</v>
      </c>
      <c r="BB542">
        <f t="shared" si="1317"/>
        <v>0</v>
      </c>
      <c r="BC542">
        <f t="shared" si="1317"/>
        <v>0</v>
      </c>
      <c r="BD542">
        <f t="shared" si="1317"/>
        <v>0</v>
      </c>
    </row>
    <row r="543" spans="1:56" x14ac:dyDescent="0.3">
      <c r="A543">
        <f t="shared" ref="A543:AA543" si="1318">A361</f>
        <v>0</v>
      </c>
      <c r="B543">
        <f t="shared" si="1318"/>
        <v>0</v>
      </c>
      <c r="C543">
        <f t="shared" si="1318"/>
        <v>0</v>
      </c>
      <c r="D543">
        <f t="shared" si="1318"/>
        <v>0</v>
      </c>
      <c r="E543">
        <f t="shared" si="1318"/>
        <v>0</v>
      </c>
      <c r="F543">
        <f t="shared" si="1318"/>
        <v>0</v>
      </c>
      <c r="G543">
        <f t="shared" si="1318"/>
        <v>0</v>
      </c>
      <c r="H543">
        <f t="shared" si="1318"/>
        <v>0</v>
      </c>
      <c r="I543">
        <f t="shared" si="1318"/>
        <v>0</v>
      </c>
      <c r="J543">
        <f t="shared" si="1318"/>
        <v>0</v>
      </c>
      <c r="K543">
        <f t="shared" si="1318"/>
        <v>0</v>
      </c>
      <c r="L543" s="22">
        <f t="shared" si="1318"/>
        <v>0</v>
      </c>
      <c r="M543">
        <f t="shared" si="1318"/>
        <v>0</v>
      </c>
      <c r="N543">
        <f t="shared" si="1318"/>
        <v>0</v>
      </c>
      <c r="O543">
        <f t="shared" si="1318"/>
        <v>0</v>
      </c>
      <c r="P543">
        <f t="shared" si="1318"/>
        <v>0</v>
      </c>
      <c r="Q543">
        <f t="shared" si="1318"/>
        <v>0</v>
      </c>
      <c r="R543" s="2" t="str">
        <f t="shared" si="1318"/>
        <v>p4c</v>
      </c>
      <c r="S543" s="61">
        <f t="shared" si="1318"/>
        <v>0.17737078858496569</v>
      </c>
      <c r="T543" s="451">
        <f t="shared" si="1318"/>
        <v>0.17737078858496569</v>
      </c>
      <c r="U543" s="451">
        <f t="shared" si="1318"/>
        <v>0.17737078858496569</v>
      </c>
      <c r="V543">
        <f t="shared" si="1318"/>
        <v>0</v>
      </c>
      <c r="W543">
        <f t="shared" si="1318"/>
        <v>0</v>
      </c>
      <c r="X543">
        <f t="shared" si="1318"/>
        <v>0</v>
      </c>
      <c r="Y543">
        <f t="shared" si="1318"/>
        <v>0</v>
      </c>
      <c r="Z543">
        <f t="shared" si="1318"/>
        <v>0</v>
      </c>
      <c r="AA543">
        <f t="shared" si="1318"/>
        <v>0</v>
      </c>
      <c r="AD543">
        <f t="shared" ref="AD543:BD543" si="1319">AD361</f>
        <v>0</v>
      </c>
      <c r="AE543">
        <f t="shared" si="1319"/>
        <v>0</v>
      </c>
      <c r="AF543">
        <f t="shared" si="1319"/>
        <v>0</v>
      </c>
      <c r="AG543">
        <f t="shared" si="1319"/>
        <v>0</v>
      </c>
      <c r="AH543">
        <f t="shared" si="1319"/>
        <v>0</v>
      </c>
      <c r="AI543">
        <f t="shared" si="1319"/>
        <v>0</v>
      </c>
      <c r="AJ543">
        <f t="shared" si="1319"/>
        <v>0</v>
      </c>
      <c r="AK543">
        <f t="shared" si="1319"/>
        <v>0</v>
      </c>
      <c r="AL543">
        <f t="shared" si="1319"/>
        <v>0</v>
      </c>
      <c r="AM543">
        <f t="shared" si="1319"/>
        <v>0</v>
      </c>
      <c r="AN543">
        <f t="shared" si="1319"/>
        <v>0</v>
      </c>
      <c r="AO543" s="22">
        <f t="shared" si="1319"/>
        <v>0</v>
      </c>
      <c r="AP543">
        <f t="shared" si="1319"/>
        <v>0</v>
      </c>
      <c r="AQ543">
        <f t="shared" si="1319"/>
        <v>0</v>
      </c>
      <c r="AR543">
        <f t="shared" si="1319"/>
        <v>0</v>
      </c>
      <c r="AS543">
        <f t="shared" si="1319"/>
        <v>0</v>
      </c>
      <c r="AT543">
        <f t="shared" si="1319"/>
        <v>0</v>
      </c>
      <c r="AU543" s="2" t="str">
        <f t="shared" si="1319"/>
        <v>p4c</v>
      </c>
      <c r="AV543" s="61">
        <f t="shared" si="1319"/>
        <v>4.2785630594942822E-2</v>
      </c>
      <c r="AW543" s="451">
        <f t="shared" si="1319"/>
        <v>4.2785630594942822E-2</v>
      </c>
      <c r="AX543" s="451">
        <f t="shared" si="1319"/>
        <v>4.2785630594942822E-2</v>
      </c>
      <c r="AY543">
        <f t="shared" si="1319"/>
        <v>0</v>
      </c>
      <c r="AZ543">
        <f t="shared" si="1319"/>
        <v>0</v>
      </c>
      <c r="BA543">
        <f t="shared" si="1319"/>
        <v>0</v>
      </c>
      <c r="BB543">
        <f t="shared" si="1319"/>
        <v>0</v>
      </c>
      <c r="BC543">
        <f t="shared" si="1319"/>
        <v>0</v>
      </c>
      <c r="BD543">
        <f t="shared" si="1319"/>
        <v>0</v>
      </c>
    </row>
    <row r="544" spans="1:56" x14ac:dyDescent="0.3">
      <c r="A544">
        <f t="shared" ref="A544:AA544" si="1320">A362</f>
        <v>0</v>
      </c>
      <c r="B544">
        <f t="shared" si="1320"/>
        <v>0</v>
      </c>
      <c r="C544">
        <f t="shared" si="1320"/>
        <v>0</v>
      </c>
      <c r="D544">
        <f t="shared" si="1320"/>
        <v>0</v>
      </c>
      <c r="E544">
        <f t="shared" si="1320"/>
        <v>0</v>
      </c>
      <c r="F544">
        <f t="shared" si="1320"/>
        <v>0</v>
      </c>
      <c r="G544">
        <f t="shared" si="1320"/>
        <v>0</v>
      </c>
      <c r="H544">
        <f t="shared" si="1320"/>
        <v>0</v>
      </c>
      <c r="I544">
        <f t="shared" si="1320"/>
        <v>0</v>
      </c>
      <c r="J544">
        <f t="shared" si="1320"/>
        <v>0</v>
      </c>
      <c r="K544">
        <f t="shared" si="1320"/>
        <v>0</v>
      </c>
      <c r="L544">
        <f t="shared" si="1320"/>
        <v>0</v>
      </c>
      <c r="M544">
        <f t="shared" si="1320"/>
        <v>0</v>
      </c>
      <c r="N544">
        <f t="shared" si="1320"/>
        <v>0</v>
      </c>
      <c r="O544">
        <f t="shared" si="1320"/>
        <v>0</v>
      </c>
      <c r="P544">
        <f t="shared" si="1320"/>
        <v>0</v>
      </c>
      <c r="Q544">
        <f t="shared" si="1320"/>
        <v>0</v>
      </c>
      <c r="R544">
        <f t="shared" si="1320"/>
        <v>0</v>
      </c>
      <c r="S544">
        <f t="shared" si="1320"/>
        <v>0</v>
      </c>
      <c r="T544">
        <f t="shared" si="1320"/>
        <v>0</v>
      </c>
      <c r="U544">
        <f t="shared" si="1320"/>
        <v>0</v>
      </c>
      <c r="V544">
        <f t="shared" si="1320"/>
        <v>0</v>
      </c>
      <c r="W544">
        <f t="shared" si="1320"/>
        <v>0</v>
      </c>
      <c r="X544">
        <f t="shared" si="1320"/>
        <v>0</v>
      </c>
      <c r="Y544">
        <f t="shared" si="1320"/>
        <v>0</v>
      </c>
      <c r="Z544">
        <f t="shared" si="1320"/>
        <v>0</v>
      </c>
      <c r="AA544">
        <f t="shared" si="1320"/>
        <v>0</v>
      </c>
      <c r="AD544">
        <f t="shared" ref="AD544:BD544" si="1321">AD362</f>
        <v>0</v>
      </c>
      <c r="AE544">
        <f t="shared" si="1321"/>
        <v>0</v>
      </c>
      <c r="AF544">
        <f t="shared" si="1321"/>
        <v>0</v>
      </c>
      <c r="AG544">
        <f t="shared" si="1321"/>
        <v>0</v>
      </c>
      <c r="AH544">
        <f t="shared" si="1321"/>
        <v>0</v>
      </c>
      <c r="AI544">
        <f t="shared" si="1321"/>
        <v>0</v>
      </c>
      <c r="AJ544">
        <f t="shared" si="1321"/>
        <v>0</v>
      </c>
      <c r="AK544">
        <f t="shared" si="1321"/>
        <v>0</v>
      </c>
      <c r="AL544">
        <f t="shared" si="1321"/>
        <v>0</v>
      </c>
      <c r="AM544">
        <f t="shared" si="1321"/>
        <v>0</v>
      </c>
      <c r="AN544">
        <f t="shared" si="1321"/>
        <v>0</v>
      </c>
      <c r="AO544">
        <f t="shared" si="1321"/>
        <v>0</v>
      </c>
      <c r="AP544">
        <f t="shared" si="1321"/>
        <v>0</v>
      </c>
      <c r="AQ544">
        <f t="shared" si="1321"/>
        <v>0</v>
      </c>
      <c r="AR544">
        <f t="shared" si="1321"/>
        <v>0</v>
      </c>
      <c r="AS544">
        <f t="shared" si="1321"/>
        <v>0</v>
      </c>
      <c r="AT544">
        <f t="shared" si="1321"/>
        <v>0</v>
      </c>
      <c r="AU544">
        <f t="shared" si="1321"/>
        <v>0</v>
      </c>
      <c r="AV544">
        <f t="shared" si="1321"/>
        <v>0</v>
      </c>
      <c r="AW544">
        <f t="shared" si="1321"/>
        <v>0</v>
      </c>
      <c r="AX544">
        <f t="shared" si="1321"/>
        <v>0</v>
      </c>
      <c r="AY544">
        <f t="shared" si="1321"/>
        <v>0</v>
      </c>
      <c r="AZ544">
        <f t="shared" si="1321"/>
        <v>0</v>
      </c>
      <c r="BA544">
        <f t="shared" si="1321"/>
        <v>0</v>
      </c>
      <c r="BB544">
        <f t="shared" si="1321"/>
        <v>0</v>
      </c>
      <c r="BC544">
        <f t="shared" si="1321"/>
        <v>0</v>
      </c>
      <c r="BD544">
        <f t="shared" si="1321"/>
        <v>0</v>
      </c>
    </row>
    <row r="545" spans="1:57" x14ac:dyDescent="0.3">
      <c r="A545">
        <f t="shared" ref="A545:AA545" si="1322">A363</f>
        <v>0</v>
      </c>
      <c r="B545">
        <f t="shared" si="1322"/>
        <v>0</v>
      </c>
      <c r="C545">
        <f t="shared" si="1322"/>
        <v>0</v>
      </c>
      <c r="D545">
        <f t="shared" si="1322"/>
        <v>0</v>
      </c>
      <c r="E545">
        <f t="shared" si="1322"/>
        <v>0</v>
      </c>
      <c r="F545">
        <f t="shared" si="1322"/>
        <v>0</v>
      </c>
      <c r="G545">
        <f t="shared" si="1322"/>
        <v>0</v>
      </c>
      <c r="H545">
        <f t="shared" si="1322"/>
        <v>0</v>
      </c>
      <c r="I545">
        <f t="shared" si="1322"/>
        <v>0</v>
      </c>
      <c r="J545">
        <f t="shared" si="1322"/>
        <v>0</v>
      </c>
      <c r="K545">
        <f t="shared" si="1322"/>
        <v>0</v>
      </c>
      <c r="L545">
        <f t="shared" si="1322"/>
        <v>0</v>
      </c>
      <c r="M545">
        <f t="shared" si="1322"/>
        <v>0</v>
      </c>
      <c r="N545">
        <f t="shared" si="1322"/>
        <v>0</v>
      </c>
      <c r="O545">
        <f t="shared" si="1322"/>
        <v>0</v>
      </c>
      <c r="P545">
        <f t="shared" si="1322"/>
        <v>0</v>
      </c>
      <c r="Q545">
        <f t="shared" si="1322"/>
        <v>0</v>
      </c>
      <c r="R545">
        <f t="shared" si="1322"/>
        <v>0</v>
      </c>
      <c r="S545">
        <f t="shared" si="1322"/>
        <v>0</v>
      </c>
      <c r="T545">
        <f t="shared" si="1322"/>
        <v>0</v>
      </c>
      <c r="U545">
        <f t="shared" si="1322"/>
        <v>0</v>
      </c>
      <c r="V545">
        <f t="shared" si="1322"/>
        <v>0</v>
      </c>
      <c r="W545">
        <f t="shared" si="1322"/>
        <v>0</v>
      </c>
      <c r="X545">
        <f t="shared" si="1322"/>
        <v>0</v>
      </c>
      <c r="Y545">
        <f t="shared" si="1322"/>
        <v>0</v>
      </c>
      <c r="Z545">
        <f t="shared" si="1322"/>
        <v>0</v>
      </c>
      <c r="AA545">
        <f t="shared" si="1322"/>
        <v>0</v>
      </c>
      <c r="AD545">
        <f t="shared" ref="AD545:BD545" si="1323">AD363</f>
        <v>0</v>
      </c>
      <c r="AE545">
        <f t="shared" si="1323"/>
        <v>0</v>
      </c>
      <c r="AF545">
        <f t="shared" si="1323"/>
        <v>0</v>
      </c>
      <c r="AG545">
        <f t="shared" si="1323"/>
        <v>0</v>
      </c>
      <c r="AH545">
        <f t="shared" si="1323"/>
        <v>0</v>
      </c>
      <c r="AI545">
        <f t="shared" si="1323"/>
        <v>0</v>
      </c>
      <c r="AJ545">
        <f t="shared" si="1323"/>
        <v>0</v>
      </c>
      <c r="AK545">
        <f t="shared" si="1323"/>
        <v>0</v>
      </c>
      <c r="AL545">
        <f t="shared" si="1323"/>
        <v>0</v>
      </c>
      <c r="AM545">
        <f t="shared" si="1323"/>
        <v>0</v>
      </c>
      <c r="AN545">
        <f t="shared" si="1323"/>
        <v>0</v>
      </c>
      <c r="AO545">
        <f t="shared" si="1323"/>
        <v>0</v>
      </c>
      <c r="AP545">
        <f t="shared" si="1323"/>
        <v>0</v>
      </c>
      <c r="AQ545">
        <f t="shared" si="1323"/>
        <v>0</v>
      </c>
      <c r="AR545">
        <f t="shared" si="1323"/>
        <v>0</v>
      </c>
      <c r="AS545">
        <f t="shared" si="1323"/>
        <v>0</v>
      </c>
      <c r="AT545">
        <f t="shared" si="1323"/>
        <v>0</v>
      </c>
      <c r="AU545">
        <f t="shared" si="1323"/>
        <v>0</v>
      </c>
      <c r="AV545">
        <f t="shared" si="1323"/>
        <v>0</v>
      </c>
      <c r="AW545">
        <f t="shared" si="1323"/>
        <v>0</v>
      </c>
      <c r="AX545">
        <f t="shared" si="1323"/>
        <v>0</v>
      </c>
      <c r="AY545">
        <f t="shared" si="1323"/>
        <v>0</v>
      </c>
      <c r="AZ545">
        <f t="shared" si="1323"/>
        <v>0</v>
      </c>
      <c r="BA545">
        <f t="shared" si="1323"/>
        <v>0</v>
      </c>
      <c r="BB545">
        <f t="shared" si="1323"/>
        <v>0</v>
      </c>
      <c r="BC545">
        <f t="shared" si="1323"/>
        <v>0</v>
      </c>
      <c r="BD545">
        <f t="shared" si="1323"/>
        <v>0</v>
      </c>
    </row>
    <row r="546" spans="1:57" x14ac:dyDescent="0.3">
      <c r="A546" t="str">
        <f t="shared" ref="A546:AA546" si="1324">A364</f>
        <v>sum check row</v>
      </c>
      <c r="B546">
        <f t="shared" si="1324"/>
        <v>0</v>
      </c>
      <c r="C546">
        <f t="shared" si="1324"/>
        <v>0</v>
      </c>
      <c r="D546">
        <f t="shared" si="1324"/>
        <v>0</v>
      </c>
      <c r="E546">
        <f t="shared" si="1324"/>
        <v>0</v>
      </c>
      <c r="F546">
        <f t="shared" si="1324"/>
        <v>0</v>
      </c>
      <c r="G546" s="2" t="str">
        <f t="shared" si="1324"/>
        <v>Bottom Branch:</v>
      </c>
      <c r="H546" s="2" t="str">
        <f t="shared" si="1324"/>
        <v>sum check</v>
      </c>
      <c r="I546" s="21">
        <f t="shared" si="1324"/>
        <v>8507.3064999999988</v>
      </c>
      <c r="J546">
        <f t="shared" si="1324"/>
        <v>0</v>
      </c>
      <c r="K546" s="55" t="str">
        <f t="shared" si="1324"/>
        <v>sum check</v>
      </c>
      <c r="L546" s="56">
        <f t="shared" si="1324"/>
        <v>8507.3064999999988</v>
      </c>
      <c r="M546">
        <f t="shared" si="1324"/>
        <v>0</v>
      </c>
      <c r="N546">
        <f t="shared" si="1324"/>
        <v>0</v>
      </c>
      <c r="O546">
        <f t="shared" si="1324"/>
        <v>0</v>
      </c>
      <c r="P546">
        <f t="shared" si="1324"/>
        <v>0</v>
      </c>
      <c r="Q546">
        <f t="shared" si="1324"/>
        <v>0</v>
      </c>
      <c r="R546" s="55" t="str">
        <f t="shared" si="1324"/>
        <v>sum check</v>
      </c>
      <c r="S546" s="56">
        <f t="shared" si="1324"/>
        <v>14575.276978612816</v>
      </c>
      <c r="T546">
        <f t="shared" si="1324"/>
        <v>0</v>
      </c>
      <c r="U546">
        <f t="shared" si="1324"/>
        <v>0</v>
      </c>
      <c r="V546" s="2" t="str">
        <f t="shared" si="1324"/>
        <v>sum check</v>
      </c>
      <c r="W546" s="21">
        <f t="shared" si="1324"/>
        <v>5277.2628381100858</v>
      </c>
      <c r="X546">
        <f t="shared" si="1324"/>
        <v>0</v>
      </c>
      <c r="Y546">
        <f t="shared" si="1324"/>
        <v>0</v>
      </c>
      <c r="Z546">
        <f t="shared" si="1324"/>
        <v>0</v>
      </c>
      <c r="AA546">
        <f t="shared" si="1324"/>
        <v>0</v>
      </c>
      <c r="AD546" t="str">
        <f t="shared" ref="AD546:BD546" si="1325">AD364</f>
        <v>sum check row</v>
      </c>
      <c r="AE546">
        <f t="shared" si="1325"/>
        <v>0</v>
      </c>
      <c r="AF546">
        <f t="shared" si="1325"/>
        <v>0</v>
      </c>
      <c r="AG546">
        <f t="shared" si="1325"/>
        <v>0</v>
      </c>
      <c r="AH546">
        <f t="shared" si="1325"/>
        <v>0</v>
      </c>
      <c r="AI546">
        <f t="shared" si="1325"/>
        <v>0</v>
      </c>
      <c r="AJ546" s="2" t="str">
        <f t="shared" si="1325"/>
        <v>Bottom Branch:</v>
      </c>
      <c r="AK546" s="2" t="str">
        <f t="shared" si="1325"/>
        <v>sum check</v>
      </c>
      <c r="AL546" s="21">
        <f t="shared" si="1325"/>
        <v>8507.3064999999988</v>
      </c>
      <c r="AM546">
        <f t="shared" si="1325"/>
        <v>0</v>
      </c>
      <c r="AN546" s="55" t="str">
        <f t="shared" si="1325"/>
        <v>sum check</v>
      </c>
      <c r="AO546" s="56">
        <f t="shared" si="1325"/>
        <v>8507.3064999999988</v>
      </c>
      <c r="AP546">
        <f t="shared" si="1325"/>
        <v>0</v>
      </c>
      <c r="AQ546">
        <f t="shared" si="1325"/>
        <v>0</v>
      </c>
      <c r="AR546">
        <f t="shared" si="1325"/>
        <v>0</v>
      </c>
      <c r="AS546">
        <f t="shared" si="1325"/>
        <v>0</v>
      </c>
      <c r="AT546">
        <f t="shared" si="1325"/>
        <v>0</v>
      </c>
      <c r="AU546" s="55" t="str">
        <f t="shared" si="1325"/>
        <v>sum check</v>
      </c>
      <c r="AV546" s="56">
        <f t="shared" si="1325"/>
        <v>5982.3223234474681</v>
      </c>
      <c r="AW546">
        <f t="shared" si="1325"/>
        <v>0</v>
      </c>
      <c r="AX546">
        <f t="shared" si="1325"/>
        <v>0</v>
      </c>
      <c r="AY546" s="2" t="str">
        <f t="shared" si="1325"/>
        <v>sum check</v>
      </c>
      <c r="AZ546" s="21">
        <f t="shared" si="1325"/>
        <v>1832.8542885371098</v>
      </c>
      <c r="BA546">
        <f t="shared" si="1325"/>
        <v>0</v>
      </c>
      <c r="BB546">
        <f t="shared" si="1325"/>
        <v>0</v>
      </c>
      <c r="BC546">
        <f t="shared" si="1325"/>
        <v>0</v>
      </c>
      <c r="BD546">
        <f t="shared" si="1325"/>
        <v>0</v>
      </c>
    </row>
    <row r="547" spans="1:57" x14ac:dyDescent="0.3">
      <c r="A547">
        <f t="shared" ref="A547:AA547" si="1326">A365</f>
        <v>0</v>
      </c>
      <c r="B547">
        <f t="shared" si="1326"/>
        <v>0</v>
      </c>
      <c r="C547">
        <f t="shared" si="1326"/>
        <v>0</v>
      </c>
      <c r="D547">
        <f t="shared" si="1326"/>
        <v>0</v>
      </c>
      <c r="E547">
        <f t="shared" si="1326"/>
        <v>0</v>
      </c>
      <c r="F547">
        <f t="shared" si="1326"/>
        <v>0</v>
      </c>
      <c r="G547">
        <f t="shared" si="1326"/>
        <v>0</v>
      </c>
      <c r="H547">
        <f t="shared" si="1326"/>
        <v>0</v>
      </c>
      <c r="I547">
        <f t="shared" si="1326"/>
        <v>0</v>
      </c>
      <c r="J547">
        <f t="shared" si="1326"/>
        <v>0</v>
      </c>
      <c r="K547" s="28">
        <f t="shared" si="1326"/>
        <v>0</v>
      </c>
      <c r="L547">
        <f t="shared" si="1326"/>
        <v>0</v>
      </c>
      <c r="M547">
        <f t="shared" si="1326"/>
        <v>0</v>
      </c>
      <c r="N547">
        <f t="shared" si="1326"/>
        <v>0</v>
      </c>
      <c r="O547">
        <f t="shared" si="1326"/>
        <v>0</v>
      </c>
      <c r="P547">
        <f t="shared" si="1326"/>
        <v>0</v>
      </c>
      <c r="Q547">
        <f t="shared" si="1326"/>
        <v>0</v>
      </c>
      <c r="R547">
        <f t="shared" si="1326"/>
        <v>0</v>
      </c>
      <c r="S547">
        <f t="shared" si="1326"/>
        <v>0</v>
      </c>
      <c r="T547">
        <f t="shared" si="1326"/>
        <v>0</v>
      </c>
      <c r="U547">
        <f t="shared" si="1326"/>
        <v>0</v>
      </c>
      <c r="V547">
        <f t="shared" si="1326"/>
        <v>0</v>
      </c>
      <c r="W547">
        <f t="shared" si="1326"/>
        <v>0</v>
      </c>
      <c r="X547">
        <f t="shared" si="1326"/>
        <v>0</v>
      </c>
      <c r="Y547">
        <f t="shared" si="1326"/>
        <v>0</v>
      </c>
      <c r="Z547">
        <f t="shared" si="1326"/>
        <v>0</v>
      </c>
      <c r="AA547">
        <f t="shared" si="1326"/>
        <v>0</v>
      </c>
      <c r="AD547">
        <f t="shared" ref="AD547:BD547" si="1327">AD365</f>
        <v>0</v>
      </c>
      <c r="AE547">
        <f t="shared" si="1327"/>
        <v>0</v>
      </c>
      <c r="AF547">
        <f t="shared" si="1327"/>
        <v>0</v>
      </c>
      <c r="AG547">
        <f t="shared" si="1327"/>
        <v>0</v>
      </c>
      <c r="AH547">
        <f t="shared" si="1327"/>
        <v>0</v>
      </c>
      <c r="AI547">
        <f t="shared" si="1327"/>
        <v>0</v>
      </c>
      <c r="AJ547">
        <f t="shared" si="1327"/>
        <v>0</v>
      </c>
      <c r="AK547">
        <f t="shared" si="1327"/>
        <v>0</v>
      </c>
      <c r="AL547">
        <f t="shared" si="1327"/>
        <v>0</v>
      </c>
      <c r="AM547">
        <f t="shared" si="1327"/>
        <v>0</v>
      </c>
      <c r="AN547" s="28">
        <f t="shared" si="1327"/>
        <v>0</v>
      </c>
      <c r="AO547">
        <f t="shared" si="1327"/>
        <v>0</v>
      </c>
      <c r="AP547">
        <f t="shared" si="1327"/>
        <v>0</v>
      </c>
      <c r="AQ547">
        <f t="shared" si="1327"/>
        <v>0</v>
      </c>
      <c r="AR547">
        <f t="shared" si="1327"/>
        <v>0</v>
      </c>
      <c r="AS547">
        <f t="shared" si="1327"/>
        <v>0</v>
      </c>
      <c r="AT547">
        <f t="shared" si="1327"/>
        <v>0</v>
      </c>
      <c r="AU547">
        <f t="shared" si="1327"/>
        <v>0</v>
      </c>
      <c r="AV547">
        <f t="shared" si="1327"/>
        <v>0</v>
      </c>
      <c r="AW547">
        <f t="shared" si="1327"/>
        <v>0</v>
      </c>
      <c r="AX547">
        <f t="shared" si="1327"/>
        <v>0</v>
      </c>
      <c r="AY547">
        <f t="shared" si="1327"/>
        <v>0</v>
      </c>
      <c r="AZ547">
        <f t="shared" si="1327"/>
        <v>0</v>
      </c>
      <c r="BA547">
        <f t="shared" si="1327"/>
        <v>0</v>
      </c>
      <c r="BB547">
        <f t="shared" si="1327"/>
        <v>0</v>
      </c>
      <c r="BC547">
        <f t="shared" si="1327"/>
        <v>0</v>
      </c>
      <c r="BD547">
        <f t="shared" si="1327"/>
        <v>0</v>
      </c>
    </row>
    <row r="548" spans="1:57" x14ac:dyDescent="0.3">
      <c r="A548" s="438">
        <f t="shared" ref="A548:AA548" si="1328">A366</f>
        <v>0</v>
      </c>
      <c r="B548" s="438">
        <f t="shared" si="1328"/>
        <v>0</v>
      </c>
      <c r="C548" s="438">
        <f t="shared" si="1328"/>
        <v>0</v>
      </c>
      <c r="D548" s="438">
        <f t="shared" si="1328"/>
        <v>0</v>
      </c>
      <c r="E548" s="438">
        <f t="shared" si="1328"/>
        <v>0</v>
      </c>
      <c r="F548" s="438">
        <f t="shared" si="1328"/>
        <v>0</v>
      </c>
      <c r="G548" s="438">
        <f t="shared" si="1328"/>
        <v>0</v>
      </c>
      <c r="H548" s="438">
        <f t="shared" si="1328"/>
        <v>0</v>
      </c>
      <c r="I548" s="438">
        <f t="shared" si="1328"/>
        <v>0</v>
      </c>
      <c r="J548" s="438">
        <f t="shared" si="1328"/>
        <v>0</v>
      </c>
      <c r="K548" s="438">
        <f t="shared" si="1328"/>
        <v>0</v>
      </c>
      <c r="L548" s="438">
        <f t="shared" si="1328"/>
        <v>0</v>
      </c>
      <c r="M548" s="438">
        <f t="shared" si="1328"/>
        <v>0</v>
      </c>
      <c r="N548" s="438">
        <f t="shared" si="1328"/>
        <v>0</v>
      </c>
      <c r="O548" s="438">
        <f t="shared" si="1328"/>
        <v>0</v>
      </c>
      <c r="P548" s="438">
        <f t="shared" si="1328"/>
        <v>0</v>
      </c>
      <c r="Q548" s="438">
        <f t="shared" si="1328"/>
        <v>0</v>
      </c>
      <c r="R548" s="438">
        <f t="shared" si="1328"/>
        <v>0</v>
      </c>
      <c r="S548" s="438">
        <f t="shared" si="1328"/>
        <v>0</v>
      </c>
      <c r="T548" s="438">
        <f t="shared" si="1328"/>
        <v>0</v>
      </c>
      <c r="U548" s="438">
        <f t="shared" si="1328"/>
        <v>0</v>
      </c>
      <c r="V548" s="438">
        <f t="shared" si="1328"/>
        <v>0</v>
      </c>
      <c r="W548" s="438">
        <f t="shared" si="1328"/>
        <v>0</v>
      </c>
      <c r="X548" s="438">
        <f t="shared" si="1328"/>
        <v>0</v>
      </c>
      <c r="Y548" s="438">
        <f t="shared" si="1328"/>
        <v>0</v>
      </c>
      <c r="Z548" s="438">
        <f t="shared" si="1328"/>
        <v>0</v>
      </c>
      <c r="AA548" s="438">
        <f t="shared" si="1328"/>
        <v>0</v>
      </c>
      <c r="AD548" s="500">
        <f t="shared" ref="AD548:BD548" si="1329">AD366</f>
        <v>0</v>
      </c>
      <c r="AE548" s="500">
        <f t="shared" si="1329"/>
        <v>0</v>
      </c>
      <c r="AF548" s="500">
        <f t="shared" si="1329"/>
        <v>0</v>
      </c>
      <c r="AG548" s="500">
        <f t="shared" si="1329"/>
        <v>0</v>
      </c>
      <c r="AH548" s="500">
        <f t="shared" si="1329"/>
        <v>0</v>
      </c>
      <c r="AI548" s="500">
        <f t="shared" si="1329"/>
        <v>0</v>
      </c>
      <c r="AJ548" s="500">
        <f t="shared" si="1329"/>
        <v>0</v>
      </c>
      <c r="AK548" s="500">
        <f t="shared" si="1329"/>
        <v>0</v>
      </c>
      <c r="AL548" s="500">
        <f t="shared" si="1329"/>
        <v>0</v>
      </c>
      <c r="AM548" s="500">
        <f t="shared" si="1329"/>
        <v>0</v>
      </c>
      <c r="AN548" s="500">
        <f t="shared" si="1329"/>
        <v>0</v>
      </c>
      <c r="AO548" s="500">
        <f t="shared" si="1329"/>
        <v>0</v>
      </c>
      <c r="AP548" s="500">
        <f t="shared" si="1329"/>
        <v>0</v>
      </c>
      <c r="AQ548" s="500">
        <f t="shared" si="1329"/>
        <v>0</v>
      </c>
      <c r="AR548" s="500">
        <f t="shared" si="1329"/>
        <v>0</v>
      </c>
      <c r="AS548" s="500">
        <f t="shared" si="1329"/>
        <v>0</v>
      </c>
      <c r="AT548" s="500">
        <f t="shared" si="1329"/>
        <v>0</v>
      </c>
      <c r="AU548" s="500">
        <f t="shared" si="1329"/>
        <v>0</v>
      </c>
      <c r="AV548" s="500">
        <f t="shared" si="1329"/>
        <v>0</v>
      </c>
      <c r="AW548" s="500">
        <f t="shared" si="1329"/>
        <v>0</v>
      </c>
      <c r="AX548" s="500">
        <f t="shared" si="1329"/>
        <v>0</v>
      </c>
      <c r="AY548" s="500">
        <f t="shared" si="1329"/>
        <v>0</v>
      </c>
      <c r="AZ548" s="500">
        <f t="shared" si="1329"/>
        <v>0</v>
      </c>
      <c r="BA548" s="500">
        <f t="shared" si="1329"/>
        <v>0</v>
      </c>
      <c r="BB548" s="500">
        <f t="shared" si="1329"/>
        <v>0</v>
      </c>
      <c r="BC548" s="500">
        <f t="shared" si="1329"/>
        <v>0</v>
      </c>
      <c r="BD548" s="500">
        <f t="shared" si="1329"/>
        <v>0</v>
      </c>
    </row>
    <row r="550" spans="1:57" ht="15" thickBot="1" x14ac:dyDescent="0.35"/>
    <row r="551" spans="1:57" ht="18.600000000000001" thickBot="1" x14ac:dyDescent="0.4">
      <c r="A551" s="485"/>
      <c r="B551" s="488" t="s">
        <v>188</v>
      </c>
      <c r="C551" s="485"/>
      <c r="D551" s="350"/>
      <c r="E551" s="350"/>
      <c r="F551" s="350"/>
      <c r="G551" s="350"/>
      <c r="H551" s="350"/>
      <c r="I551" s="350"/>
      <c r="J551" s="1106"/>
      <c r="K551" s="1106"/>
      <c r="L551" s="1106"/>
      <c r="M551" s="1106"/>
      <c r="N551" s="1106"/>
      <c r="O551" s="1106"/>
      <c r="P551" s="1106"/>
      <c r="Q551" s="1106"/>
      <c r="R551" s="1106"/>
      <c r="S551" s="1106"/>
      <c r="T551" s="1106"/>
      <c r="U551" s="1106"/>
      <c r="V551" s="1106"/>
      <c r="W551" s="1106"/>
      <c r="AD551" s="682"/>
      <c r="AE551" s="685" t="s">
        <v>188</v>
      </c>
      <c r="AF551" s="682"/>
      <c r="AG551" s="350"/>
      <c r="AH551" s="350"/>
      <c r="AI551" s="350"/>
      <c r="AJ551" s="350"/>
      <c r="AK551" s="350"/>
      <c r="AL551" s="350"/>
      <c r="AM551" s="1106"/>
      <c r="AN551" s="1106"/>
      <c r="AO551" s="1106"/>
      <c r="AP551" s="1106"/>
      <c r="AQ551" s="1106"/>
      <c r="AR551" s="1106"/>
      <c r="AS551" s="1106"/>
      <c r="AT551" s="1106"/>
      <c r="AU551" s="1106"/>
      <c r="AV551" s="1106"/>
      <c r="AW551" s="1106"/>
      <c r="AX551" s="1106"/>
      <c r="AY551" s="1106"/>
      <c r="AZ551" s="1106"/>
    </row>
    <row r="552" spans="1:57" s="24" customFormat="1" ht="18" x14ac:dyDescent="0.35">
      <c r="A552" s="495"/>
      <c r="B552" s="351"/>
      <c r="C552" s="495"/>
      <c r="D552" s="496"/>
      <c r="E552" s="496"/>
      <c r="F552" s="496"/>
      <c r="G552" s="496"/>
      <c r="H552" s="495"/>
      <c r="I552" s="495"/>
      <c r="J552" s="495"/>
      <c r="K552" s="495"/>
      <c r="L552" s="495"/>
      <c r="M552" s="495"/>
      <c r="N552" s="495"/>
      <c r="O552" s="495"/>
      <c r="AD552" s="495"/>
      <c r="AE552" s="351"/>
      <c r="AF552" s="495"/>
      <c r="AG552" s="496"/>
      <c r="AH552" s="496"/>
      <c r="AI552" s="496"/>
      <c r="AJ552" s="496"/>
      <c r="AK552" s="495"/>
      <c r="AL552" s="495"/>
      <c r="AM552" s="495"/>
      <c r="AN552" s="495"/>
      <c r="AO552" s="495"/>
      <c r="AP552" s="495"/>
      <c r="AQ552" s="495"/>
      <c r="AR552" s="495"/>
    </row>
    <row r="553" spans="1:57" x14ac:dyDescent="0.3">
      <c r="C553" s="484" t="s">
        <v>336</v>
      </c>
      <c r="AF553" s="676" t="s">
        <v>367</v>
      </c>
    </row>
    <row r="554" spans="1:57" x14ac:dyDescent="0.3">
      <c r="C554" s="367">
        <f>C97/12*'Input 4_RSV Season'!$AG$27</f>
        <v>1972937.5</v>
      </c>
      <c r="F554" s="499"/>
      <c r="G554" s="499"/>
      <c r="H554" s="13"/>
      <c r="AF554" s="367">
        <f>C97-C554</f>
        <v>1972937.5</v>
      </c>
      <c r="AI554" s="679"/>
      <c r="AJ554" s="679"/>
      <c r="AK554" s="13"/>
    </row>
    <row r="555" spans="1:57" x14ac:dyDescent="0.3">
      <c r="F555" s="499"/>
      <c r="G555" s="499"/>
      <c r="H555" s="13"/>
      <c r="I555" s="1114" t="s">
        <v>504</v>
      </c>
      <c r="J555" s="1114"/>
      <c r="K555" s="1114"/>
      <c r="L555" s="1114"/>
      <c r="M555" s="1114"/>
      <c r="N555" s="1114"/>
      <c r="O555" s="1114"/>
      <c r="P555" s="1114"/>
      <c r="Q555" s="1114"/>
      <c r="R555" s="1114"/>
      <c r="S555" s="1114"/>
      <c r="T555" s="1114"/>
      <c r="U555" s="1114"/>
      <c r="V555" s="1114"/>
      <c r="W555" s="1114"/>
      <c r="X555" s="1114"/>
      <c r="Y555" s="1114"/>
      <c r="Z555" s="1114"/>
      <c r="AA555" s="1114"/>
      <c r="AB555" s="1114"/>
      <c r="AI555" s="679"/>
      <c r="AJ555" s="679"/>
      <c r="AK555" s="13"/>
      <c r="AL555" s="1114" t="s">
        <v>504</v>
      </c>
      <c r="AM555" s="1114"/>
      <c r="AN555" s="1114"/>
      <c r="AO555" s="1114"/>
      <c r="AP555" s="1114"/>
      <c r="AQ555" s="1114"/>
      <c r="AR555" s="1114"/>
      <c r="AS555" s="1114"/>
      <c r="AT555" s="1114"/>
      <c r="AU555" s="1114"/>
      <c r="AV555" s="1114"/>
      <c r="AW555" s="1114"/>
      <c r="AX555" s="1114"/>
      <c r="AY555" s="1114"/>
      <c r="AZ555" s="1114"/>
      <c r="BA555" s="1114"/>
      <c r="BB555" s="1114"/>
      <c r="BC555" s="1114"/>
      <c r="BD555" s="1114"/>
      <c r="BE555" s="1114"/>
    </row>
    <row r="556" spans="1:57" ht="15" customHeight="1" x14ac:dyDescent="0.3">
      <c r="C556" s="1110" t="s">
        <v>200</v>
      </c>
      <c r="D556" s="1110" t="s">
        <v>199</v>
      </c>
      <c r="F556" s="525"/>
      <c r="G556" s="525"/>
      <c r="H556" s="13"/>
      <c r="I556" s="1112" t="s">
        <v>204</v>
      </c>
      <c r="J556" s="1112"/>
      <c r="K556" s="1112"/>
      <c r="L556" s="1112"/>
      <c r="M556" s="1112"/>
      <c r="N556" s="57"/>
      <c r="O556" s="1112" t="s">
        <v>206</v>
      </c>
      <c r="P556" s="1112"/>
      <c r="Q556" s="1112"/>
      <c r="R556" s="1112"/>
      <c r="S556" s="1112"/>
      <c r="T556" s="57"/>
      <c r="U556" s="1112" t="s">
        <v>208</v>
      </c>
      <c r="V556" s="1112"/>
      <c r="W556" s="1112"/>
      <c r="X556" s="1112"/>
      <c r="Y556" s="1112"/>
      <c r="Z556" s="57"/>
      <c r="AA556" s="57"/>
      <c r="AB556" s="57"/>
      <c r="AF556" s="1110" t="s">
        <v>200</v>
      </c>
      <c r="AG556" s="1110" t="s">
        <v>199</v>
      </c>
      <c r="AI556" s="525"/>
      <c r="AJ556" s="525"/>
      <c r="AK556" s="13"/>
      <c r="AL556" s="1112" t="s">
        <v>204</v>
      </c>
      <c r="AM556" s="1112"/>
      <c r="AN556" s="1112"/>
      <c r="AO556" s="1112"/>
      <c r="AP556" s="1112"/>
      <c r="AQ556" s="57"/>
      <c r="AR556" s="1112" t="s">
        <v>206</v>
      </c>
      <c r="AS556" s="1112"/>
      <c r="AT556" s="1112"/>
      <c r="AU556" s="1112"/>
      <c r="AV556" s="1112"/>
      <c r="AW556" s="57"/>
      <c r="AX556" s="1112" t="s">
        <v>208</v>
      </c>
      <c r="AY556" s="1112"/>
      <c r="AZ556" s="1112"/>
      <c r="BA556" s="1112"/>
      <c r="BB556" s="1112"/>
      <c r="BC556" s="57"/>
      <c r="BD556" s="57"/>
      <c r="BE556" s="57"/>
    </row>
    <row r="557" spans="1:57" ht="14.4" customHeight="1" x14ac:dyDescent="0.3">
      <c r="A557" s="1097" t="s">
        <v>228</v>
      </c>
      <c r="B557" s="1097" t="s">
        <v>229</v>
      </c>
      <c r="C557" s="1110"/>
      <c r="D557" s="1110"/>
      <c r="E557" s="497"/>
      <c r="F557" s="525"/>
      <c r="G557" s="525"/>
      <c r="H557" s="13"/>
      <c r="I557" s="1098" t="s">
        <v>200</v>
      </c>
      <c r="J557" s="1098"/>
      <c r="K557" s="526"/>
      <c r="L557" s="1098" t="s">
        <v>199</v>
      </c>
      <c r="M557" s="1098"/>
      <c r="N557" s="57"/>
      <c r="O557" s="1098" t="s">
        <v>200</v>
      </c>
      <c r="P557" s="1098"/>
      <c r="Q557" s="526"/>
      <c r="R557" s="1098" t="s">
        <v>199</v>
      </c>
      <c r="S557" s="1098"/>
      <c r="T557" s="57"/>
      <c r="U557" s="1098" t="s">
        <v>200</v>
      </c>
      <c r="V557" s="1098"/>
      <c r="W557" s="526"/>
      <c r="X557" s="1098" t="s">
        <v>199</v>
      </c>
      <c r="Y557" s="1098"/>
      <c r="Z557" s="57"/>
      <c r="AA557" s="57"/>
      <c r="AB557" s="57"/>
      <c r="AD557" s="1097" t="s">
        <v>228</v>
      </c>
      <c r="AE557" s="1097" t="s">
        <v>229</v>
      </c>
      <c r="AF557" s="1110"/>
      <c r="AG557" s="1110"/>
      <c r="AH557" s="676"/>
      <c r="AI557" s="525"/>
      <c r="AJ557" s="525"/>
      <c r="AK557" s="13"/>
      <c r="AL557" s="1098" t="s">
        <v>200</v>
      </c>
      <c r="AM557" s="1098"/>
      <c r="AN557" s="680"/>
      <c r="AO557" s="1098" t="s">
        <v>199</v>
      </c>
      <c r="AP557" s="1098"/>
      <c r="AQ557" s="57"/>
      <c r="AR557" s="1098" t="s">
        <v>200</v>
      </c>
      <c r="AS557" s="1098"/>
      <c r="AT557" s="680"/>
      <c r="AU557" s="1098" t="s">
        <v>199</v>
      </c>
      <c r="AV557" s="1098"/>
      <c r="AW557" s="57"/>
      <c r="AX557" s="1098" t="s">
        <v>200</v>
      </c>
      <c r="AY557" s="1098"/>
      <c r="AZ557" s="680"/>
      <c r="BA557" s="1098" t="s">
        <v>199</v>
      </c>
      <c r="BB557" s="1098"/>
      <c r="BC557" s="57"/>
      <c r="BD557" s="57"/>
      <c r="BE557" s="57"/>
    </row>
    <row r="558" spans="1:57" x14ac:dyDescent="0.3">
      <c r="A558" s="1111"/>
      <c r="B558" s="1111"/>
      <c r="C558" s="524">
        <f>$I$33</f>
        <v>0.99019999999999997</v>
      </c>
      <c r="D558" s="524">
        <f>$I$80</f>
        <v>9.7999999999999997E-3</v>
      </c>
      <c r="E558" s="497"/>
      <c r="F558" s="498"/>
      <c r="G558" s="13"/>
      <c r="H558" s="13"/>
      <c r="I558" s="527" t="s">
        <v>202</v>
      </c>
      <c r="J558" s="57" t="s">
        <v>203</v>
      </c>
      <c r="K558" s="57"/>
      <c r="L558" s="527" t="s">
        <v>202</v>
      </c>
      <c r="M558" s="57" t="s">
        <v>203</v>
      </c>
      <c r="N558" s="57"/>
      <c r="O558" s="527" t="s">
        <v>202</v>
      </c>
      <c r="P558" s="57" t="s">
        <v>203</v>
      </c>
      <c r="Q558" s="57"/>
      <c r="R558" s="527" t="s">
        <v>202</v>
      </c>
      <c r="S558" s="57" t="s">
        <v>203</v>
      </c>
      <c r="T558" s="57"/>
      <c r="U558" s="527" t="s">
        <v>202</v>
      </c>
      <c r="V558" s="57" t="s">
        <v>203</v>
      </c>
      <c r="W558" s="57"/>
      <c r="X558" s="527" t="s">
        <v>202</v>
      </c>
      <c r="Y558" s="57" t="s">
        <v>203</v>
      </c>
      <c r="Z558" s="57"/>
      <c r="AA558" s="57"/>
      <c r="AB558" s="57"/>
      <c r="AD558" s="1111"/>
      <c r="AE558" s="1111"/>
      <c r="AF558" s="524">
        <f>$I$33</f>
        <v>0.99019999999999997</v>
      </c>
      <c r="AG558" s="524">
        <f>$I$80</f>
        <v>9.7999999999999997E-3</v>
      </c>
      <c r="AH558" s="676"/>
      <c r="AI558" s="678"/>
      <c r="AJ558" s="13"/>
      <c r="AK558" s="13"/>
      <c r="AL558" s="527" t="s">
        <v>202</v>
      </c>
      <c r="AM558" s="57" t="s">
        <v>203</v>
      </c>
      <c r="AN558" s="57"/>
      <c r="AO558" s="527" t="s">
        <v>202</v>
      </c>
      <c r="AP558" s="57" t="s">
        <v>203</v>
      </c>
      <c r="AQ558" s="57"/>
      <c r="AR558" s="527" t="s">
        <v>202</v>
      </c>
      <c r="AS558" s="57" t="s">
        <v>203</v>
      </c>
      <c r="AT558" s="57"/>
      <c r="AU558" s="527" t="s">
        <v>202</v>
      </c>
      <c r="AV558" s="57" t="s">
        <v>203</v>
      </c>
      <c r="AW558" s="57"/>
      <c r="AX558" s="527" t="s">
        <v>202</v>
      </c>
      <c r="AY558" s="57" t="s">
        <v>203</v>
      </c>
      <c r="AZ558" s="57"/>
      <c r="BA558" s="527" t="s">
        <v>202</v>
      </c>
      <c r="BB558" s="57" t="s">
        <v>203</v>
      </c>
      <c r="BC558" s="57"/>
      <c r="BD558" s="57"/>
      <c r="BE558" s="57"/>
    </row>
    <row r="559" spans="1:57" x14ac:dyDescent="0.3">
      <c r="A559" s="484">
        <v>0.2</v>
      </c>
      <c r="B559" s="310">
        <f>$L$75</f>
        <v>0.38</v>
      </c>
      <c r="C559" s="56">
        <f>A559*$C$558*$C$554</f>
        <v>390720.54249999998</v>
      </c>
      <c r="D559" s="56">
        <f>B559*$D$558*$C$554</f>
        <v>7347.2192500000001</v>
      </c>
      <c r="E559" s="497"/>
      <c r="F559" s="52"/>
      <c r="G559" s="52"/>
      <c r="H559" s="13"/>
      <c r="I559" s="243">
        <f>($C559*$N$384*$L$25*$Y$8)</f>
        <v>11062.389758611696</v>
      </c>
      <c r="J559" s="533">
        <f t="shared" ref="J559" si="1330">(C559*$L$25*$N$398*$Y$35)+(C559*$L$25*$Y$19)+(C559*$L$43*$U$44)</f>
        <v>43405.195881966007</v>
      </c>
      <c r="K559" s="57"/>
      <c r="L559" s="243">
        <f>($D559*$R$431*$X$62)</f>
        <v>4658.0909801999487</v>
      </c>
      <c r="M559" s="533">
        <f t="shared" ref="M559" si="1331">(D559*$R$75*$Y$73)+(D559*$Y$74)</f>
        <v>9936.2207278975784</v>
      </c>
      <c r="N559" s="57"/>
      <c r="O559" s="243">
        <f>($C559*$N$384*$L$25*$Y$11)</f>
        <v>3498.2060329384676</v>
      </c>
      <c r="P559" s="533">
        <f t="shared" ref="P559" si="1332">(C559*$L$25*$N$398*$Y$38)+(C559*$L$25*$Y$22)+(C559*$L$43*$U$47)</f>
        <v>15356.054524729607</v>
      </c>
      <c r="Q559" s="57"/>
      <c r="R559" s="243">
        <f>($D559*$R$431*$X$65)</f>
        <v>1796.4062970907191</v>
      </c>
      <c r="S559" s="533">
        <f t="shared" ref="S559" si="1333">(D559*$R$75*$Y$76)+(D559*$Y$77)</f>
        <v>3196.2058185934725</v>
      </c>
      <c r="T559" s="57"/>
      <c r="U559" s="243">
        <f>($C559*$N$384*$L$25*$Y$14)</f>
        <v>1655.6606843348623</v>
      </c>
      <c r="V559" s="533">
        <f t="shared" ref="V559" si="1334">(C559*$L$25*$N$398*$Y$41)+(C559*$L$25*$Y$25)+(C559*$L$43*$U$50)</f>
        <v>3313.6077785955995</v>
      </c>
      <c r="W559" s="57"/>
      <c r="X559" s="243">
        <f>($D559*$R$431*$X$68)</f>
        <v>671.4295463787912</v>
      </c>
      <c r="Y559" s="533">
        <f t="shared" ref="Y559" si="1335">(D559*$R$75*$Y$79)+(D559*$Y$80)</f>
        <v>653.95752478786972</v>
      </c>
      <c r="Z559" s="57"/>
      <c r="AA559" s="57"/>
      <c r="AB559" s="57"/>
      <c r="AD559" s="676">
        <v>0.2</v>
      </c>
      <c r="AE559" s="310">
        <f>$L$75</f>
        <v>0.38</v>
      </c>
      <c r="AF559" s="56">
        <f>AD559*$AF$558*$AF$554</f>
        <v>390720.54249999998</v>
      </c>
      <c r="AG559" s="56">
        <f>AE559*$AG$558*$AF$554</f>
        <v>7347.2192500000001</v>
      </c>
      <c r="AH559" s="676"/>
      <c r="AI559" s="52"/>
      <c r="AJ559" s="52"/>
      <c r="AK559" s="13"/>
      <c r="AL559" s="243">
        <f>($AF559*$AQ$384*$AO$25*$BB$8)</f>
        <v>2451.5093280600709</v>
      </c>
      <c r="AM559" s="533">
        <f>(AF559*$AO$25*$AQ$398*$BB$35)+(AF559*$AO$25*$BB$19)+(AF559*$AO$43*$AX$44)</f>
        <v>20654.3817806839</v>
      </c>
      <c r="AN559" s="57"/>
      <c r="AO559" s="243">
        <f>($AG559*$AU$431*$BA$62)</f>
        <v>2392.8401714023603</v>
      </c>
      <c r="AP559" s="533">
        <f>(AG559*$AU$75*$BB$73)+(AG559*$BB$74)</f>
        <v>3366.4363327425326</v>
      </c>
      <c r="AQ559" s="57"/>
      <c r="AR559" s="243">
        <f>($AF559*$AQ$384*$AO$25*$BB$11)</f>
        <v>1060.7276824595617</v>
      </c>
      <c r="AS559" s="533">
        <f>(AF559*$AO$25*$AQ$398*$BB$38)+(AF559*$AO$25*$BB$22)+(AF559*$AO$43*$AX$47)</f>
        <v>7922.9026764991104</v>
      </c>
      <c r="AT559" s="57"/>
      <c r="AU559" s="243">
        <f>($AG559*$AU$431*$BA$65)</f>
        <v>976.69603531968733</v>
      </c>
      <c r="AV559" s="533">
        <f>(AG559*$AU$75*$BB$76)+(AG559*$BB$77)</f>
        <v>1305.1065854212784</v>
      </c>
      <c r="AW559" s="57"/>
      <c r="AX559" s="243">
        <f>($AF559*$AQ$384*$AO$25*$BB$14)</f>
        <v>165.05425463705413</v>
      </c>
      <c r="AY559" s="533">
        <f>(AF559*$AO$25*$AQ$398*$BB$41)+(AF559*$AO$25*$BB$25)+(AF559*$AO$43*$AX$50)</f>
        <v>1357.9503961915182</v>
      </c>
      <c r="AZ559" s="57"/>
      <c r="BA559" s="243">
        <f>($AG559*$AU$431*$BA$68)</f>
        <v>130.85020032529914</v>
      </c>
      <c r="BB559" s="533">
        <f>(AG559*$AU$75*$BB$79)+(AG559*$BB$80)</f>
        <v>176.6328401476602</v>
      </c>
      <c r="BC559" s="57"/>
      <c r="BD559" s="57"/>
      <c r="BE559" s="57"/>
    </row>
    <row r="560" spans="1:57" x14ac:dyDescent="0.3">
      <c r="A560" s="484">
        <f>A559+0.1</f>
        <v>0.30000000000000004</v>
      </c>
      <c r="B560" s="310">
        <f t="shared" ref="B560:B565" si="1336">$L$75</f>
        <v>0.38</v>
      </c>
      <c r="C560" s="56">
        <f t="shared" ref="C560:C574" si="1337">A560*$C$558*$C$554</f>
        <v>586080.81375000009</v>
      </c>
      <c r="D560" s="56">
        <f t="shared" ref="D560:D567" si="1338">B560*$D$558*$C$554</f>
        <v>7347.2192500000001</v>
      </c>
      <c r="E560" s="56"/>
      <c r="F560" s="52"/>
      <c r="G560" s="52"/>
      <c r="H560" s="13"/>
      <c r="I560" s="243">
        <f t="shared" ref="I560:I565" si="1339">($C560*$N$384*$L$25*$Y$8)</f>
        <v>16593.584637917545</v>
      </c>
      <c r="J560" s="533">
        <f t="shared" ref="J560:J565" si="1340">(C560*$L$25*$N$398*$Y$35)+(C560*$L$25*$Y$19)+(C560*$L$43*$U$44)</f>
        <v>65107.793822949025</v>
      </c>
      <c r="K560" s="57"/>
      <c r="L560" s="243">
        <f t="shared" ref="L560:L565" si="1341">($D560*$R$431*$X$62)</f>
        <v>4658.0909801999487</v>
      </c>
      <c r="M560" s="533">
        <f t="shared" ref="M560:M565" si="1342">(D560*$R$75*$Y$73)+(D560*$Y$74)</f>
        <v>9936.2207278975784</v>
      </c>
      <c r="N560" s="57"/>
      <c r="O560" s="243">
        <f t="shared" ref="O560:O565" si="1343">($C560*$N$384*$L$25*$Y$11)</f>
        <v>5247.3090494077014</v>
      </c>
      <c r="P560" s="533">
        <f t="shared" ref="P560:P565" si="1344">(C560*$L$25*$N$398*$Y$38)+(C560*$L$25*$Y$22)+(C560*$L$43*$U$47)</f>
        <v>23034.081787094416</v>
      </c>
      <c r="Q560" s="57"/>
      <c r="R560" s="243">
        <f t="shared" ref="R560:R565" si="1345">($D560*$R$431*$X$65)</f>
        <v>1796.4062970907191</v>
      </c>
      <c r="S560" s="533">
        <f t="shared" ref="S560:S565" si="1346">(D560*$R$75*$Y$76)+(D560*$Y$77)</f>
        <v>3196.2058185934725</v>
      </c>
      <c r="T560" s="57"/>
      <c r="U560" s="243">
        <f t="shared" ref="U560:U565" si="1347">($C560*$N$384*$L$25*$Y$14)</f>
        <v>2483.4910265022936</v>
      </c>
      <c r="V560" s="533">
        <f t="shared" ref="V560:V565" si="1348">(C560*$L$25*$N$398*$Y$41)+(C560*$L$25*$Y$25)+(C560*$L$43*$U$50)</f>
        <v>4970.4116678934006</v>
      </c>
      <c r="W560" s="57"/>
      <c r="X560" s="243">
        <f t="shared" ref="X560:X565" si="1349">($D560*$R$431*$X$68)</f>
        <v>671.4295463787912</v>
      </c>
      <c r="Y560" s="533">
        <f t="shared" ref="Y560:Y565" si="1350">(D560*$R$75*$Y$79)+(D560*$Y$80)</f>
        <v>653.95752478786972</v>
      </c>
      <c r="Z560" s="57"/>
      <c r="AA560" s="57"/>
      <c r="AB560" s="57"/>
      <c r="AD560" s="676">
        <f>AD559+0.1</f>
        <v>0.30000000000000004</v>
      </c>
      <c r="AE560" s="310">
        <f t="shared" ref="AE560:AE565" si="1351">$L$75</f>
        <v>0.38</v>
      </c>
      <c r="AF560" s="56">
        <f t="shared" ref="AF560:AF565" si="1352">AD560*$C$558*$C$554</f>
        <v>586080.81375000009</v>
      </c>
      <c r="AG560" s="56">
        <f t="shared" ref="AG560:AG565" si="1353">AE560*$AG$558*$AF$554</f>
        <v>7347.2192500000001</v>
      </c>
      <c r="AH560" s="56"/>
      <c r="AI560" s="52"/>
      <c r="AJ560" s="52"/>
      <c r="AK560" s="13"/>
      <c r="AL560" s="243">
        <f t="shared" ref="AL560:AL565" si="1354">($AF560*$AQ$384*$AO$25*$BB$8)</f>
        <v>3677.2639920901065</v>
      </c>
      <c r="AM560" s="533">
        <f t="shared" ref="AM560:AM565" si="1355">(AF560*$AO$25*$AQ$398*$BB$35)+(AF560*$AO$25*$BB$19)+(AF560*$AO$43*$AX$44)</f>
        <v>30981.572671025857</v>
      </c>
      <c r="AN560" s="57"/>
      <c r="AO560" s="243">
        <f t="shared" ref="AO560:AO565" si="1356">($AG560*$AU$431*$BA$62)</f>
        <v>2392.8401714023603</v>
      </c>
      <c r="AP560" s="533">
        <f t="shared" ref="AP560:AP565" si="1357">(AG560*$AU$75*$BB$73)+(AG560*$BB$74)</f>
        <v>3366.4363327425326</v>
      </c>
      <c r="AQ560" s="57"/>
      <c r="AR560" s="243">
        <f t="shared" ref="AR560:AR565" si="1358">($AF560*$AQ$384*$AO$25*$BB$11)</f>
        <v>1591.0915236893427</v>
      </c>
      <c r="AS560" s="533">
        <f t="shared" ref="AS560:AS565" si="1359">(AF560*$AO$25*$AQ$398*$BB$38)+(AF560*$AO$25*$BB$22)+(AF560*$AO$43*$AX$47)</f>
        <v>11884.354014748666</v>
      </c>
      <c r="AT560" s="57"/>
      <c r="AU560" s="243">
        <f t="shared" ref="AU560:AU565" si="1360">($AG560*$AU$431*$BA$65)</f>
        <v>976.69603531968733</v>
      </c>
      <c r="AV560" s="533">
        <f t="shared" ref="AV560:AV565" si="1361">(AG560*$AU$75*$BB$76)+(AG560*$BB$77)</f>
        <v>1305.1065854212784</v>
      </c>
      <c r="AW560" s="57"/>
      <c r="AX560" s="243">
        <f t="shared" ref="AX560:AX565" si="1362">($AF560*$AQ$384*$AO$25*$BB$14)</f>
        <v>247.58138195558121</v>
      </c>
      <c r="AY560" s="533">
        <f t="shared" ref="AY560:AY565" si="1363">(AF560*$AO$25*$AQ$398*$BB$41)+(AF560*$AO$25*$BB$25)+(AF560*$AO$43*$AX$50)</f>
        <v>2036.9255942872774</v>
      </c>
      <c r="AZ560" s="57"/>
      <c r="BA560" s="243">
        <f t="shared" ref="BA560:BA565" si="1364">($AG560*$AU$431*$BA$68)</f>
        <v>130.85020032529914</v>
      </c>
      <c r="BB560" s="533">
        <f t="shared" ref="BB560:BB565" si="1365">(AG560*$AU$75*$BB$79)+(AG560*$BB$80)</f>
        <v>176.6328401476602</v>
      </c>
      <c r="BC560" s="57"/>
      <c r="BD560" s="57"/>
      <c r="BE560" s="57"/>
    </row>
    <row r="561" spans="1:57" x14ac:dyDescent="0.3">
      <c r="A561" s="484">
        <f t="shared" ref="A561:A565" si="1366">A560+0.1</f>
        <v>0.4</v>
      </c>
      <c r="B561" s="310">
        <f t="shared" si="1336"/>
        <v>0.38</v>
      </c>
      <c r="C561" s="56">
        <f t="shared" si="1337"/>
        <v>781441.08499999996</v>
      </c>
      <c r="D561" s="56">
        <f t="shared" si="1338"/>
        <v>7347.2192500000001</v>
      </c>
      <c r="E561" s="301"/>
      <c r="F561" s="52"/>
      <c r="G561" s="52"/>
      <c r="H561" s="13"/>
      <c r="I561" s="243">
        <f t="shared" si="1339"/>
        <v>22124.779517223393</v>
      </c>
      <c r="J561" s="533">
        <f t="shared" si="1340"/>
        <v>86810.391763932013</v>
      </c>
      <c r="K561" s="57"/>
      <c r="L561" s="243">
        <f t="shared" si="1341"/>
        <v>4658.0909801999487</v>
      </c>
      <c r="M561" s="533">
        <f t="shared" si="1342"/>
        <v>9936.2207278975784</v>
      </c>
      <c r="N561" s="57"/>
      <c r="O561" s="243">
        <f t="shared" si="1343"/>
        <v>6996.4120658769352</v>
      </c>
      <c r="P561" s="533">
        <f t="shared" si="1344"/>
        <v>30712.109049459214</v>
      </c>
      <c r="Q561" s="57"/>
      <c r="R561" s="243">
        <f t="shared" si="1345"/>
        <v>1796.4062970907191</v>
      </c>
      <c r="S561" s="533">
        <f t="shared" si="1346"/>
        <v>3196.2058185934725</v>
      </c>
      <c r="T561" s="57"/>
      <c r="U561" s="243">
        <f t="shared" si="1347"/>
        <v>3311.3213686697245</v>
      </c>
      <c r="V561" s="533">
        <f t="shared" si="1348"/>
        <v>6627.215557191199</v>
      </c>
      <c r="W561" s="57"/>
      <c r="X561" s="243">
        <f t="shared" si="1349"/>
        <v>671.4295463787912</v>
      </c>
      <c r="Y561" s="533">
        <f t="shared" si="1350"/>
        <v>653.95752478786972</v>
      </c>
      <c r="Z561" s="57"/>
      <c r="AA561" s="57"/>
      <c r="AB561" s="57"/>
      <c r="AD561" s="676">
        <f t="shared" ref="AD561:AD565" si="1367">AD560+0.1</f>
        <v>0.4</v>
      </c>
      <c r="AE561" s="310">
        <f t="shared" si="1351"/>
        <v>0.38</v>
      </c>
      <c r="AF561" s="56">
        <f t="shared" si="1352"/>
        <v>781441.08499999996</v>
      </c>
      <c r="AG561" s="56">
        <f t="shared" si="1353"/>
        <v>7347.2192500000001</v>
      </c>
      <c r="AH561" s="301"/>
      <c r="AI561" s="52"/>
      <c r="AJ561" s="52"/>
      <c r="AK561" s="13"/>
      <c r="AL561" s="243">
        <f t="shared" si="1354"/>
        <v>4903.0186561201417</v>
      </c>
      <c r="AM561" s="533">
        <f t="shared" si="1355"/>
        <v>41308.763561367799</v>
      </c>
      <c r="AN561" s="57"/>
      <c r="AO561" s="243">
        <f t="shared" si="1356"/>
        <v>2392.8401714023603</v>
      </c>
      <c r="AP561" s="533">
        <f t="shared" si="1357"/>
        <v>3366.4363327425326</v>
      </c>
      <c r="AQ561" s="57"/>
      <c r="AR561" s="243">
        <f t="shared" si="1358"/>
        <v>2121.4553649191234</v>
      </c>
      <c r="AS561" s="533">
        <f t="shared" si="1359"/>
        <v>15845.805352998221</v>
      </c>
      <c r="AT561" s="57"/>
      <c r="AU561" s="243">
        <f t="shared" si="1360"/>
        <v>976.69603531968733</v>
      </c>
      <c r="AV561" s="533">
        <f t="shared" si="1361"/>
        <v>1305.1065854212784</v>
      </c>
      <c r="AW561" s="57"/>
      <c r="AX561" s="243">
        <f t="shared" si="1362"/>
        <v>330.10850927410826</v>
      </c>
      <c r="AY561" s="533">
        <f t="shared" si="1363"/>
        <v>2715.9007923830363</v>
      </c>
      <c r="AZ561" s="57"/>
      <c r="BA561" s="243">
        <f t="shared" si="1364"/>
        <v>130.85020032529914</v>
      </c>
      <c r="BB561" s="533">
        <f t="shared" si="1365"/>
        <v>176.6328401476602</v>
      </c>
      <c r="BC561" s="57"/>
      <c r="BD561" s="57"/>
      <c r="BE561" s="57"/>
    </row>
    <row r="562" spans="1:57" x14ac:dyDescent="0.3">
      <c r="A562" s="484">
        <f t="shared" si="1366"/>
        <v>0.5</v>
      </c>
      <c r="B562" s="310">
        <f t="shared" si="1336"/>
        <v>0.38</v>
      </c>
      <c r="C562" s="56">
        <f t="shared" si="1337"/>
        <v>976801.35624999995</v>
      </c>
      <c r="D562" s="56">
        <f t="shared" si="1338"/>
        <v>7347.2192500000001</v>
      </c>
      <c r="E562" s="497"/>
      <c r="F562" s="52"/>
      <c r="G562" s="52"/>
      <c r="H562" s="13"/>
      <c r="I562" s="243">
        <f t="shared" si="1339"/>
        <v>27655.97439652924</v>
      </c>
      <c r="J562" s="533">
        <f t="shared" si="1340"/>
        <v>108512.98970491503</v>
      </c>
      <c r="K562" s="57"/>
      <c r="L562" s="243">
        <f t="shared" si="1341"/>
        <v>4658.0909801999487</v>
      </c>
      <c r="M562" s="533">
        <f t="shared" si="1342"/>
        <v>9936.2207278975784</v>
      </c>
      <c r="N562" s="57"/>
      <c r="O562" s="243">
        <f t="shared" si="1343"/>
        <v>8745.5150823461699</v>
      </c>
      <c r="P562" s="533">
        <f t="shared" si="1344"/>
        <v>38390.136311824019</v>
      </c>
      <c r="Q562" s="57"/>
      <c r="R562" s="243">
        <f t="shared" si="1345"/>
        <v>1796.4062970907191</v>
      </c>
      <c r="S562" s="533">
        <f t="shared" si="1346"/>
        <v>3196.2058185934725</v>
      </c>
      <c r="T562" s="57"/>
      <c r="U562" s="243">
        <f t="shared" si="1347"/>
        <v>4139.1517108371563</v>
      </c>
      <c r="V562" s="533">
        <f t="shared" si="1348"/>
        <v>8284.0194464889992</v>
      </c>
      <c r="W562" s="57"/>
      <c r="X562" s="243">
        <f t="shared" si="1349"/>
        <v>671.4295463787912</v>
      </c>
      <c r="Y562" s="533">
        <f t="shared" si="1350"/>
        <v>653.95752478786972</v>
      </c>
      <c r="Z562" s="57"/>
      <c r="AA562" s="57"/>
      <c r="AB562" s="57"/>
      <c r="AD562" s="676">
        <f t="shared" si="1367"/>
        <v>0.5</v>
      </c>
      <c r="AE562" s="310">
        <f t="shared" si="1351"/>
        <v>0.38</v>
      </c>
      <c r="AF562" s="56">
        <f t="shared" si="1352"/>
        <v>976801.35624999995</v>
      </c>
      <c r="AG562" s="56">
        <f t="shared" si="1353"/>
        <v>7347.2192500000001</v>
      </c>
      <c r="AH562" s="676"/>
      <c r="AI562" s="52"/>
      <c r="AJ562" s="52"/>
      <c r="AK562" s="13"/>
      <c r="AL562" s="243">
        <f t="shared" si="1354"/>
        <v>6128.7733201501769</v>
      </c>
      <c r="AM562" s="533">
        <f t="shared" si="1355"/>
        <v>51635.954451709753</v>
      </c>
      <c r="AN562" s="57"/>
      <c r="AO562" s="243">
        <f t="shared" si="1356"/>
        <v>2392.8401714023603</v>
      </c>
      <c r="AP562" s="533">
        <f t="shared" si="1357"/>
        <v>3366.4363327425326</v>
      </c>
      <c r="AQ562" s="57"/>
      <c r="AR562" s="243">
        <f t="shared" si="1358"/>
        <v>2651.8192061489044</v>
      </c>
      <c r="AS562" s="533">
        <f t="shared" si="1359"/>
        <v>19807.256691247771</v>
      </c>
      <c r="AT562" s="57"/>
      <c r="AU562" s="243">
        <f t="shared" si="1360"/>
        <v>976.69603531968733</v>
      </c>
      <c r="AV562" s="533">
        <f t="shared" si="1361"/>
        <v>1305.1065854212784</v>
      </c>
      <c r="AW562" s="57"/>
      <c r="AX562" s="243">
        <f t="shared" si="1362"/>
        <v>412.63563659263531</v>
      </c>
      <c r="AY562" s="533">
        <f t="shared" si="1363"/>
        <v>3394.8759904787948</v>
      </c>
      <c r="AZ562" s="57"/>
      <c r="BA562" s="243">
        <f t="shared" si="1364"/>
        <v>130.85020032529914</v>
      </c>
      <c r="BB562" s="533">
        <f t="shared" si="1365"/>
        <v>176.6328401476602</v>
      </c>
      <c r="BC562" s="57"/>
      <c r="BD562" s="57"/>
      <c r="BE562" s="57"/>
    </row>
    <row r="563" spans="1:57" x14ac:dyDescent="0.3">
      <c r="A563" s="484">
        <f t="shared" si="1366"/>
        <v>0.6</v>
      </c>
      <c r="B563" s="310">
        <f t="shared" si="1336"/>
        <v>0.38</v>
      </c>
      <c r="C563" s="56">
        <f t="shared" si="1337"/>
        <v>1172161.6274999999</v>
      </c>
      <c r="D563" s="56">
        <f t="shared" si="1338"/>
        <v>7347.2192500000001</v>
      </c>
      <c r="E563" s="497"/>
      <c r="F563" s="52"/>
      <c r="G563" s="52"/>
      <c r="H563" s="13"/>
      <c r="I563" s="243">
        <f t="shared" si="1339"/>
        <v>33187.169275835076</v>
      </c>
      <c r="J563" s="533">
        <f t="shared" si="1340"/>
        <v>130215.58764589803</v>
      </c>
      <c r="K563" s="57"/>
      <c r="L563" s="243">
        <f t="shared" si="1341"/>
        <v>4658.0909801999487</v>
      </c>
      <c r="M563" s="533">
        <f t="shared" si="1342"/>
        <v>9936.2207278975784</v>
      </c>
      <c r="N563" s="57"/>
      <c r="O563" s="243">
        <f t="shared" si="1343"/>
        <v>10494.618098815401</v>
      </c>
      <c r="P563" s="533">
        <f t="shared" si="1344"/>
        <v>46068.163574188817</v>
      </c>
      <c r="Q563" s="57"/>
      <c r="R563" s="243">
        <f t="shared" si="1345"/>
        <v>1796.4062970907191</v>
      </c>
      <c r="S563" s="533">
        <f t="shared" si="1346"/>
        <v>3196.2058185934725</v>
      </c>
      <c r="T563" s="57"/>
      <c r="U563" s="243">
        <f t="shared" si="1347"/>
        <v>4966.9820530045863</v>
      </c>
      <c r="V563" s="533">
        <f t="shared" si="1348"/>
        <v>9940.8233357867994</v>
      </c>
      <c r="W563" s="57"/>
      <c r="X563" s="243">
        <f t="shared" si="1349"/>
        <v>671.4295463787912</v>
      </c>
      <c r="Y563" s="533">
        <f t="shared" si="1350"/>
        <v>653.95752478786972</v>
      </c>
      <c r="Z563" s="57"/>
      <c r="AA563" s="57"/>
      <c r="AB563" s="57"/>
      <c r="AD563" s="676">
        <f t="shared" si="1367"/>
        <v>0.6</v>
      </c>
      <c r="AE563" s="310">
        <f t="shared" si="1351"/>
        <v>0.38</v>
      </c>
      <c r="AF563" s="56">
        <f t="shared" si="1352"/>
        <v>1172161.6274999999</v>
      </c>
      <c r="AG563" s="56">
        <f t="shared" si="1353"/>
        <v>7347.2192500000001</v>
      </c>
      <c r="AH563" s="676"/>
      <c r="AI563" s="52"/>
      <c r="AJ563" s="52"/>
      <c r="AK563" s="13"/>
      <c r="AL563" s="243">
        <f t="shared" si="1354"/>
        <v>7354.5279841802103</v>
      </c>
      <c r="AM563" s="533">
        <f t="shared" si="1355"/>
        <v>61963.145342051692</v>
      </c>
      <c r="AN563" s="57"/>
      <c r="AO563" s="243">
        <f t="shared" si="1356"/>
        <v>2392.8401714023603</v>
      </c>
      <c r="AP563" s="533">
        <f t="shared" si="1357"/>
        <v>3366.4363327425326</v>
      </c>
      <c r="AQ563" s="57"/>
      <c r="AR563" s="243">
        <f t="shared" si="1358"/>
        <v>3182.1830473786845</v>
      </c>
      <c r="AS563" s="533">
        <f t="shared" si="1359"/>
        <v>23768.708029497328</v>
      </c>
      <c r="AT563" s="57"/>
      <c r="AU563" s="243">
        <f t="shared" si="1360"/>
        <v>976.69603531968733</v>
      </c>
      <c r="AV563" s="533">
        <f t="shared" si="1361"/>
        <v>1305.1065854212784</v>
      </c>
      <c r="AW563" s="57"/>
      <c r="AX563" s="243">
        <f t="shared" si="1362"/>
        <v>495.16276391116224</v>
      </c>
      <c r="AY563" s="533">
        <f t="shared" si="1363"/>
        <v>4073.8511885745543</v>
      </c>
      <c r="AZ563" s="57"/>
      <c r="BA563" s="243">
        <f t="shared" si="1364"/>
        <v>130.85020032529914</v>
      </c>
      <c r="BB563" s="533">
        <f t="shared" si="1365"/>
        <v>176.6328401476602</v>
      </c>
      <c r="BC563" s="57"/>
      <c r="BD563" s="57"/>
      <c r="BE563" s="57"/>
    </row>
    <row r="564" spans="1:57" x14ac:dyDescent="0.3">
      <c r="A564" s="484">
        <f t="shared" si="1366"/>
        <v>0.7</v>
      </c>
      <c r="B564" s="310">
        <f t="shared" si="1336"/>
        <v>0.38</v>
      </c>
      <c r="C564" s="56">
        <f t="shared" si="1337"/>
        <v>1367521.8987499999</v>
      </c>
      <c r="D564" s="56">
        <f t="shared" si="1338"/>
        <v>7347.2192500000001</v>
      </c>
      <c r="E564" s="497"/>
      <c r="F564" s="52"/>
      <c r="G564" s="52"/>
      <c r="H564" s="13"/>
      <c r="I564" s="243">
        <f t="shared" si="1339"/>
        <v>38718.364155140931</v>
      </c>
      <c r="J564" s="533">
        <f t="shared" si="1340"/>
        <v>151918.18558688101</v>
      </c>
      <c r="K564" s="57"/>
      <c r="L564" s="243">
        <f t="shared" si="1341"/>
        <v>4658.0909801999487</v>
      </c>
      <c r="M564" s="533">
        <f t="shared" si="1342"/>
        <v>9936.2207278975784</v>
      </c>
      <c r="N564" s="57"/>
      <c r="O564" s="243">
        <f t="shared" si="1343"/>
        <v>12243.721115284634</v>
      </c>
      <c r="P564" s="533">
        <f t="shared" si="1344"/>
        <v>53746.190836553622</v>
      </c>
      <c r="Q564" s="57"/>
      <c r="R564" s="243">
        <f t="shared" si="1345"/>
        <v>1796.4062970907191</v>
      </c>
      <c r="S564" s="533">
        <f t="shared" si="1346"/>
        <v>3196.2058185934725</v>
      </c>
      <c r="T564" s="57"/>
      <c r="U564" s="243">
        <f t="shared" si="1347"/>
        <v>5794.8123951720172</v>
      </c>
      <c r="V564" s="533">
        <f t="shared" si="1348"/>
        <v>11597.627225084598</v>
      </c>
      <c r="W564" s="57"/>
      <c r="X564" s="243">
        <f t="shared" si="1349"/>
        <v>671.4295463787912</v>
      </c>
      <c r="Y564" s="533">
        <f t="shared" si="1350"/>
        <v>653.95752478786972</v>
      </c>
      <c r="Z564" s="57"/>
      <c r="AA564" s="57"/>
      <c r="AB564" s="57"/>
      <c r="AD564" s="676">
        <f t="shared" si="1367"/>
        <v>0.7</v>
      </c>
      <c r="AE564" s="310">
        <f t="shared" si="1351"/>
        <v>0.38</v>
      </c>
      <c r="AF564" s="56">
        <f t="shared" si="1352"/>
        <v>1367521.8987499999</v>
      </c>
      <c r="AG564" s="56">
        <f t="shared" si="1353"/>
        <v>7347.2192500000001</v>
      </c>
      <c r="AH564" s="676"/>
      <c r="AI564" s="52"/>
      <c r="AJ564" s="52"/>
      <c r="AK564" s="13"/>
      <c r="AL564" s="243">
        <f t="shared" si="1354"/>
        <v>8580.2826482102464</v>
      </c>
      <c r="AM564" s="533">
        <f t="shared" si="1355"/>
        <v>72290.336232393631</v>
      </c>
      <c r="AN564" s="57"/>
      <c r="AO564" s="243">
        <f t="shared" si="1356"/>
        <v>2392.8401714023603</v>
      </c>
      <c r="AP564" s="533">
        <f t="shared" si="1357"/>
        <v>3366.4363327425326</v>
      </c>
      <c r="AQ564" s="57"/>
      <c r="AR564" s="243">
        <f t="shared" si="1358"/>
        <v>3712.5468886084655</v>
      </c>
      <c r="AS564" s="533">
        <f t="shared" si="1359"/>
        <v>27730.159367746881</v>
      </c>
      <c r="AT564" s="57"/>
      <c r="AU564" s="243">
        <f t="shared" si="1360"/>
        <v>976.69603531968733</v>
      </c>
      <c r="AV564" s="533">
        <f t="shared" si="1361"/>
        <v>1305.1065854212784</v>
      </c>
      <c r="AW564" s="57"/>
      <c r="AX564" s="243">
        <f t="shared" si="1362"/>
        <v>577.68989122968935</v>
      </c>
      <c r="AY564" s="533">
        <f t="shared" si="1363"/>
        <v>4752.8263866703128</v>
      </c>
      <c r="AZ564" s="57"/>
      <c r="BA564" s="243">
        <f t="shared" si="1364"/>
        <v>130.85020032529914</v>
      </c>
      <c r="BB564" s="533">
        <f t="shared" si="1365"/>
        <v>176.6328401476602</v>
      </c>
      <c r="BC564" s="57"/>
      <c r="BD564" s="57"/>
      <c r="BE564" s="57"/>
    </row>
    <row r="565" spans="1:57" x14ac:dyDescent="0.3">
      <c r="A565" s="484">
        <f t="shared" si="1366"/>
        <v>0.79999999999999993</v>
      </c>
      <c r="B565" s="310">
        <f t="shared" si="1336"/>
        <v>0.38</v>
      </c>
      <c r="C565" s="56">
        <f t="shared" si="1337"/>
        <v>1562882.1699999997</v>
      </c>
      <c r="D565" s="56">
        <f t="shared" si="1338"/>
        <v>7347.2192500000001</v>
      </c>
      <c r="E565" s="497"/>
      <c r="F565" s="52"/>
      <c r="G565" s="52"/>
      <c r="H565" s="13"/>
      <c r="I565" s="243">
        <f t="shared" si="1339"/>
        <v>44249.559034446771</v>
      </c>
      <c r="J565" s="533">
        <f t="shared" si="1340"/>
        <v>173620.78352786403</v>
      </c>
      <c r="K565" s="57"/>
      <c r="L565" s="243">
        <f t="shared" si="1341"/>
        <v>4658.0909801999487</v>
      </c>
      <c r="M565" s="533">
        <f t="shared" si="1342"/>
        <v>9936.2207278975784</v>
      </c>
      <c r="N565" s="57"/>
      <c r="O565" s="243">
        <f t="shared" si="1343"/>
        <v>13992.824131753867</v>
      </c>
      <c r="P565" s="533">
        <f t="shared" si="1344"/>
        <v>61424.218098918413</v>
      </c>
      <c r="Q565" s="57"/>
      <c r="R565" s="243">
        <f t="shared" si="1345"/>
        <v>1796.4062970907191</v>
      </c>
      <c r="S565" s="533">
        <f t="shared" si="1346"/>
        <v>3196.2058185934725</v>
      </c>
      <c r="T565" s="57"/>
      <c r="U565" s="243">
        <f t="shared" si="1347"/>
        <v>6622.6427373394481</v>
      </c>
      <c r="V565" s="533">
        <f t="shared" si="1348"/>
        <v>13254.431114382396</v>
      </c>
      <c r="W565" s="57"/>
      <c r="X565" s="243">
        <f t="shared" si="1349"/>
        <v>671.4295463787912</v>
      </c>
      <c r="Y565" s="533">
        <f t="shared" si="1350"/>
        <v>653.95752478786972</v>
      </c>
      <c r="Z565" s="57"/>
      <c r="AA565" s="57"/>
      <c r="AB565" s="57"/>
      <c r="AD565" s="676">
        <f t="shared" si="1367"/>
        <v>0.79999999999999993</v>
      </c>
      <c r="AE565" s="310">
        <f t="shared" si="1351"/>
        <v>0.38</v>
      </c>
      <c r="AF565" s="56">
        <f t="shared" si="1352"/>
        <v>1562882.1699999997</v>
      </c>
      <c r="AG565" s="56">
        <f t="shared" si="1353"/>
        <v>7347.2192500000001</v>
      </c>
      <c r="AH565" s="676"/>
      <c r="AI565" s="52"/>
      <c r="AJ565" s="52"/>
      <c r="AK565" s="13"/>
      <c r="AL565" s="243">
        <f t="shared" si="1354"/>
        <v>9806.0373122402798</v>
      </c>
      <c r="AM565" s="533">
        <f t="shared" si="1355"/>
        <v>82617.527122735599</v>
      </c>
      <c r="AN565" s="57"/>
      <c r="AO565" s="243">
        <f t="shared" si="1356"/>
        <v>2392.8401714023603</v>
      </c>
      <c r="AP565" s="533">
        <f t="shared" si="1357"/>
        <v>3366.4363327425326</v>
      </c>
      <c r="AQ565" s="57"/>
      <c r="AR565" s="243">
        <f t="shared" si="1358"/>
        <v>4242.910729838246</v>
      </c>
      <c r="AS565" s="533">
        <f t="shared" si="1359"/>
        <v>31691.610705996427</v>
      </c>
      <c r="AT565" s="57"/>
      <c r="AU565" s="243">
        <f t="shared" si="1360"/>
        <v>976.69603531968733</v>
      </c>
      <c r="AV565" s="533">
        <f t="shared" si="1361"/>
        <v>1305.1065854212784</v>
      </c>
      <c r="AW565" s="57"/>
      <c r="AX565" s="243">
        <f t="shared" si="1362"/>
        <v>660.2170185482164</v>
      </c>
      <c r="AY565" s="533">
        <f t="shared" si="1363"/>
        <v>5431.8015847660718</v>
      </c>
      <c r="AZ565" s="57"/>
      <c r="BA565" s="243">
        <f t="shared" si="1364"/>
        <v>130.85020032529914</v>
      </c>
      <c r="BB565" s="533">
        <f t="shared" si="1365"/>
        <v>176.6328401476602</v>
      </c>
      <c r="BC565" s="57"/>
      <c r="BD565" s="57"/>
      <c r="BE565" s="57"/>
    </row>
    <row r="566" spans="1:57" x14ac:dyDescent="0.3">
      <c r="A566" s="1113" t="s">
        <v>230</v>
      </c>
      <c r="B566" s="1113" t="s">
        <v>231</v>
      </c>
      <c r="C566" s="56"/>
      <c r="D566" s="56"/>
      <c r="E566" s="497"/>
      <c r="F566" s="52"/>
      <c r="G566" s="52"/>
      <c r="H566" s="13"/>
      <c r="I566" s="528"/>
      <c r="J566" s="532"/>
      <c r="K566" s="57"/>
      <c r="L566" s="528"/>
      <c r="M566" s="532"/>
      <c r="N566" s="57"/>
      <c r="O566" s="528"/>
      <c r="P566" s="532"/>
      <c r="Q566" s="57"/>
      <c r="R566" s="528"/>
      <c r="S566" s="532"/>
      <c r="T566" s="57"/>
      <c r="U566" s="528"/>
      <c r="V566" s="532"/>
      <c r="W566" s="57"/>
      <c r="X566" s="528"/>
      <c r="Y566" s="532"/>
      <c r="Z566" s="57"/>
      <c r="AA566" s="57"/>
      <c r="AB566" s="57"/>
      <c r="AD566" s="1113" t="s">
        <v>230</v>
      </c>
      <c r="AE566" s="1113" t="s">
        <v>231</v>
      </c>
      <c r="AF566" s="56"/>
      <c r="AG566" s="56"/>
      <c r="AH566" s="676"/>
      <c r="AI566" s="52"/>
      <c r="AJ566" s="52"/>
      <c r="AK566" s="13"/>
      <c r="AL566" s="528"/>
      <c r="AM566" s="532"/>
      <c r="AN566" s="57"/>
      <c r="AO566" s="528"/>
      <c r="AP566" s="532"/>
      <c r="AQ566" s="57"/>
      <c r="AR566" s="528"/>
      <c r="AS566" s="532"/>
      <c r="AT566" s="57"/>
      <c r="AU566" s="528"/>
      <c r="AV566" s="532"/>
      <c r="AW566" s="57"/>
      <c r="AX566" s="528"/>
      <c r="AY566" s="532"/>
      <c r="AZ566" s="57"/>
      <c r="BA566" s="528"/>
      <c r="BB566" s="532"/>
      <c r="BC566" s="57"/>
      <c r="BD566" s="57"/>
      <c r="BE566" s="57"/>
    </row>
    <row r="567" spans="1:57" x14ac:dyDescent="0.3">
      <c r="A567" s="1113"/>
      <c r="B567" s="1113"/>
      <c r="C567" s="56">
        <f t="shared" si="1337"/>
        <v>0</v>
      </c>
      <c r="D567" s="56">
        <f t="shared" si="1338"/>
        <v>0</v>
      </c>
      <c r="E567" s="497"/>
      <c r="F567" s="52"/>
      <c r="G567" s="52"/>
      <c r="H567" s="13"/>
      <c r="I567" s="528"/>
      <c r="J567" s="532"/>
      <c r="K567" s="57"/>
      <c r="L567" s="528"/>
      <c r="M567" s="532"/>
      <c r="N567" s="57"/>
      <c r="O567" s="528"/>
      <c r="P567" s="532"/>
      <c r="Q567" s="57"/>
      <c r="R567" s="528"/>
      <c r="S567" s="532"/>
      <c r="T567" s="57"/>
      <c r="U567" s="528"/>
      <c r="V567" s="532"/>
      <c r="W567" s="57"/>
      <c r="X567" s="528"/>
      <c r="Y567" s="532"/>
      <c r="Z567" s="57"/>
      <c r="AA567" s="57"/>
      <c r="AB567" s="57"/>
      <c r="AD567" s="1113"/>
      <c r="AE567" s="1113"/>
      <c r="AF567" s="56">
        <f t="shared" ref="AF567" si="1368">AD567*$C$558*$C$554</f>
        <v>0</v>
      </c>
      <c r="AG567" s="56">
        <f t="shared" ref="AG567" si="1369">AE567*$D$558*$C$554</f>
        <v>0</v>
      </c>
      <c r="AH567" s="676"/>
      <c r="AI567" s="52"/>
      <c r="AJ567" s="52"/>
      <c r="AK567" s="13"/>
      <c r="AL567" s="528"/>
      <c r="AM567" s="532"/>
      <c r="AN567" s="57"/>
      <c r="AO567" s="528"/>
      <c r="AP567" s="532"/>
      <c r="AQ567" s="57"/>
      <c r="AR567" s="528"/>
      <c r="AS567" s="532"/>
      <c r="AT567" s="57"/>
      <c r="AU567" s="528"/>
      <c r="AV567" s="532"/>
      <c r="AW567" s="57"/>
      <c r="AX567" s="528"/>
      <c r="AY567" s="532"/>
      <c r="AZ567" s="57"/>
      <c r="BA567" s="528"/>
      <c r="BB567" s="532"/>
      <c r="BC567" s="57"/>
      <c r="BD567" s="57"/>
      <c r="BE567" s="57"/>
    </row>
    <row r="568" spans="1:57" x14ac:dyDescent="0.3">
      <c r="A568" s="484">
        <f>1-A559</f>
        <v>0.8</v>
      </c>
      <c r="B568" s="310">
        <f>1-B559</f>
        <v>0.62</v>
      </c>
      <c r="C568" s="56">
        <f t="shared" si="1337"/>
        <v>1562882.17</v>
      </c>
      <c r="D568" s="56">
        <f>C568*$D$558*B559</f>
        <v>5820.1732010799997</v>
      </c>
      <c r="E568" s="497"/>
      <c r="F568" s="52"/>
      <c r="G568" s="52"/>
      <c r="H568" s="13"/>
      <c r="I568" s="528"/>
      <c r="J568" s="533">
        <f t="shared" ref="J568" si="1370">C568*$U$129</f>
        <v>235526.20966049237</v>
      </c>
      <c r="K568" s="57"/>
      <c r="L568" s="243">
        <f>($D568*$R$516*$X$62)</f>
        <v>3689.953350875192</v>
      </c>
      <c r="M568" s="533">
        <f t="shared" ref="M568" si="1371">D568*$U$171</f>
        <v>13032.518879525163</v>
      </c>
      <c r="N568" s="57"/>
      <c r="O568" s="528"/>
      <c r="P568" s="533">
        <f t="shared" ref="P568" si="1372">C568*$U$132</f>
        <v>80126.668901793644</v>
      </c>
      <c r="Q568" s="57"/>
      <c r="R568" s="243">
        <f>($D568*$R$516*$X$65)</f>
        <v>1423.0412123033841</v>
      </c>
      <c r="S568" s="533">
        <f t="shared" ref="S568" si="1373">D568*$U$174</f>
        <v>4433.6990211041139</v>
      </c>
      <c r="T568" s="57"/>
      <c r="V568" s="533">
        <f t="shared" ref="V568" si="1374">C568*$U$135</f>
        <v>24079.900062532299</v>
      </c>
      <c r="W568" s="57"/>
      <c r="X568" s="243">
        <f>($D568*$R$516*$X$68)</f>
        <v>531.87962945942331</v>
      </c>
      <c r="Y568" s="533">
        <f t="shared" ref="Y568" si="1375">D568*$U$177</f>
        <v>984.06321569924341</v>
      </c>
      <c r="Z568" s="57"/>
      <c r="AA568" s="57"/>
      <c r="AB568" s="57"/>
      <c r="AD568" s="676">
        <f>1-AD559</f>
        <v>0.8</v>
      </c>
      <c r="AE568" s="310">
        <f>1-AE559</f>
        <v>0.62</v>
      </c>
      <c r="AF568" s="56">
        <f>AD568*$AF$558*$AF$554</f>
        <v>1562882.17</v>
      </c>
      <c r="AG568" s="56">
        <f>$AE559*$AG$558*$AF568</f>
        <v>5820.1732010799997</v>
      </c>
      <c r="AH568" s="676"/>
      <c r="AI568" s="52"/>
      <c r="AJ568" s="52"/>
      <c r="AK568" s="13"/>
      <c r="AL568" s="528"/>
      <c r="AM568" s="533">
        <f>AF568*$AX$129</f>
        <v>96424.305043862842</v>
      </c>
      <c r="AN568" s="57"/>
      <c r="AO568" s="243">
        <f>($AG568*$AU$516*$BA$147)</f>
        <v>1895.5122701780938</v>
      </c>
      <c r="AP568" s="533">
        <f>AG568*$AX$171</f>
        <v>5335.5063019979007</v>
      </c>
      <c r="AQ568" s="57"/>
      <c r="AR568" s="528"/>
      <c r="AS568" s="533">
        <f>AF568*$AX$132</f>
        <v>37361.313021159694</v>
      </c>
      <c r="AT568" s="57"/>
      <c r="AU568" s="243">
        <f>($AG568*$AU$516*$BA$150)</f>
        <v>773.69953133884349</v>
      </c>
      <c r="AV568" s="533">
        <f>AG568*$AX$174</f>
        <v>2067.3368709749525</v>
      </c>
      <c r="AW568" s="57"/>
      <c r="AX568" s="528"/>
      <c r="AY568" s="533">
        <f>AF568*$AX$135</f>
        <v>6839.8393305246609</v>
      </c>
      <c r="AZ568" s="57"/>
      <c r="BA568" s="243">
        <f>($AG568*$AU$516*$BA$153)</f>
        <v>103.65429468968897</v>
      </c>
      <c r="BB568" s="533">
        <f>AG568*$AX$177</f>
        <v>279.52085635667862</v>
      </c>
      <c r="BC568" s="57"/>
      <c r="BD568" s="57"/>
      <c r="BE568" s="57"/>
    </row>
    <row r="569" spans="1:57" x14ac:dyDescent="0.3">
      <c r="A569" s="484">
        <f t="shared" ref="A569:B574" si="1376">1-A560</f>
        <v>0.7</v>
      </c>
      <c r="B569" s="310">
        <f t="shared" si="1376"/>
        <v>0.62</v>
      </c>
      <c r="C569" s="56">
        <f t="shared" si="1337"/>
        <v>1367521.8987499999</v>
      </c>
      <c r="D569" s="56">
        <f t="shared" ref="D569:D574" si="1377">C569*$D$558*B560</f>
        <v>5092.6515509449991</v>
      </c>
      <c r="E569" s="497"/>
      <c r="F569" s="52"/>
      <c r="G569" s="52"/>
      <c r="H569" s="13"/>
      <c r="I569" s="528"/>
      <c r="J569" s="533">
        <f t="shared" ref="J569:J574" si="1378">C569*$U$129</f>
        <v>206085.43345293083</v>
      </c>
      <c r="K569" s="57"/>
      <c r="L569" s="243">
        <f t="shared" ref="L569:L574" si="1379">($D569*$R$516*$X$62)</f>
        <v>3228.7091820157921</v>
      </c>
      <c r="M569" s="533">
        <f t="shared" ref="M569:M574" si="1380">D569*$U$171</f>
        <v>11403.454019584517</v>
      </c>
      <c r="N569" s="57"/>
      <c r="O569" s="528"/>
      <c r="P569" s="533">
        <f t="shared" ref="P569:P574" si="1381">C569*$U$132</f>
        <v>70110.835289069437</v>
      </c>
      <c r="Q569" s="57"/>
      <c r="R569" s="243">
        <f t="shared" ref="R569:R574" si="1382">($D569*$R$516*$X$65)</f>
        <v>1245.1610607654609</v>
      </c>
      <c r="S569" s="533">
        <f t="shared" ref="S569:S574" si="1383">D569*$U$174</f>
        <v>3879.4866434660994</v>
      </c>
      <c r="T569" s="57"/>
      <c r="U569" s="528"/>
      <c r="V569" s="533">
        <f t="shared" ref="V569:V574" si="1384">C569*$U$135</f>
        <v>21069.91255471576</v>
      </c>
      <c r="W569" s="57"/>
      <c r="X569" s="243">
        <f t="shared" ref="X569:X574" si="1385">($D569*$R$516*$X$68)</f>
        <v>465.39467577699526</v>
      </c>
      <c r="Y569" s="533">
        <f t="shared" ref="Y569:Y574" si="1386">D569*$U$177</f>
        <v>861.05531373683789</v>
      </c>
      <c r="Z569" s="57"/>
      <c r="AA569" s="57"/>
      <c r="AB569" s="57"/>
      <c r="AD569" s="676">
        <f t="shared" ref="AD569:AE569" si="1387">1-AD560</f>
        <v>0.7</v>
      </c>
      <c r="AE569" s="310">
        <f t="shared" si="1387"/>
        <v>0.62</v>
      </c>
      <c r="AF569" s="56">
        <f t="shared" ref="AF569:AF574" si="1388">AD569*$AF$558*$AF$554</f>
        <v>1367521.8987499999</v>
      </c>
      <c r="AG569" s="56">
        <f t="shared" ref="AG569:AG574" si="1389">$AE560*$AG$558*$AF569</f>
        <v>5092.6515509449991</v>
      </c>
      <c r="AH569" s="676"/>
      <c r="AI569" s="52"/>
      <c r="AJ569" s="52"/>
      <c r="AK569" s="13"/>
      <c r="AL569" s="528"/>
      <c r="AM569" s="533">
        <f t="shared" ref="AM569:AM574" si="1390">AF569*$AX$129</f>
        <v>84371.266913379994</v>
      </c>
      <c r="AN569" s="57"/>
      <c r="AO569" s="243">
        <f t="shared" ref="AO569:AO574" si="1391">($AG569*$AU$516*$BA$147)</f>
        <v>1658.5732364058317</v>
      </c>
      <c r="AP569" s="533">
        <f t="shared" ref="AP569:AP574" si="1392">AG569*$AX$171</f>
        <v>4668.5680142481624</v>
      </c>
      <c r="AQ569" s="57"/>
      <c r="AR569" s="528"/>
      <c r="AS569" s="533">
        <f t="shared" ref="AS569:AS574" si="1393">AF569*$AX$132</f>
        <v>32691.148893514735</v>
      </c>
      <c r="AT569" s="57"/>
      <c r="AU569" s="243">
        <f t="shared" ref="AU569:AU574" si="1394">($AG569*$AU$516*$BA$150)</f>
        <v>676.98708992148795</v>
      </c>
      <c r="AV569" s="533">
        <f t="shared" ref="AV569:AV574" si="1395">AG569*$AX$174</f>
        <v>1808.919762103083</v>
      </c>
      <c r="AW569" s="57"/>
      <c r="AX569" s="528"/>
      <c r="AY569" s="533">
        <f t="shared" ref="AY569:AY574" si="1396">AF569*$AX$135</f>
        <v>5984.8594142090787</v>
      </c>
      <c r="AZ569" s="57"/>
      <c r="BA569" s="243">
        <f t="shared" ref="BA569:BA574" si="1397">($AG569*$AU$516*$BA$153)</f>
        <v>90.697507853477816</v>
      </c>
      <c r="BB569" s="533">
        <f t="shared" ref="BB569:BB574" si="1398">AG569*$AX$177</f>
        <v>244.58074931209376</v>
      </c>
      <c r="BC569" s="57"/>
      <c r="BD569" s="57"/>
      <c r="BE569" s="57"/>
    </row>
    <row r="570" spans="1:57" x14ac:dyDescent="0.3">
      <c r="A570" s="484">
        <f t="shared" si="1376"/>
        <v>0.6</v>
      </c>
      <c r="B570" s="310">
        <f t="shared" si="1376"/>
        <v>0.62</v>
      </c>
      <c r="C570" s="56">
        <f t="shared" si="1337"/>
        <v>1172161.6274999999</v>
      </c>
      <c r="D570" s="56">
        <f t="shared" si="1377"/>
        <v>4365.1299008099995</v>
      </c>
      <c r="F570" s="52"/>
      <c r="G570" s="52"/>
      <c r="H570" s="13"/>
      <c r="I570" s="528"/>
      <c r="J570" s="533">
        <f t="shared" si="1378"/>
        <v>176644.65724536928</v>
      </c>
      <c r="K570" s="57"/>
      <c r="L570" s="243">
        <f t="shared" si="1379"/>
        <v>2767.4650131563935</v>
      </c>
      <c r="M570" s="533">
        <f t="shared" si="1380"/>
        <v>9774.3891596438716</v>
      </c>
      <c r="N570" s="57"/>
      <c r="O570" s="528"/>
      <c r="P570" s="533">
        <f t="shared" si="1381"/>
        <v>60095.001676345229</v>
      </c>
      <c r="Q570" s="57"/>
      <c r="R570" s="243">
        <f t="shared" si="1382"/>
        <v>1067.2809092275379</v>
      </c>
      <c r="S570" s="533">
        <f t="shared" si="1383"/>
        <v>3325.2742658280854</v>
      </c>
      <c r="T570" s="57"/>
      <c r="U570" s="528"/>
      <c r="V570" s="533">
        <f t="shared" si="1384"/>
        <v>18059.925046899225</v>
      </c>
      <c r="W570" s="57"/>
      <c r="X570" s="243">
        <f t="shared" si="1385"/>
        <v>398.90972209456743</v>
      </c>
      <c r="Y570" s="533">
        <f t="shared" si="1386"/>
        <v>738.04741177443248</v>
      </c>
      <c r="Z570" s="57"/>
      <c r="AA570" s="57"/>
      <c r="AB570" s="57"/>
      <c r="AD570" s="676">
        <f t="shared" ref="AD570:AE570" si="1399">1-AD561</f>
        <v>0.6</v>
      </c>
      <c r="AE570" s="310">
        <f t="shared" si="1399"/>
        <v>0.62</v>
      </c>
      <c r="AF570" s="56">
        <f t="shared" si="1388"/>
        <v>1172161.6274999999</v>
      </c>
      <c r="AG570" s="56">
        <f t="shared" si="1389"/>
        <v>4365.1299008099995</v>
      </c>
      <c r="AI570" s="52"/>
      <c r="AJ570" s="52"/>
      <c r="AK570" s="13"/>
      <c r="AL570" s="528"/>
      <c r="AM570" s="533">
        <f t="shared" si="1390"/>
        <v>72318.228782897131</v>
      </c>
      <c r="AN570" s="57"/>
      <c r="AO570" s="243">
        <f t="shared" si="1391"/>
        <v>1421.6342026335701</v>
      </c>
      <c r="AP570" s="533">
        <f t="shared" si="1392"/>
        <v>4001.6297264984255</v>
      </c>
      <c r="AQ570" s="57"/>
      <c r="AR570" s="528"/>
      <c r="AS570" s="533">
        <f t="shared" si="1393"/>
        <v>28020.984765869773</v>
      </c>
      <c r="AT570" s="57"/>
      <c r="AU570" s="243">
        <f t="shared" si="1394"/>
        <v>580.27464850413253</v>
      </c>
      <c r="AV570" s="533">
        <f t="shared" si="1395"/>
        <v>1550.502653231214</v>
      </c>
      <c r="AW570" s="57"/>
      <c r="AX570" s="528"/>
      <c r="AY570" s="533">
        <f t="shared" si="1396"/>
        <v>5129.8794978934957</v>
      </c>
      <c r="AZ570" s="57"/>
      <c r="BA570" s="243">
        <f t="shared" si="1397"/>
        <v>77.740721017266708</v>
      </c>
      <c r="BB570" s="533">
        <f t="shared" si="1398"/>
        <v>209.64064226750895</v>
      </c>
      <c r="BC570" s="57"/>
      <c r="BD570" s="57"/>
      <c r="BE570" s="57"/>
    </row>
    <row r="571" spans="1:57" x14ac:dyDescent="0.3">
      <c r="A571" s="484">
        <f t="shared" si="1376"/>
        <v>0.5</v>
      </c>
      <c r="B571" s="310">
        <f t="shared" si="1376"/>
        <v>0.62</v>
      </c>
      <c r="C571" s="56">
        <f t="shared" si="1337"/>
        <v>976801.35624999995</v>
      </c>
      <c r="D571" s="56">
        <f t="shared" si="1377"/>
        <v>3637.6082506749995</v>
      </c>
      <c r="F571" s="52"/>
      <c r="G571" s="52"/>
      <c r="H571" s="13"/>
      <c r="I571" s="528"/>
      <c r="J571" s="533">
        <f t="shared" si="1378"/>
        <v>147203.88103780773</v>
      </c>
      <c r="K571" s="57"/>
      <c r="L571" s="243">
        <f t="shared" si="1379"/>
        <v>2306.2208442969945</v>
      </c>
      <c r="M571" s="533">
        <f t="shared" si="1380"/>
        <v>8145.3242997032266</v>
      </c>
      <c r="N571" s="57"/>
      <c r="O571" s="528"/>
      <c r="P571" s="533">
        <f t="shared" si="1381"/>
        <v>50079.168063621022</v>
      </c>
      <c r="Q571" s="57"/>
      <c r="R571" s="243">
        <f t="shared" si="1382"/>
        <v>889.40075768961492</v>
      </c>
      <c r="S571" s="533">
        <f t="shared" si="1383"/>
        <v>2771.0618881900709</v>
      </c>
      <c r="T571" s="57"/>
      <c r="U571" s="528"/>
      <c r="V571" s="533">
        <f t="shared" si="1384"/>
        <v>15049.937539082686</v>
      </c>
      <c r="W571" s="57"/>
      <c r="X571" s="243">
        <f t="shared" si="1385"/>
        <v>332.42476841213949</v>
      </c>
      <c r="Y571" s="533">
        <f t="shared" si="1386"/>
        <v>615.03950981202706</v>
      </c>
      <c r="Z571" s="57"/>
      <c r="AA571" s="57"/>
      <c r="AB571" s="57"/>
      <c r="AD571" s="676">
        <f t="shared" ref="AD571:AE571" si="1400">1-AD562</f>
        <v>0.5</v>
      </c>
      <c r="AE571" s="310">
        <f t="shared" si="1400"/>
        <v>0.62</v>
      </c>
      <c r="AF571" s="56">
        <f t="shared" si="1388"/>
        <v>976801.35624999995</v>
      </c>
      <c r="AG571" s="56">
        <f t="shared" si="1389"/>
        <v>3637.6082506749999</v>
      </c>
      <c r="AI571" s="52"/>
      <c r="AJ571" s="52"/>
      <c r="AK571" s="13"/>
      <c r="AL571" s="528"/>
      <c r="AM571" s="533">
        <f t="shared" si="1390"/>
        <v>60265.190652414283</v>
      </c>
      <c r="AN571" s="57"/>
      <c r="AO571" s="243">
        <f t="shared" si="1391"/>
        <v>1184.6951688613085</v>
      </c>
      <c r="AP571" s="533">
        <f t="shared" si="1392"/>
        <v>3334.6914387486881</v>
      </c>
      <c r="AQ571" s="57"/>
      <c r="AR571" s="528"/>
      <c r="AS571" s="533">
        <f t="shared" si="1393"/>
        <v>23350.82063822481</v>
      </c>
      <c r="AT571" s="57"/>
      <c r="AU571" s="243">
        <f t="shared" si="1394"/>
        <v>483.56220708677716</v>
      </c>
      <c r="AV571" s="533">
        <f t="shared" si="1395"/>
        <v>1292.0855443593452</v>
      </c>
      <c r="AW571" s="57"/>
      <c r="AX571" s="528"/>
      <c r="AY571" s="533">
        <f t="shared" si="1396"/>
        <v>4274.8995815779135</v>
      </c>
      <c r="AZ571" s="57"/>
      <c r="BA571" s="243">
        <f t="shared" si="1397"/>
        <v>64.783934181055599</v>
      </c>
      <c r="BB571" s="533">
        <f t="shared" si="1398"/>
        <v>174.70053522292415</v>
      </c>
      <c r="BC571" s="57"/>
      <c r="BD571" s="57"/>
      <c r="BE571" s="57"/>
    </row>
    <row r="572" spans="1:57" x14ac:dyDescent="0.3">
      <c r="A572" s="484">
        <f t="shared" si="1376"/>
        <v>0.4</v>
      </c>
      <c r="B572" s="310">
        <f t="shared" si="1376"/>
        <v>0.62</v>
      </c>
      <c r="C572" s="56">
        <f t="shared" si="1337"/>
        <v>781441.08499999996</v>
      </c>
      <c r="D572" s="56">
        <f t="shared" si="1377"/>
        <v>2910.0866005399998</v>
      </c>
      <c r="F572" s="52"/>
      <c r="G572" s="52"/>
      <c r="H572" s="13"/>
      <c r="I572" s="528"/>
      <c r="J572" s="533">
        <f t="shared" si="1378"/>
        <v>117763.10483024619</v>
      </c>
      <c r="K572" s="57"/>
      <c r="L572" s="243">
        <f t="shared" si="1379"/>
        <v>1844.976675437596</v>
      </c>
      <c r="M572" s="533">
        <f t="shared" si="1380"/>
        <v>6516.2594397625817</v>
      </c>
      <c r="N572" s="57"/>
      <c r="O572" s="528"/>
      <c r="P572" s="533">
        <f t="shared" si="1381"/>
        <v>40063.334450896822</v>
      </c>
      <c r="Q572" s="57"/>
      <c r="R572" s="243">
        <f t="shared" si="1382"/>
        <v>711.52060615169205</v>
      </c>
      <c r="S572" s="533">
        <f t="shared" si="1383"/>
        <v>2216.8495105520569</v>
      </c>
      <c r="T572" s="57"/>
      <c r="U572" s="528"/>
      <c r="V572" s="533">
        <f t="shared" si="1384"/>
        <v>12039.950031266149</v>
      </c>
      <c r="W572" s="57"/>
      <c r="X572" s="243">
        <f t="shared" si="1385"/>
        <v>265.93981472971166</v>
      </c>
      <c r="Y572" s="533">
        <f t="shared" si="1386"/>
        <v>492.03160784962171</v>
      </c>
      <c r="Z572" s="57"/>
      <c r="AA572" s="57"/>
      <c r="AB572" s="57"/>
      <c r="AD572" s="676">
        <f t="shared" ref="AD572:AE572" si="1401">1-AD563</f>
        <v>0.4</v>
      </c>
      <c r="AE572" s="310">
        <f t="shared" si="1401"/>
        <v>0.62</v>
      </c>
      <c r="AF572" s="56">
        <f t="shared" si="1388"/>
        <v>781441.08499999996</v>
      </c>
      <c r="AG572" s="56">
        <f t="shared" si="1389"/>
        <v>2910.0866005399998</v>
      </c>
      <c r="AI572" s="52"/>
      <c r="AJ572" s="52"/>
      <c r="AK572" s="13"/>
      <c r="AL572" s="528"/>
      <c r="AM572" s="533">
        <f t="shared" si="1390"/>
        <v>48212.152521931421</v>
      </c>
      <c r="AN572" s="57"/>
      <c r="AO572" s="243">
        <f t="shared" si="1391"/>
        <v>947.75613508904689</v>
      </c>
      <c r="AP572" s="533">
        <f t="shared" si="1392"/>
        <v>2667.7531509989503</v>
      </c>
      <c r="AQ572" s="57"/>
      <c r="AR572" s="528"/>
      <c r="AS572" s="533">
        <f t="shared" si="1393"/>
        <v>18680.656510579847</v>
      </c>
      <c r="AT572" s="57"/>
      <c r="AU572" s="243">
        <f t="shared" si="1394"/>
        <v>386.84976566942174</v>
      </c>
      <c r="AV572" s="533">
        <f t="shared" si="1395"/>
        <v>1033.6684354874762</v>
      </c>
      <c r="AW572" s="57"/>
      <c r="AX572" s="528"/>
      <c r="AY572" s="533">
        <f t="shared" si="1396"/>
        <v>3419.9196652623305</v>
      </c>
      <c r="AZ572" s="57"/>
      <c r="BA572" s="243">
        <f t="shared" si="1397"/>
        <v>51.827147344844484</v>
      </c>
      <c r="BB572" s="533">
        <f t="shared" si="1398"/>
        <v>139.76042817833931</v>
      </c>
      <c r="BC572" s="57"/>
      <c r="BD572" s="57"/>
      <c r="BE572" s="57"/>
    </row>
    <row r="573" spans="1:57" x14ac:dyDescent="0.3">
      <c r="A573" s="484">
        <f t="shared" si="1376"/>
        <v>0.30000000000000004</v>
      </c>
      <c r="B573" s="310">
        <f t="shared" si="1376"/>
        <v>0.62</v>
      </c>
      <c r="C573" s="56">
        <f t="shared" si="1337"/>
        <v>586080.81375000009</v>
      </c>
      <c r="D573" s="56">
        <f t="shared" si="1377"/>
        <v>2182.5649504050002</v>
      </c>
      <c r="F573" s="52"/>
      <c r="G573" s="52"/>
      <c r="H573" s="13"/>
      <c r="I573" s="528"/>
      <c r="J573" s="533">
        <f t="shared" si="1378"/>
        <v>88322.328622684654</v>
      </c>
      <c r="K573" s="57"/>
      <c r="L573" s="243">
        <f t="shared" si="1379"/>
        <v>1383.732506578197</v>
      </c>
      <c r="M573" s="533">
        <f t="shared" si="1380"/>
        <v>4887.1945798219376</v>
      </c>
      <c r="N573" s="57"/>
      <c r="O573" s="528"/>
      <c r="P573" s="533">
        <f t="shared" si="1381"/>
        <v>30047.500838172622</v>
      </c>
      <c r="Q573" s="57"/>
      <c r="R573" s="243">
        <f t="shared" si="1382"/>
        <v>533.64045461376907</v>
      </c>
      <c r="S573" s="533">
        <f t="shared" si="1383"/>
        <v>1662.6371329140429</v>
      </c>
      <c r="T573" s="57"/>
      <c r="U573" s="528"/>
      <c r="V573" s="533">
        <f t="shared" si="1384"/>
        <v>9029.9625234496143</v>
      </c>
      <c r="W573" s="57"/>
      <c r="X573" s="243">
        <f t="shared" si="1385"/>
        <v>199.45486104728374</v>
      </c>
      <c r="Y573" s="533">
        <f t="shared" si="1386"/>
        <v>369.02370588721635</v>
      </c>
      <c r="Z573" s="57"/>
      <c r="AA573" s="57"/>
      <c r="AB573" s="57"/>
      <c r="AD573" s="676">
        <f t="shared" ref="AD573:AE573" si="1402">1-AD564</f>
        <v>0.30000000000000004</v>
      </c>
      <c r="AE573" s="310">
        <f t="shared" si="1402"/>
        <v>0.62</v>
      </c>
      <c r="AF573" s="56">
        <f t="shared" si="1388"/>
        <v>586080.81375000009</v>
      </c>
      <c r="AG573" s="56">
        <f t="shared" si="1389"/>
        <v>2182.5649504050002</v>
      </c>
      <c r="AI573" s="52"/>
      <c r="AJ573" s="52"/>
      <c r="AK573" s="13"/>
      <c r="AL573" s="528"/>
      <c r="AM573" s="533">
        <f t="shared" si="1390"/>
        <v>36159.114391448573</v>
      </c>
      <c r="AN573" s="57"/>
      <c r="AO573" s="243">
        <f t="shared" si="1391"/>
        <v>710.81710131678517</v>
      </c>
      <c r="AP573" s="533">
        <f t="shared" si="1392"/>
        <v>2000.8148632492132</v>
      </c>
      <c r="AQ573" s="57"/>
      <c r="AR573" s="528"/>
      <c r="AS573" s="533">
        <f t="shared" si="1393"/>
        <v>14010.49238293489</v>
      </c>
      <c r="AT573" s="57"/>
      <c r="AU573" s="243">
        <f t="shared" si="1394"/>
        <v>290.13732425206632</v>
      </c>
      <c r="AV573" s="533">
        <f t="shared" si="1395"/>
        <v>775.25132661560724</v>
      </c>
      <c r="AW573" s="57"/>
      <c r="AX573" s="528"/>
      <c r="AY573" s="533">
        <f t="shared" si="1396"/>
        <v>2564.9397489467483</v>
      </c>
      <c r="AZ573" s="57"/>
      <c r="BA573" s="243">
        <f t="shared" si="1397"/>
        <v>38.870360508633368</v>
      </c>
      <c r="BB573" s="533">
        <f t="shared" si="1398"/>
        <v>104.82032113375449</v>
      </c>
      <c r="BC573" s="57"/>
      <c r="BD573" s="57"/>
      <c r="BE573" s="57"/>
    </row>
    <row r="574" spans="1:57" x14ac:dyDescent="0.3">
      <c r="A574" s="484">
        <f t="shared" si="1376"/>
        <v>0.20000000000000007</v>
      </c>
      <c r="B574" s="310">
        <f t="shared" si="1376"/>
        <v>0.62</v>
      </c>
      <c r="C574" s="56">
        <f t="shared" si="1337"/>
        <v>390720.5425000001</v>
      </c>
      <c r="D574" s="56">
        <f t="shared" si="1377"/>
        <v>1455.0433002700004</v>
      </c>
      <c r="F574" s="52"/>
      <c r="G574" s="52"/>
      <c r="H574" s="13"/>
      <c r="I574" s="528"/>
      <c r="J574" s="533">
        <f t="shared" si="1378"/>
        <v>58881.552415123115</v>
      </c>
      <c r="K574" s="57"/>
      <c r="L574" s="243">
        <f t="shared" si="1379"/>
        <v>922.48833771879822</v>
      </c>
      <c r="M574" s="533">
        <f t="shared" si="1380"/>
        <v>3258.1297198812917</v>
      </c>
      <c r="N574" s="57"/>
      <c r="O574" s="528"/>
      <c r="P574" s="533">
        <f t="shared" si="1381"/>
        <v>20031.667225448415</v>
      </c>
      <c r="Q574" s="57"/>
      <c r="R574" s="243">
        <f t="shared" si="1382"/>
        <v>355.76030307584614</v>
      </c>
      <c r="S574" s="533">
        <f t="shared" si="1383"/>
        <v>1108.4247552760289</v>
      </c>
      <c r="T574" s="57"/>
      <c r="U574" s="528"/>
      <c r="V574" s="533">
        <f t="shared" si="1384"/>
        <v>6019.9750156330765</v>
      </c>
      <c r="W574" s="57"/>
      <c r="X574" s="243">
        <f t="shared" si="1385"/>
        <v>132.96990736485586</v>
      </c>
      <c r="Y574" s="533">
        <f t="shared" si="1386"/>
        <v>246.01580392481094</v>
      </c>
      <c r="Z574" s="57"/>
      <c r="AA574" s="57"/>
      <c r="AB574" s="57"/>
      <c r="AD574" s="676">
        <f t="shared" ref="AD574:AE574" si="1403">1-AD565</f>
        <v>0.20000000000000007</v>
      </c>
      <c r="AE574" s="310">
        <f t="shared" si="1403"/>
        <v>0.62</v>
      </c>
      <c r="AF574" s="56">
        <f t="shared" si="1388"/>
        <v>390720.5425000001</v>
      </c>
      <c r="AG574" s="56">
        <f t="shared" si="1389"/>
        <v>1455.0433002700004</v>
      </c>
      <c r="AI574" s="52"/>
      <c r="AJ574" s="52"/>
      <c r="AK574" s="13"/>
      <c r="AL574" s="528"/>
      <c r="AM574" s="533">
        <f t="shared" si="1390"/>
        <v>24106.076260965718</v>
      </c>
      <c r="AN574" s="57"/>
      <c r="AO574" s="243">
        <f t="shared" si="1391"/>
        <v>473.87806754452356</v>
      </c>
      <c r="AP574" s="533">
        <f t="shared" si="1392"/>
        <v>1333.8765754994756</v>
      </c>
      <c r="AQ574" s="57"/>
      <c r="AR574" s="528"/>
      <c r="AS574" s="533">
        <f t="shared" si="1393"/>
        <v>9340.3282552899273</v>
      </c>
      <c r="AT574" s="57"/>
      <c r="AU574" s="243">
        <f t="shared" si="1394"/>
        <v>193.42488283471093</v>
      </c>
      <c r="AV574" s="533">
        <f t="shared" si="1395"/>
        <v>516.83421774373824</v>
      </c>
      <c r="AW574" s="57"/>
      <c r="AX574" s="528"/>
      <c r="AY574" s="533">
        <f t="shared" si="1396"/>
        <v>1709.9598326311657</v>
      </c>
      <c r="AZ574" s="57"/>
      <c r="BA574" s="243">
        <f t="shared" si="1397"/>
        <v>25.913573672422249</v>
      </c>
      <c r="BB574" s="533">
        <f t="shared" si="1398"/>
        <v>69.880214089169669</v>
      </c>
      <c r="BC574" s="57"/>
      <c r="BD574" s="57"/>
      <c r="BE574" s="57"/>
    </row>
    <row r="575" spans="1:57" x14ac:dyDescent="0.3">
      <c r="F575" s="13"/>
      <c r="G575" s="13"/>
      <c r="H575" s="13"/>
      <c r="I575" s="57"/>
      <c r="J575" s="57"/>
      <c r="K575" s="57"/>
      <c r="L575" s="57"/>
      <c r="M575" s="57"/>
      <c r="N575" s="57"/>
      <c r="O575" s="57"/>
      <c r="P575" s="57"/>
      <c r="Q575" s="57"/>
      <c r="R575" s="57"/>
      <c r="S575" s="57"/>
      <c r="T575" s="57"/>
      <c r="U575" s="57"/>
      <c r="V575" s="57"/>
      <c r="W575" s="57"/>
      <c r="X575" s="57"/>
      <c r="Y575" s="57"/>
      <c r="Z575" s="57"/>
      <c r="AA575" s="57"/>
      <c r="AB575" s="57"/>
      <c r="AI575" s="13"/>
      <c r="AJ575" s="13"/>
      <c r="AK575" s="13"/>
      <c r="AL575" s="57"/>
      <c r="AM575" s="57"/>
      <c r="AN575" s="57"/>
      <c r="AO575" s="57"/>
      <c r="AP575" s="57"/>
      <c r="AQ575" s="57"/>
      <c r="AR575" s="57"/>
      <c r="AS575" s="57"/>
      <c r="AT575" s="57"/>
      <c r="AU575" s="57"/>
      <c r="AV575" s="57"/>
      <c r="AW575" s="57"/>
      <c r="AX575" s="57"/>
      <c r="AY575" s="57"/>
      <c r="AZ575" s="57"/>
      <c r="BA575" s="57"/>
      <c r="BB575" s="57"/>
      <c r="BC575" s="57"/>
      <c r="BD575" s="57"/>
      <c r="BE575" s="57"/>
    </row>
    <row r="576" spans="1:57" x14ac:dyDescent="0.3">
      <c r="I576" s="57"/>
      <c r="J576" s="57"/>
      <c r="K576" s="57"/>
      <c r="L576" s="57"/>
      <c r="M576" s="57"/>
      <c r="N576" s="57"/>
      <c r="O576" s="57"/>
      <c r="P576" s="57"/>
      <c r="Q576" s="57"/>
      <c r="R576" s="57"/>
      <c r="S576" s="57"/>
      <c r="T576" s="57"/>
      <c r="U576" s="57"/>
      <c r="V576" s="57"/>
      <c r="W576" s="57"/>
      <c r="X576" s="57"/>
      <c r="Y576" s="57"/>
      <c r="Z576" s="57"/>
      <c r="AA576" s="57"/>
      <c r="AB576" s="57"/>
      <c r="AL576" s="57"/>
      <c r="AM576" s="57"/>
      <c r="AN576" s="57"/>
      <c r="AO576" s="57"/>
      <c r="AP576" s="57"/>
      <c r="AQ576" s="57"/>
      <c r="AR576" s="57"/>
      <c r="AS576" s="57"/>
      <c r="AT576" s="57"/>
      <c r="AU576" s="57"/>
      <c r="AV576" s="57"/>
      <c r="AW576" s="57"/>
      <c r="AX576" s="57"/>
      <c r="AY576" s="57"/>
      <c r="AZ576" s="57"/>
      <c r="BA576" s="57"/>
      <c r="BB576" s="57"/>
      <c r="BC576" s="57"/>
      <c r="BD576" s="57"/>
      <c r="BE576" s="57"/>
    </row>
    <row r="577" spans="1:57" ht="15.75" customHeight="1" thickBot="1" x14ac:dyDescent="0.35">
      <c r="I577" s="1112" t="s">
        <v>205</v>
      </c>
      <c r="J577" s="1112"/>
      <c r="K577" s="1112"/>
      <c r="L577" s="1112"/>
      <c r="M577" s="1112"/>
      <c r="N577" s="57"/>
      <c r="O577" s="1112" t="s">
        <v>207</v>
      </c>
      <c r="P577" s="1112"/>
      <c r="Q577" s="1112"/>
      <c r="R577" s="1112"/>
      <c r="S577" s="1112"/>
      <c r="T577" s="57"/>
      <c r="U577" s="1112" t="s">
        <v>209</v>
      </c>
      <c r="V577" s="1112"/>
      <c r="W577" s="1112"/>
      <c r="X577" s="1112"/>
      <c r="Y577" s="1112"/>
      <c r="Z577" s="57"/>
      <c r="AA577" s="57"/>
      <c r="AB577" s="57"/>
      <c r="AL577" s="1112" t="s">
        <v>205</v>
      </c>
      <c r="AM577" s="1112"/>
      <c r="AN577" s="1112"/>
      <c r="AO577" s="1112"/>
      <c r="AP577" s="1112"/>
      <c r="AQ577" s="57"/>
      <c r="AR577" s="1112" t="s">
        <v>207</v>
      </c>
      <c r="AS577" s="1112"/>
      <c r="AT577" s="1112"/>
      <c r="AU577" s="1112"/>
      <c r="AV577" s="1112"/>
      <c r="AW577" s="57"/>
      <c r="AX577" s="1112" t="s">
        <v>209</v>
      </c>
      <c r="AY577" s="1112"/>
      <c r="AZ577" s="1112"/>
      <c r="BA577" s="1112"/>
      <c r="BB577" s="1112"/>
      <c r="BC577" s="57"/>
      <c r="BD577" s="57"/>
      <c r="BE577" s="57"/>
    </row>
    <row r="578" spans="1:57" ht="15" customHeight="1" x14ac:dyDescent="0.3">
      <c r="A578" s="381" t="s">
        <v>211</v>
      </c>
      <c r="B578" s="124"/>
      <c r="C578" s="124"/>
      <c r="D578" s="124"/>
      <c r="E578" s="124"/>
      <c r="F578" s="124"/>
      <c r="G578" s="125"/>
      <c r="I578" s="1098" t="s">
        <v>200</v>
      </c>
      <c r="J578" s="1098"/>
      <c r="K578" s="526"/>
      <c r="L578" s="1098" t="s">
        <v>199</v>
      </c>
      <c r="M578" s="1098"/>
      <c r="N578" s="57"/>
      <c r="O578" s="1098" t="s">
        <v>200</v>
      </c>
      <c r="P578" s="1098"/>
      <c r="Q578" s="526"/>
      <c r="R578" s="1098" t="s">
        <v>199</v>
      </c>
      <c r="S578" s="1098"/>
      <c r="T578" s="57"/>
      <c r="U578" s="1098" t="s">
        <v>200</v>
      </c>
      <c r="V578" s="1098"/>
      <c r="W578" s="526"/>
      <c r="X578" s="1098" t="s">
        <v>199</v>
      </c>
      <c r="Y578" s="1098"/>
      <c r="Z578" s="57"/>
      <c r="AA578" s="57"/>
      <c r="AB578" s="57"/>
      <c r="AD578" s="381" t="s">
        <v>211</v>
      </c>
      <c r="AE578" s="124"/>
      <c r="AF578" s="124"/>
      <c r="AG578" s="124"/>
      <c r="AH578" s="124"/>
      <c r="AI578" s="124"/>
      <c r="AJ578" s="125"/>
      <c r="AL578" s="1098" t="s">
        <v>200</v>
      </c>
      <c r="AM578" s="1098"/>
      <c r="AN578" s="680"/>
      <c r="AO578" s="1098" t="s">
        <v>199</v>
      </c>
      <c r="AP578" s="1098"/>
      <c r="AQ578" s="57"/>
      <c r="AR578" s="1098" t="s">
        <v>200</v>
      </c>
      <c r="AS578" s="1098"/>
      <c r="AT578" s="680"/>
      <c r="AU578" s="1098" t="s">
        <v>199</v>
      </c>
      <c r="AV578" s="1098"/>
      <c r="AW578" s="57"/>
      <c r="AX578" s="1098" t="s">
        <v>200</v>
      </c>
      <c r="AY578" s="1098"/>
      <c r="AZ578" s="680"/>
      <c r="BA578" s="1098" t="s">
        <v>199</v>
      </c>
      <c r="BB578" s="1098"/>
      <c r="BC578" s="57"/>
      <c r="BD578" s="57"/>
      <c r="BE578" s="57"/>
    </row>
    <row r="579" spans="1:57" x14ac:dyDescent="0.3">
      <c r="A579" s="126"/>
      <c r="B579" s="1099" t="s">
        <v>501</v>
      </c>
      <c r="C579" s="1100"/>
      <c r="D579" s="1101"/>
      <c r="E579" s="1099" t="s">
        <v>502</v>
      </c>
      <c r="F579" s="1100"/>
      <c r="G579" s="1102"/>
      <c r="I579" s="527" t="s">
        <v>202</v>
      </c>
      <c r="J579" s="57" t="s">
        <v>203</v>
      </c>
      <c r="K579" s="57"/>
      <c r="L579" s="527" t="s">
        <v>202</v>
      </c>
      <c r="M579" s="57" t="s">
        <v>203</v>
      </c>
      <c r="N579" s="57"/>
      <c r="O579" s="527" t="s">
        <v>202</v>
      </c>
      <c r="P579" s="57" t="s">
        <v>203</v>
      </c>
      <c r="Q579" s="57"/>
      <c r="R579" s="527" t="s">
        <v>202</v>
      </c>
      <c r="S579" s="57" t="s">
        <v>203</v>
      </c>
      <c r="T579" s="57"/>
      <c r="U579" s="527" t="s">
        <v>202</v>
      </c>
      <c r="V579" s="57" t="s">
        <v>203</v>
      </c>
      <c r="W579" s="57"/>
      <c r="X579" s="527" t="s">
        <v>202</v>
      </c>
      <c r="Y579" s="57" t="s">
        <v>203</v>
      </c>
      <c r="Z579" s="57"/>
      <c r="AA579" s="57"/>
      <c r="AB579" s="57"/>
      <c r="AD579" s="126"/>
      <c r="AE579" s="1099" t="s">
        <v>501</v>
      </c>
      <c r="AF579" s="1100"/>
      <c r="AG579" s="1101"/>
      <c r="AH579" s="1099" t="s">
        <v>502</v>
      </c>
      <c r="AI579" s="1100"/>
      <c r="AJ579" s="1102"/>
      <c r="AL579" s="527" t="s">
        <v>202</v>
      </c>
      <c r="AM579" s="57" t="s">
        <v>203</v>
      </c>
      <c r="AN579" s="57"/>
      <c r="AO579" s="527" t="s">
        <v>202</v>
      </c>
      <c r="AP579" s="57" t="s">
        <v>203</v>
      </c>
      <c r="AQ579" s="57"/>
      <c r="AR579" s="527" t="s">
        <v>202</v>
      </c>
      <c r="AS579" s="57" t="s">
        <v>203</v>
      </c>
      <c r="AT579" s="57"/>
      <c r="AU579" s="527" t="s">
        <v>202</v>
      </c>
      <c r="AV579" s="57" t="s">
        <v>203</v>
      </c>
      <c r="AW579" s="57"/>
      <c r="AX579" s="527" t="s">
        <v>202</v>
      </c>
      <c r="AY579" s="57" t="s">
        <v>203</v>
      </c>
      <c r="AZ579" s="57"/>
      <c r="BA579" s="527" t="s">
        <v>202</v>
      </c>
      <c r="BB579" s="57" t="s">
        <v>203</v>
      </c>
      <c r="BC579" s="57"/>
      <c r="BD579" s="57"/>
      <c r="BE579" s="57"/>
    </row>
    <row r="580" spans="1:57" x14ac:dyDescent="0.3">
      <c r="A580" s="126"/>
      <c r="B580" s="1046" t="s">
        <v>500</v>
      </c>
      <c r="C580" s="1047"/>
      <c r="D580" s="1048"/>
      <c r="E580" s="1046" t="s">
        <v>503</v>
      </c>
      <c r="F580" s="1047"/>
      <c r="G580" s="1103"/>
      <c r="I580" s="533">
        <f t="shared" ref="I580" si="1404">(C559*$L$25*$N$399*$X$35)+(C559*$L$25*$X$19)+(C559*$L$43*$T$44)</f>
        <v>29215.289808477817</v>
      </c>
      <c r="J580" s="243">
        <f>($C559*$N$385*$L$25*$Z$8)</f>
        <v>18020.415141347294</v>
      </c>
      <c r="K580" s="57"/>
      <c r="L580" s="533">
        <f t="shared" ref="L580" si="1405">(D559*$R$75*$X$73)+(D559*$X$74)</f>
        <v>7103.8400308460805</v>
      </c>
      <c r="M580" s="243">
        <f>($D559*$R$431*$Y$62)</f>
        <v>6515.6562660495601</v>
      </c>
      <c r="N580" s="57"/>
      <c r="O580" s="533">
        <f t="shared" ref="O580" si="1406">(C559*$L$25*$N$399*$X$38)+(C559*$L$25*$X$22)+(C559*$L$43*$T$47)</f>
        <v>10917.3318071268</v>
      </c>
      <c r="P580" s="243">
        <f>($C559*$N$385*$L$25*$Z$11)</f>
        <v>5444.2065693301129</v>
      </c>
      <c r="Q580" s="57"/>
      <c r="R580" s="533">
        <f t="shared" ref="R580" si="1407">(D559*$R$75*$X$76)+(D559*$X$77)</f>
        <v>2392.0577815485312</v>
      </c>
      <c r="S580" s="243">
        <f>($D559*$R$431*$Y$65)</f>
        <v>2400.7683041899477</v>
      </c>
      <c r="T580" s="57"/>
      <c r="U580" s="533">
        <f t="shared" ref="U580" si="1408">(C559*$L$25*$N$399*$X$41)+(C559*$L$25*$X$25)+(C559*$L$43*$T$50)</f>
        <v>1518.3481273283242</v>
      </c>
      <c r="V580" s="243">
        <f>($C559*$N$385*$L$25*$Z$14)</f>
        <v>3151.2495225778816</v>
      </c>
      <c r="W580" s="57"/>
      <c r="X580" s="533">
        <f t="shared" ref="X580" si="1409">(D559*$R$75*$X$79)+(D559*$X$80)</f>
        <v>712.43464991321548</v>
      </c>
      <c r="Y580" s="243">
        <f>($D559*$R$431*$Y$68)</f>
        <v>588.29557521622473</v>
      </c>
      <c r="Z580" s="57"/>
      <c r="AA580" s="57"/>
      <c r="AB580" s="57"/>
      <c r="AD580" s="126"/>
      <c r="AE580" s="1046" t="s">
        <v>500</v>
      </c>
      <c r="AF580" s="1047"/>
      <c r="AG580" s="1048"/>
      <c r="AH580" s="1046" t="s">
        <v>503</v>
      </c>
      <c r="AI580" s="1047"/>
      <c r="AJ580" s="1103"/>
      <c r="AL580" s="533">
        <f>(AF559*$AO$25*$AQ$399*$BA$35)+(AF559*$AO$25*$BA$19)+(AF559*$AO$43*$AW$44)</f>
        <v>14267.143658438539</v>
      </c>
      <c r="AM580" s="243">
        <f>($AF559*$AQ$385*$AO$25*$BC$8)</f>
        <v>4019.0963126569068</v>
      </c>
      <c r="AN580" s="57"/>
      <c r="AO580" s="533">
        <f>(AG559*$AU$75*$BA$73)+(AG559*$BA$74)</f>
        <v>2391.0542262829099</v>
      </c>
      <c r="AP580" s="243">
        <f>($AG559*$AU$431*$BB$62)</f>
        <v>3368.9533637807726</v>
      </c>
      <c r="AQ580" s="57"/>
      <c r="AR580" s="533">
        <f>(AF559*$AO$25*$AQ$399*$BA$38)+(AF559*$AO$25*$BA$22)+(AF559*$AO$43*$AW$47)</f>
        <v>5757.4123655316789</v>
      </c>
      <c r="AS580" s="243">
        <f>($AF559*$AQ$385*$AO$25*$BC$11)</f>
        <v>1650.4270437975249</v>
      </c>
      <c r="AT580" s="57"/>
      <c r="AU580" s="533">
        <f>(AG559*$AU$75*$BA$76)+(AG559*$BA$77)</f>
        <v>977.05429666547911</v>
      </c>
      <c r="AV580" s="243">
        <f>($AG559*$AU$431*$BB$65)</f>
        <v>1304.6400200308428</v>
      </c>
      <c r="AW580" s="57"/>
      <c r="AX580" s="533">
        <f>(AF559*$AO$25*$AQ$399*$BA$41)+(AF559*$AO$25*$BA$25)+(AF559*$AO$43*$AW$50)</f>
        <v>457.05335214851539</v>
      </c>
      <c r="AY580" s="243">
        <f>($AF559*$AQ$385*$AO$25*$BC$14)</f>
        <v>409.87400133383608</v>
      </c>
      <c r="AZ580" s="57"/>
      <c r="BA580" s="533">
        <f>(AG559*$AU$75*$BA$79)+(AG559*$BA$80)</f>
        <v>129.86217178776698</v>
      </c>
      <c r="BB580" s="243">
        <f>($AG559*$AU$431*$BB$68)</f>
        <v>176.22624937551521</v>
      </c>
      <c r="BC580" s="57"/>
      <c r="BD580" s="57"/>
      <c r="BE580" s="57"/>
    </row>
    <row r="581" spans="1:57" x14ac:dyDescent="0.3">
      <c r="A581" s="376" t="s">
        <v>201</v>
      </c>
      <c r="B581" s="371" t="s">
        <v>6</v>
      </c>
      <c r="C581" s="486" t="s">
        <v>7</v>
      </c>
      <c r="D581" s="487" t="s">
        <v>210</v>
      </c>
      <c r="E581" s="371" t="s">
        <v>6</v>
      </c>
      <c r="F581" s="486" t="s">
        <v>7</v>
      </c>
      <c r="G581" s="377" t="s">
        <v>210</v>
      </c>
      <c r="I581" s="533">
        <f t="shared" ref="I581:I586" si="1410">(C560*$L$25*$N$399*$X$35)+(C560*$L$25*$X$19)+(C560*$L$43*$T$44)</f>
        <v>43822.934712716742</v>
      </c>
      <c r="J581" s="243">
        <f t="shared" ref="J581:J586" si="1411">($C560*$N$385*$L$25*$Z$8)</f>
        <v>27030.622712020941</v>
      </c>
      <c r="K581" s="57"/>
      <c r="L581" s="533">
        <f t="shared" ref="L581:L586" si="1412">(D560*$R$75*$X$73)+(D560*$X$74)</f>
        <v>7103.8400308460805</v>
      </c>
      <c r="M581" s="243">
        <f t="shared" ref="M581:M586" si="1413">($D560*$R$431*$Y$62)</f>
        <v>6515.6562660495601</v>
      </c>
      <c r="N581" s="57"/>
      <c r="O581" s="533">
        <f t="shared" ref="O581:O586" si="1414">(C560*$L$25*$N$399*$X$38)+(C560*$L$25*$X$22)+(C560*$L$43*$T$47)</f>
        <v>16375.997710690206</v>
      </c>
      <c r="P581" s="243">
        <f t="shared" ref="P581:P586" si="1415">($C560*$N$385*$L$25*$Z$11)</f>
        <v>8166.3098539951707</v>
      </c>
      <c r="Q581" s="57"/>
      <c r="R581" s="533">
        <f t="shared" ref="R581:R586" si="1416">(D560*$R$75*$X$76)+(D560*$X$77)</f>
        <v>2392.0577815485312</v>
      </c>
      <c r="S581" s="243">
        <f t="shared" ref="S581:S586" si="1417">($D560*$R$431*$Y$65)</f>
        <v>2400.7683041899477</v>
      </c>
      <c r="T581" s="57"/>
      <c r="U581" s="533">
        <f t="shared" ref="U581:U586" si="1418">(C560*$L$25*$N$399*$X$41)+(C560*$L$25*$X$25)+(C560*$L$43*$T$50)</f>
        <v>2277.5221909924862</v>
      </c>
      <c r="V581" s="243">
        <f t="shared" ref="V581:V586" si="1419">($C560*$N$385*$L$25*$Z$14)</f>
        <v>4726.8742838668231</v>
      </c>
      <c r="W581" s="57"/>
      <c r="X581" s="533">
        <f t="shared" ref="X581:X586" si="1420">(D560*$R$75*$X$79)+(D560*$X$80)</f>
        <v>712.43464991321548</v>
      </c>
      <c r="Y581" s="243">
        <f t="shared" ref="Y581:Y586" si="1421">($D560*$R$431*$Y$68)</f>
        <v>588.29557521622473</v>
      </c>
      <c r="Z581" s="57"/>
      <c r="AA581" s="57"/>
      <c r="AB581" s="57"/>
      <c r="AD581" s="376" t="s">
        <v>201</v>
      </c>
      <c r="AE581" s="371" t="s">
        <v>6</v>
      </c>
      <c r="AF581" s="681" t="s">
        <v>7</v>
      </c>
      <c r="AG581" s="683" t="s">
        <v>210</v>
      </c>
      <c r="AH581" s="371" t="s">
        <v>6</v>
      </c>
      <c r="AI581" s="681" t="s">
        <v>7</v>
      </c>
      <c r="AJ581" s="377" t="s">
        <v>210</v>
      </c>
      <c r="AL581" s="533">
        <f t="shared" ref="AL581:AL586" si="1422">(AF560*$AO$25*$AQ$399*$BA$35)+(AF560*$AO$25*$BA$19)+(AF560*$AO$43*$AW$44)</f>
        <v>21400.715487657813</v>
      </c>
      <c r="AM581" s="243">
        <f t="shared" ref="AM581:AM586" si="1423">($AF560*$AQ$385*$AO$25*$BC$8)</f>
        <v>6028.6444689853606</v>
      </c>
      <c r="AN581" s="57"/>
      <c r="AO581" s="533">
        <f t="shared" ref="AO581:AO586" si="1424">(AG560*$AU$75*$BA$73)+(AG560*$BA$74)</f>
        <v>2391.0542262829099</v>
      </c>
      <c r="AP581" s="243">
        <f t="shared" ref="AP581:AP586" si="1425">($AG560*$AU$431*$BB$62)</f>
        <v>3368.9533637807726</v>
      </c>
      <c r="AQ581" s="57"/>
      <c r="AR581" s="533">
        <f t="shared" ref="AR581:AR586" si="1426">(AF560*$AO$25*$AQ$399*$BA$38)+(AF560*$AO$25*$BA$22)+(AF560*$AO$43*$AW$47)</f>
        <v>8636.1185482975197</v>
      </c>
      <c r="AS581" s="243">
        <f t="shared" ref="AS581:AS586" si="1427">($AF560*$AQ$385*$AO$25*$BC$11)</f>
        <v>2475.6405656962879</v>
      </c>
      <c r="AT581" s="57"/>
      <c r="AU581" s="533">
        <f t="shared" ref="AU581:AU586" si="1428">(AG560*$AU$75*$BA$76)+(AG560*$BA$77)</f>
        <v>977.05429666547911</v>
      </c>
      <c r="AV581" s="243">
        <f t="shared" ref="AV581:AV586" si="1429">($AG560*$AU$431*$BB$65)</f>
        <v>1304.6400200308428</v>
      </c>
      <c r="AW581" s="57"/>
      <c r="AX581" s="533">
        <f t="shared" ref="AX581:AX586" si="1430">(AF560*$AO$25*$AQ$399*$BA$41)+(AF560*$AO$25*$BA$25)+(AF560*$AO$43*$AW$50)</f>
        <v>685.58002822277331</v>
      </c>
      <c r="AY581" s="243">
        <f t="shared" ref="AY581:AY586" si="1431">($AF560*$AQ$385*$AO$25*$BC$14)</f>
        <v>614.81100200075423</v>
      </c>
      <c r="AZ581" s="57"/>
      <c r="BA581" s="533">
        <f t="shared" ref="BA581:BA586" si="1432">(AG560*$AU$75*$BA$79)+(AG560*$BA$80)</f>
        <v>129.86217178776698</v>
      </c>
      <c r="BB581" s="243">
        <f t="shared" ref="BB581:BB586" si="1433">($AG560*$AU$431*$BB$68)</f>
        <v>176.22624937551521</v>
      </c>
      <c r="BC581" s="57"/>
      <c r="BD581" s="57"/>
      <c r="BE581" s="57"/>
    </row>
    <row r="582" spans="1:57" x14ac:dyDescent="0.3">
      <c r="A582" s="378">
        <v>0.2</v>
      </c>
      <c r="B582" s="372">
        <f>SUM(I559,L559,L568,AE582)</f>
        <v>26150.295859327362</v>
      </c>
      <c r="C582" s="301">
        <f>SUM(O559,R559,R568,AF582)</f>
        <v>9528.7767914506621</v>
      </c>
      <c r="D582" s="373">
        <f>SUM(U559,X559,X568,AG582)</f>
        <v>3258.528609825119</v>
      </c>
      <c r="E582" s="372">
        <f>SUM(J580,M580,M589,AH582)</f>
        <v>39754.313448200934</v>
      </c>
      <c r="F582" s="301">
        <f>SUM(P580,S580,S589,AI582)</f>
        <v>13735.318195463169</v>
      </c>
      <c r="G582" s="379">
        <f>SUM(V580,Y580,Y589,AJ582)</f>
        <v>4931.2689570720504</v>
      </c>
      <c r="I582" s="533">
        <f t="shared" si="1410"/>
        <v>58430.579616955634</v>
      </c>
      <c r="J582" s="243">
        <f t="shared" si="1411"/>
        <v>36040.830282694587</v>
      </c>
      <c r="K582" s="57"/>
      <c r="L582" s="533">
        <f t="shared" si="1412"/>
        <v>7103.8400308460805</v>
      </c>
      <c r="M582" s="243">
        <f t="shared" si="1413"/>
        <v>6515.6562660495601</v>
      </c>
      <c r="N582" s="57"/>
      <c r="O582" s="533">
        <f t="shared" si="1414"/>
        <v>21834.663614253601</v>
      </c>
      <c r="P582" s="243">
        <f t="shared" si="1415"/>
        <v>10888.413138660226</v>
      </c>
      <c r="Q582" s="57"/>
      <c r="R582" s="533">
        <f t="shared" si="1416"/>
        <v>2392.0577815485312</v>
      </c>
      <c r="S582" s="243">
        <f t="shared" si="1417"/>
        <v>2400.7683041899477</v>
      </c>
      <c r="T582" s="57"/>
      <c r="U582" s="533">
        <f t="shared" si="1418"/>
        <v>3036.6962546566483</v>
      </c>
      <c r="V582" s="243">
        <f t="shared" si="1419"/>
        <v>6302.4990451557633</v>
      </c>
      <c r="W582" s="57"/>
      <c r="X582" s="533">
        <f t="shared" si="1420"/>
        <v>712.43464991321548</v>
      </c>
      <c r="Y582" s="243">
        <f t="shared" si="1421"/>
        <v>588.29557521622473</v>
      </c>
      <c r="Z582" s="57"/>
      <c r="AA582" s="57"/>
      <c r="AB582" s="57"/>
      <c r="AD582" s="378">
        <v>0.2</v>
      </c>
      <c r="AE582" s="372">
        <f>SUM(AL559,AO559,AO568)</f>
        <v>6739.8617696405245</v>
      </c>
      <c r="AF582" s="301">
        <f>SUM(AR559,AU559,AU568)</f>
        <v>2811.1232491180926</v>
      </c>
      <c r="AG582" s="373">
        <f>SUM(AX559,BA559,BA568)</f>
        <v>399.55874965204225</v>
      </c>
      <c r="AH582" s="372">
        <f>SUM(AM580,AP580,AP589)</f>
        <v>10056.799773090257</v>
      </c>
      <c r="AI582" s="301">
        <f>SUM(AS580,AV580,AV589)</f>
        <v>3988.5507020960004</v>
      </c>
      <c r="AJ582" s="379">
        <f>SUM(AY580,BB580,BB589)</f>
        <v>725.69963641465938</v>
      </c>
      <c r="AL582" s="533">
        <f t="shared" si="1422"/>
        <v>28534.287316877078</v>
      </c>
      <c r="AM582" s="243">
        <f t="shared" si="1423"/>
        <v>8038.1926253138136</v>
      </c>
      <c r="AN582" s="57"/>
      <c r="AO582" s="533">
        <f t="shared" si="1424"/>
        <v>2391.0542262829099</v>
      </c>
      <c r="AP582" s="243">
        <f t="shared" si="1425"/>
        <v>3368.9533637807726</v>
      </c>
      <c r="AQ582" s="57"/>
      <c r="AR582" s="533">
        <f t="shared" si="1426"/>
        <v>11514.824731063358</v>
      </c>
      <c r="AS582" s="243">
        <f t="shared" si="1427"/>
        <v>3300.8540875950498</v>
      </c>
      <c r="AT582" s="57"/>
      <c r="AU582" s="533">
        <f t="shared" si="1428"/>
        <v>977.05429666547911</v>
      </c>
      <c r="AV582" s="243">
        <f t="shared" si="1429"/>
        <v>1304.6400200308428</v>
      </c>
      <c r="AW582" s="57"/>
      <c r="AX582" s="533">
        <f t="shared" si="1430"/>
        <v>914.10670429703077</v>
      </c>
      <c r="AY582" s="243">
        <f t="shared" si="1431"/>
        <v>819.74800266767215</v>
      </c>
      <c r="AZ582" s="57"/>
      <c r="BA582" s="533">
        <f t="shared" si="1432"/>
        <v>129.86217178776698</v>
      </c>
      <c r="BB582" s="243">
        <f t="shared" si="1433"/>
        <v>176.22624937551521</v>
      </c>
      <c r="BC582" s="57"/>
      <c r="BD582" s="57"/>
      <c r="BE582" s="57"/>
    </row>
    <row r="583" spans="1:57" x14ac:dyDescent="0.3">
      <c r="A583" s="378">
        <f>A582+0.1</f>
        <v>0.30000000000000004</v>
      </c>
      <c r="B583" s="372">
        <f t="shared" ref="B583:B588" si="1434">SUM(I560,L560,L569,AE583)</f>
        <v>32209.062200031585</v>
      </c>
      <c r="C583" s="301">
        <f t="shared" ref="C583:C588" si="1435">SUM(O560,R560,R569,AF583)</f>
        <v>11533.651056194398</v>
      </c>
      <c r="D583" s="373">
        <f t="shared" ref="D583:D588" si="1436">SUM(U560,X560,X569,AG583)</f>
        <v>4089.4443387924384</v>
      </c>
      <c r="E583" s="372">
        <f t="shared" ref="E583:E588" si="1437">SUM(J581,M581,M590,AH583)</f>
        <v>49795.295129657228</v>
      </c>
      <c r="F583" s="301">
        <f t="shared" ref="F583:F588" si="1438">SUM(P581,S581,S590,AI583)</f>
        <v>16915.725469762649</v>
      </c>
      <c r="G583" s="379">
        <f t="shared" ref="G583:G588" si="1439">SUM(V581,Y581,Y590,AJ583)</f>
        <v>6636.1277679568348</v>
      </c>
      <c r="I583" s="533">
        <f t="shared" si="1410"/>
        <v>73038.224521194556</v>
      </c>
      <c r="J583" s="243">
        <f t="shared" si="1411"/>
        <v>45051.037853368231</v>
      </c>
      <c r="K583" s="57"/>
      <c r="L583" s="533">
        <f t="shared" si="1412"/>
        <v>7103.8400308460805</v>
      </c>
      <c r="M583" s="243">
        <f t="shared" si="1413"/>
        <v>6515.6562660495601</v>
      </c>
      <c r="N583" s="57"/>
      <c r="O583" s="533">
        <f t="shared" si="1414"/>
        <v>27293.329517817001</v>
      </c>
      <c r="P583" s="243">
        <f t="shared" si="1415"/>
        <v>13610.516423325282</v>
      </c>
      <c r="Q583" s="57"/>
      <c r="R583" s="533">
        <f t="shared" si="1416"/>
        <v>2392.0577815485312</v>
      </c>
      <c r="S583" s="243">
        <f t="shared" si="1417"/>
        <v>2400.7683041899477</v>
      </c>
      <c r="T583" s="57"/>
      <c r="U583" s="533">
        <f t="shared" si="1418"/>
        <v>3795.8703183208099</v>
      </c>
      <c r="V583" s="243">
        <f t="shared" si="1419"/>
        <v>7878.1238064447043</v>
      </c>
      <c r="W583" s="57"/>
      <c r="X583" s="533">
        <f t="shared" si="1420"/>
        <v>712.43464991321548</v>
      </c>
      <c r="Y583" s="243">
        <f t="shared" si="1421"/>
        <v>588.29557521622473</v>
      </c>
      <c r="Z583" s="57"/>
      <c r="AA583" s="57"/>
      <c r="AB583" s="57"/>
      <c r="AD583" s="378">
        <f>AD582+0.1</f>
        <v>0.30000000000000004</v>
      </c>
      <c r="AE583" s="372">
        <f t="shared" ref="AE583:AE588" si="1440">SUM(AL560,AO560,AO569)</f>
        <v>7728.677399898299</v>
      </c>
      <c r="AF583" s="301">
        <f t="shared" ref="AF583:AF588" si="1441">SUM(AR560,AU560,AU569)</f>
        <v>3244.7746489305177</v>
      </c>
      <c r="AG583" s="373">
        <f t="shared" ref="AG583:AG588" si="1442">SUM(AX560,BA560,BA569)</f>
        <v>469.12909013435814</v>
      </c>
      <c r="AH583" s="372">
        <f t="shared" ref="AH583:AH588" si="1443">SUM(AM581,AP581,AP590)</f>
        <v>11732.754167337136</v>
      </c>
      <c r="AI583" s="301">
        <f t="shared" ref="AI583:AI588" si="1444">SUM(AS581,AV581,AV590)</f>
        <v>4684.578769211309</v>
      </c>
      <c r="AJ583" s="379">
        <f t="shared" ref="AJ583:AJ588" si="1445">SUM(AY581,BB581,BB590)</f>
        <v>913.18671386841402</v>
      </c>
      <c r="AL583" s="533">
        <f t="shared" si="1422"/>
        <v>35667.859146096343</v>
      </c>
      <c r="AM583" s="243">
        <f t="shared" si="1423"/>
        <v>10047.740781642267</v>
      </c>
      <c r="AN583" s="57"/>
      <c r="AO583" s="533">
        <f t="shared" si="1424"/>
        <v>2391.0542262829099</v>
      </c>
      <c r="AP583" s="243">
        <f t="shared" si="1425"/>
        <v>3368.9533637807726</v>
      </c>
      <c r="AQ583" s="57"/>
      <c r="AR583" s="533">
        <f t="shared" si="1426"/>
        <v>14393.530913829196</v>
      </c>
      <c r="AS583" s="243">
        <f t="shared" si="1427"/>
        <v>4126.0676094938126</v>
      </c>
      <c r="AT583" s="57"/>
      <c r="AU583" s="533">
        <f t="shared" si="1428"/>
        <v>977.05429666547911</v>
      </c>
      <c r="AV583" s="243">
        <f t="shared" si="1429"/>
        <v>1304.6400200308428</v>
      </c>
      <c r="AW583" s="57"/>
      <c r="AX583" s="533">
        <f t="shared" si="1430"/>
        <v>1142.6333803712887</v>
      </c>
      <c r="AY583" s="243">
        <f t="shared" si="1431"/>
        <v>1024.6850033345902</v>
      </c>
      <c r="AZ583" s="57"/>
      <c r="BA583" s="533">
        <f t="shared" si="1432"/>
        <v>129.86217178776698</v>
      </c>
      <c r="BB583" s="243">
        <f t="shared" si="1433"/>
        <v>176.22624937551521</v>
      </c>
      <c r="BC583" s="57"/>
      <c r="BD583" s="57"/>
      <c r="BE583" s="57"/>
    </row>
    <row r="584" spans="1:57" x14ac:dyDescent="0.3">
      <c r="A584" s="378">
        <f t="shared" ref="A584:A588" si="1446">A583+0.1</f>
        <v>0.4</v>
      </c>
      <c r="B584" s="372">
        <f t="shared" si="1434"/>
        <v>38267.828540735805</v>
      </c>
      <c r="C584" s="301">
        <f t="shared" si="1435"/>
        <v>13538.525320938137</v>
      </c>
      <c r="D584" s="373">
        <f t="shared" si="1436"/>
        <v>4920.3600677597578</v>
      </c>
      <c r="E584" s="372">
        <f t="shared" si="1437"/>
        <v>59836.27681111353</v>
      </c>
      <c r="F584" s="301">
        <f t="shared" si="1438"/>
        <v>20096.132744062121</v>
      </c>
      <c r="G584" s="379">
        <f t="shared" si="1439"/>
        <v>8340.9865788416191</v>
      </c>
      <c r="I584" s="533">
        <f t="shared" si="1410"/>
        <v>87645.869425433455</v>
      </c>
      <c r="J584" s="243">
        <f t="shared" si="1411"/>
        <v>54061.245424041881</v>
      </c>
      <c r="K584" s="57"/>
      <c r="L584" s="533">
        <f t="shared" si="1412"/>
        <v>7103.8400308460805</v>
      </c>
      <c r="M584" s="243">
        <f t="shared" si="1413"/>
        <v>6515.6562660495601</v>
      </c>
      <c r="N584" s="57"/>
      <c r="O584" s="533">
        <f t="shared" si="1414"/>
        <v>32751.995421380409</v>
      </c>
      <c r="P584" s="243">
        <f t="shared" si="1415"/>
        <v>16332.619707990338</v>
      </c>
      <c r="Q584" s="57"/>
      <c r="R584" s="533">
        <f t="shared" si="1416"/>
        <v>2392.0577815485312</v>
      </c>
      <c r="S584" s="243">
        <f t="shared" si="1417"/>
        <v>2400.7683041899477</v>
      </c>
      <c r="T584" s="57"/>
      <c r="U584" s="533">
        <f t="shared" si="1418"/>
        <v>4555.0443819849725</v>
      </c>
      <c r="V584" s="243">
        <f t="shared" si="1419"/>
        <v>9453.7485677336444</v>
      </c>
      <c r="W584" s="57"/>
      <c r="X584" s="533">
        <f t="shared" si="1420"/>
        <v>712.43464991321548</v>
      </c>
      <c r="Y584" s="243">
        <f t="shared" si="1421"/>
        <v>588.29557521622473</v>
      </c>
      <c r="Z584" s="57"/>
      <c r="AA584" s="57"/>
      <c r="AB584" s="57"/>
      <c r="AD584" s="378">
        <f t="shared" ref="AD584:AD588" si="1447">AD583+0.1</f>
        <v>0.4</v>
      </c>
      <c r="AE584" s="372">
        <f t="shared" si="1440"/>
        <v>8717.4930301560726</v>
      </c>
      <c r="AF584" s="301">
        <f t="shared" si="1441"/>
        <v>3678.4260487429433</v>
      </c>
      <c r="AG584" s="373">
        <f t="shared" si="1442"/>
        <v>538.69943061667414</v>
      </c>
      <c r="AH584" s="372">
        <f t="shared" si="1443"/>
        <v>13408.708561584019</v>
      </c>
      <c r="AI584" s="301">
        <f t="shared" si="1444"/>
        <v>5380.6068363266168</v>
      </c>
      <c r="AJ584" s="379">
        <f t="shared" si="1445"/>
        <v>1100.6737913221684</v>
      </c>
      <c r="AL584" s="533">
        <f t="shared" si="1422"/>
        <v>42801.430975315612</v>
      </c>
      <c r="AM584" s="243">
        <f t="shared" si="1423"/>
        <v>12057.288937970719</v>
      </c>
      <c r="AN584" s="57"/>
      <c r="AO584" s="533">
        <f t="shared" si="1424"/>
        <v>2391.0542262829099</v>
      </c>
      <c r="AP584" s="243">
        <f t="shared" si="1425"/>
        <v>3368.9533637807726</v>
      </c>
      <c r="AQ584" s="57"/>
      <c r="AR584" s="533">
        <f t="shared" si="1426"/>
        <v>17272.237096595036</v>
      </c>
      <c r="AS584" s="243">
        <f t="shared" si="1427"/>
        <v>4951.2811313925749</v>
      </c>
      <c r="AT584" s="57"/>
      <c r="AU584" s="533">
        <f t="shared" si="1428"/>
        <v>977.05429666547911</v>
      </c>
      <c r="AV584" s="243">
        <f t="shared" si="1429"/>
        <v>1304.6400200308428</v>
      </c>
      <c r="AW584" s="57"/>
      <c r="AX584" s="533">
        <f t="shared" si="1430"/>
        <v>1371.1600564455464</v>
      </c>
      <c r="AY584" s="243">
        <f t="shared" si="1431"/>
        <v>1229.6220040015082</v>
      </c>
      <c r="AZ584" s="57"/>
      <c r="BA584" s="533">
        <f t="shared" si="1432"/>
        <v>129.86217178776698</v>
      </c>
      <c r="BB584" s="243">
        <f t="shared" si="1433"/>
        <v>176.22624937551521</v>
      </c>
      <c r="BC584" s="57"/>
      <c r="BD584" s="57"/>
      <c r="BE584" s="57"/>
    </row>
    <row r="585" spans="1:57" x14ac:dyDescent="0.3">
      <c r="A585" s="378">
        <f t="shared" si="1446"/>
        <v>0.5</v>
      </c>
      <c r="B585" s="372">
        <f t="shared" si="1434"/>
        <v>44326.594881440025</v>
      </c>
      <c r="C585" s="301">
        <f t="shared" si="1435"/>
        <v>15543.399585681873</v>
      </c>
      <c r="D585" s="373">
        <f t="shared" si="1436"/>
        <v>5751.2757967270772</v>
      </c>
      <c r="E585" s="372">
        <f t="shared" si="1437"/>
        <v>69877.258492569832</v>
      </c>
      <c r="F585" s="301">
        <f t="shared" si="1438"/>
        <v>23276.540018361597</v>
      </c>
      <c r="G585" s="379">
        <f t="shared" si="1439"/>
        <v>10045.845389726406</v>
      </c>
      <c r="I585" s="533">
        <f t="shared" si="1410"/>
        <v>102253.51432967235</v>
      </c>
      <c r="J585" s="243">
        <f t="shared" si="1411"/>
        <v>63071.452994715524</v>
      </c>
      <c r="K585" s="57"/>
      <c r="L585" s="533">
        <f t="shared" si="1412"/>
        <v>7103.8400308460805</v>
      </c>
      <c r="M585" s="243">
        <f t="shared" si="1413"/>
        <v>6515.6562660495601</v>
      </c>
      <c r="N585" s="57"/>
      <c r="O585" s="533">
        <f t="shared" si="1414"/>
        <v>38210.661324943809</v>
      </c>
      <c r="P585" s="243">
        <f t="shared" si="1415"/>
        <v>19054.722992655396</v>
      </c>
      <c r="Q585" s="57"/>
      <c r="R585" s="533">
        <f t="shared" si="1416"/>
        <v>2392.0577815485312</v>
      </c>
      <c r="S585" s="243">
        <f t="shared" si="1417"/>
        <v>2400.7683041899477</v>
      </c>
      <c r="T585" s="57"/>
      <c r="U585" s="533">
        <f t="shared" si="1418"/>
        <v>5314.2184456491332</v>
      </c>
      <c r="V585" s="243">
        <f t="shared" si="1419"/>
        <v>11029.373329022586</v>
      </c>
      <c r="W585" s="57"/>
      <c r="X585" s="533">
        <f t="shared" si="1420"/>
        <v>712.43464991321548</v>
      </c>
      <c r="Y585" s="243">
        <f t="shared" si="1421"/>
        <v>588.29557521622473</v>
      </c>
      <c r="Z585" s="57"/>
      <c r="AA585" s="57"/>
      <c r="AB585" s="57"/>
      <c r="AD585" s="378">
        <f t="shared" si="1447"/>
        <v>0.5</v>
      </c>
      <c r="AE585" s="372">
        <f t="shared" si="1440"/>
        <v>9706.3086604138443</v>
      </c>
      <c r="AF585" s="301">
        <f t="shared" si="1441"/>
        <v>4112.0774485553693</v>
      </c>
      <c r="AG585" s="373">
        <f t="shared" si="1442"/>
        <v>608.26977109899008</v>
      </c>
      <c r="AH585" s="372">
        <f t="shared" si="1443"/>
        <v>15084.6629558309</v>
      </c>
      <c r="AI585" s="301">
        <f t="shared" si="1444"/>
        <v>6076.6349034419254</v>
      </c>
      <c r="AJ585" s="379">
        <f t="shared" si="1445"/>
        <v>1288.1608687759231</v>
      </c>
      <c r="AL585" s="533">
        <f t="shared" si="1422"/>
        <v>49935.002804534874</v>
      </c>
      <c r="AM585" s="243">
        <f t="shared" si="1423"/>
        <v>14066.837094299173</v>
      </c>
      <c r="AN585" s="57"/>
      <c r="AO585" s="533">
        <f t="shared" si="1424"/>
        <v>2391.0542262829099</v>
      </c>
      <c r="AP585" s="243">
        <f t="shared" si="1425"/>
        <v>3368.9533637807726</v>
      </c>
      <c r="AQ585" s="57"/>
      <c r="AR585" s="533">
        <f t="shared" si="1426"/>
        <v>20150.943279360876</v>
      </c>
      <c r="AS585" s="243">
        <f t="shared" si="1427"/>
        <v>5776.4946532913373</v>
      </c>
      <c r="AT585" s="57"/>
      <c r="AU585" s="533">
        <f t="shared" si="1428"/>
        <v>977.05429666547911</v>
      </c>
      <c r="AV585" s="243">
        <f t="shared" si="1429"/>
        <v>1304.6400200308428</v>
      </c>
      <c r="AW585" s="57"/>
      <c r="AX585" s="533">
        <f t="shared" si="1430"/>
        <v>1599.6867325198039</v>
      </c>
      <c r="AY585" s="243">
        <f t="shared" si="1431"/>
        <v>1434.5590046684263</v>
      </c>
      <c r="AZ585" s="57"/>
      <c r="BA585" s="533">
        <f t="shared" si="1432"/>
        <v>129.86217178776698</v>
      </c>
      <c r="BB585" s="243">
        <f t="shared" si="1433"/>
        <v>176.22624937551521</v>
      </c>
      <c r="BC585" s="57"/>
      <c r="BD585" s="57"/>
      <c r="BE585" s="57"/>
    </row>
    <row r="586" spans="1:57" x14ac:dyDescent="0.3">
      <c r="A586" s="378">
        <f t="shared" si="1446"/>
        <v>0.6</v>
      </c>
      <c r="B586" s="372">
        <f t="shared" si="1434"/>
        <v>50385.361222144245</v>
      </c>
      <c r="C586" s="301">
        <f t="shared" si="1435"/>
        <v>17548.273850425605</v>
      </c>
      <c r="D586" s="373">
        <f t="shared" si="1436"/>
        <v>6582.1915256943948</v>
      </c>
      <c r="E586" s="372">
        <f t="shared" si="1437"/>
        <v>79918.240174026141</v>
      </c>
      <c r="F586" s="301">
        <f t="shared" si="1438"/>
        <v>26456.947292661076</v>
      </c>
      <c r="G586" s="379">
        <f t="shared" si="1439"/>
        <v>11750.70420061119</v>
      </c>
      <c r="I586" s="533">
        <f t="shared" si="1410"/>
        <v>116861.15923391125</v>
      </c>
      <c r="J586" s="243">
        <f t="shared" si="1411"/>
        <v>72081.66056538916</v>
      </c>
      <c r="K586" s="57"/>
      <c r="L586" s="533">
        <f t="shared" si="1412"/>
        <v>7103.8400308460805</v>
      </c>
      <c r="M586" s="243">
        <f t="shared" si="1413"/>
        <v>6515.6562660495601</v>
      </c>
      <c r="N586" s="57"/>
      <c r="O586" s="533">
        <f t="shared" si="1414"/>
        <v>43669.327228507202</v>
      </c>
      <c r="P586" s="243">
        <f t="shared" si="1415"/>
        <v>21776.826277320448</v>
      </c>
      <c r="Q586" s="57"/>
      <c r="R586" s="533">
        <f t="shared" si="1416"/>
        <v>2392.0577815485312</v>
      </c>
      <c r="S586" s="243">
        <f t="shared" si="1417"/>
        <v>2400.7683041899477</v>
      </c>
      <c r="T586" s="57"/>
      <c r="U586" s="533">
        <f t="shared" si="1418"/>
        <v>6073.3925093132948</v>
      </c>
      <c r="V586" s="243">
        <f t="shared" si="1419"/>
        <v>12604.998090311525</v>
      </c>
      <c r="W586" s="57"/>
      <c r="X586" s="533">
        <f t="shared" si="1420"/>
        <v>712.43464991321548</v>
      </c>
      <c r="Y586" s="243">
        <f t="shared" si="1421"/>
        <v>588.29557521622473</v>
      </c>
      <c r="Z586" s="57"/>
      <c r="AA586" s="57"/>
      <c r="AB586" s="57"/>
      <c r="AD586" s="378">
        <f t="shared" si="1447"/>
        <v>0.6</v>
      </c>
      <c r="AE586" s="372">
        <f t="shared" si="1440"/>
        <v>10695.124290671618</v>
      </c>
      <c r="AF586" s="301">
        <f t="shared" si="1441"/>
        <v>4545.728848367793</v>
      </c>
      <c r="AG586" s="373">
        <f t="shared" si="1442"/>
        <v>677.84011158130579</v>
      </c>
      <c r="AH586" s="372">
        <f t="shared" si="1443"/>
        <v>16760.61735007778</v>
      </c>
      <c r="AI586" s="301">
        <f t="shared" si="1444"/>
        <v>6772.6629705572341</v>
      </c>
      <c r="AJ586" s="379">
        <f t="shared" si="1445"/>
        <v>1475.6479462296775</v>
      </c>
      <c r="AL586" s="533">
        <f t="shared" si="1422"/>
        <v>57068.574633754142</v>
      </c>
      <c r="AM586" s="243">
        <f t="shared" si="1423"/>
        <v>16076.385250627623</v>
      </c>
      <c r="AN586" s="57"/>
      <c r="AO586" s="533">
        <f t="shared" si="1424"/>
        <v>2391.0542262829099</v>
      </c>
      <c r="AP586" s="243">
        <f t="shared" si="1425"/>
        <v>3368.9533637807726</v>
      </c>
      <c r="AQ586" s="57"/>
      <c r="AR586" s="533">
        <f t="shared" si="1426"/>
        <v>23029.649462126712</v>
      </c>
      <c r="AS586" s="243">
        <f t="shared" si="1427"/>
        <v>6601.7081751900987</v>
      </c>
      <c r="AT586" s="57"/>
      <c r="AU586" s="533">
        <f t="shared" si="1428"/>
        <v>977.05429666547911</v>
      </c>
      <c r="AV586" s="243">
        <f t="shared" si="1429"/>
        <v>1304.6400200308428</v>
      </c>
      <c r="AW586" s="57"/>
      <c r="AX586" s="533">
        <f t="shared" si="1430"/>
        <v>1828.2134085940613</v>
      </c>
      <c r="AY586" s="243">
        <f t="shared" si="1431"/>
        <v>1639.4960053353439</v>
      </c>
      <c r="AZ586" s="57"/>
      <c r="BA586" s="533">
        <f t="shared" si="1432"/>
        <v>129.86217178776698</v>
      </c>
      <c r="BB586" s="243">
        <f t="shared" si="1433"/>
        <v>176.22624937551521</v>
      </c>
      <c r="BC586" s="57"/>
      <c r="BD586" s="57"/>
      <c r="BE586" s="57"/>
    </row>
    <row r="587" spans="1:57" x14ac:dyDescent="0.3">
      <c r="A587" s="378">
        <f t="shared" si="1446"/>
        <v>0.7</v>
      </c>
      <c r="B587" s="372">
        <f t="shared" si="1434"/>
        <v>56444.127562848473</v>
      </c>
      <c r="C587" s="301">
        <f t="shared" si="1435"/>
        <v>19553.148115169344</v>
      </c>
      <c r="D587" s="373">
        <f t="shared" si="1436"/>
        <v>7413.1072546617143</v>
      </c>
      <c r="E587" s="372">
        <f t="shared" si="1437"/>
        <v>89959.221855482436</v>
      </c>
      <c r="F587" s="301">
        <f t="shared" si="1438"/>
        <v>29637.354566960552</v>
      </c>
      <c r="G587" s="379">
        <f t="shared" si="1439"/>
        <v>13455.563011495975</v>
      </c>
      <c r="I587" s="532"/>
      <c r="J587" s="528"/>
      <c r="K587" s="57"/>
      <c r="L587" s="532"/>
      <c r="M587" s="528"/>
      <c r="N587" s="57"/>
      <c r="O587" s="532"/>
      <c r="P587" s="528"/>
      <c r="Q587" s="57"/>
      <c r="R587" s="532"/>
      <c r="S587" s="528"/>
      <c r="T587" s="57"/>
      <c r="U587" s="532"/>
      <c r="V587" s="528"/>
      <c r="W587" s="57"/>
      <c r="X587" s="532"/>
      <c r="Y587" s="528"/>
      <c r="Z587" s="57"/>
      <c r="AA587" s="57"/>
      <c r="AB587" s="57"/>
      <c r="AD587" s="378">
        <f t="shared" si="1447"/>
        <v>0.7</v>
      </c>
      <c r="AE587" s="372">
        <f t="shared" si="1440"/>
        <v>11683.939920929392</v>
      </c>
      <c r="AF587" s="301">
        <f t="shared" si="1441"/>
        <v>4979.3802481802195</v>
      </c>
      <c r="AG587" s="373">
        <f t="shared" si="1442"/>
        <v>747.41045206362185</v>
      </c>
      <c r="AH587" s="372">
        <f t="shared" si="1443"/>
        <v>18436.571744324661</v>
      </c>
      <c r="AI587" s="301">
        <f t="shared" si="1444"/>
        <v>7468.6910376725418</v>
      </c>
      <c r="AJ587" s="379">
        <f t="shared" si="1445"/>
        <v>1663.1350236834321</v>
      </c>
      <c r="AL587" s="532"/>
      <c r="AM587" s="528"/>
      <c r="AN587" s="57"/>
      <c r="AO587" s="532"/>
      <c r="AP587" s="528"/>
      <c r="AQ587" s="57"/>
      <c r="AR587" s="532"/>
      <c r="AS587" s="528"/>
      <c r="AT587" s="57"/>
      <c r="AU587" s="532"/>
      <c r="AV587" s="528"/>
      <c r="AW587" s="57"/>
      <c r="AX587" s="532"/>
      <c r="AY587" s="528"/>
      <c r="AZ587" s="57"/>
      <c r="BA587" s="532"/>
      <c r="BB587" s="528"/>
      <c r="BC587" s="57"/>
      <c r="BD587" s="57"/>
      <c r="BE587" s="57"/>
    </row>
    <row r="588" spans="1:57" x14ac:dyDescent="0.3">
      <c r="A588" s="378">
        <f t="shared" si="1446"/>
        <v>0.79999999999999993</v>
      </c>
      <c r="B588" s="372">
        <f t="shared" si="1434"/>
        <v>62502.893903552686</v>
      </c>
      <c r="C588" s="301">
        <f t="shared" si="1435"/>
        <v>21558.022379913076</v>
      </c>
      <c r="D588" s="373">
        <f t="shared" si="1436"/>
        <v>8244.0229836290328</v>
      </c>
      <c r="E588" s="372">
        <f t="shared" si="1437"/>
        <v>100000.20353693872</v>
      </c>
      <c r="F588" s="301">
        <f t="shared" si="1438"/>
        <v>32817.76184126002</v>
      </c>
      <c r="G588" s="379">
        <f t="shared" si="1439"/>
        <v>15160.421822380757</v>
      </c>
      <c r="I588" s="532"/>
      <c r="J588" s="528"/>
      <c r="K588" s="57"/>
      <c r="L588" s="532"/>
      <c r="M588" s="528"/>
      <c r="N588" s="57"/>
      <c r="O588" s="532"/>
      <c r="P588" s="528"/>
      <c r="Q588" s="57"/>
      <c r="R588" s="532"/>
      <c r="S588" s="528"/>
      <c r="T588" s="57"/>
      <c r="U588" s="532"/>
      <c r="V588" s="528"/>
      <c r="W588" s="57"/>
      <c r="X588" s="532"/>
      <c r="Y588" s="528"/>
      <c r="Z588" s="57"/>
      <c r="AA588" s="57"/>
      <c r="AB588" s="57"/>
      <c r="AD588" s="378">
        <f t="shared" si="1447"/>
        <v>0.79999999999999993</v>
      </c>
      <c r="AE588" s="374">
        <f t="shared" si="1440"/>
        <v>12672.755551187163</v>
      </c>
      <c r="AF588" s="367">
        <f t="shared" si="1441"/>
        <v>5413.0316479926441</v>
      </c>
      <c r="AG588" s="375">
        <f t="shared" si="1442"/>
        <v>816.98079254593779</v>
      </c>
      <c r="AH588" s="374">
        <f t="shared" si="1443"/>
        <v>20112.526138571542</v>
      </c>
      <c r="AI588" s="367">
        <f t="shared" si="1444"/>
        <v>8164.7191047878496</v>
      </c>
      <c r="AJ588" s="380">
        <f t="shared" si="1445"/>
        <v>1850.6221011371861</v>
      </c>
      <c r="AL588" s="532"/>
      <c r="AM588" s="528"/>
      <c r="AN588" s="57"/>
      <c r="AO588" s="532"/>
      <c r="AP588" s="528"/>
      <c r="AQ588" s="57"/>
      <c r="AR588" s="532"/>
      <c r="AS588" s="528"/>
      <c r="AT588" s="57"/>
      <c r="AU588" s="532"/>
      <c r="AV588" s="528"/>
      <c r="AW588" s="57"/>
      <c r="AX588" s="532"/>
      <c r="AY588" s="528"/>
      <c r="AZ588" s="57"/>
      <c r="BA588" s="532"/>
      <c r="BB588" s="528"/>
      <c r="BC588" s="57"/>
      <c r="BD588" s="57"/>
      <c r="BE588" s="57"/>
    </row>
    <row r="589" spans="1:57" ht="15" thickBot="1" x14ac:dyDescent="0.35">
      <c r="A589" s="133"/>
      <c r="B589" s="134"/>
      <c r="C589" s="134"/>
      <c r="D589" s="134"/>
      <c r="E589" s="134"/>
      <c r="F589" s="134"/>
      <c r="G589" s="135"/>
      <c r="I589" s="533">
        <f t="shared" ref="I589" si="1448">C568*$T$129</f>
        <v>168384.61838360954</v>
      </c>
      <c r="J589" s="528"/>
      <c r="K589" s="57"/>
      <c r="L589" s="533">
        <f t="shared" ref="L589" si="1449">D568*$T$171</f>
        <v>9317.3312697102228</v>
      </c>
      <c r="M589" s="243">
        <f>($D568*$R$516*$Y$62)</f>
        <v>5161.44226771382</v>
      </c>
      <c r="N589" s="57"/>
      <c r="O589" s="533">
        <f t="shared" ref="O589" si="1450">C568*$T$132</f>
        <v>59962.341628494592</v>
      </c>
      <c r="P589" s="528"/>
      <c r="Q589" s="57"/>
      <c r="R589" s="533">
        <f t="shared" ref="R589" si="1451">D568*$T$174</f>
        <v>3317.933704534868</v>
      </c>
      <c r="S589" s="243">
        <f>($D568*$R$516*$Y$65)</f>
        <v>1901.7926198471091</v>
      </c>
      <c r="T589" s="57"/>
      <c r="U589" s="533">
        <f t="shared" ref="U589" si="1452">C568*$T$135</f>
        <v>13784.688847311285</v>
      </c>
      <c r="V589" s="528"/>
      <c r="W589" s="57"/>
      <c r="X589" s="533">
        <f t="shared" ref="X589" si="1453">D568*$T$177</f>
        <v>1096.2418617346759</v>
      </c>
      <c r="Y589" s="243">
        <f>($D568*$R$516*$Y$68)</f>
        <v>466.02422286328459</v>
      </c>
      <c r="Z589" s="57"/>
      <c r="AA589" s="57"/>
      <c r="AB589" s="57"/>
      <c r="AD589" s="133"/>
      <c r="AE589" s="134"/>
      <c r="AF589" s="134"/>
      <c r="AG589" s="134"/>
      <c r="AH589" s="134"/>
      <c r="AI589" s="134"/>
      <c r="AJ589" s="135"/>
      <c r="AL589" s="533">
        <f>AF568*$AW$129</f>
        <v>68486.563284992837</v>
      </c>
      <c r="AM589" s="528"/>
      <c r="AN589" s="57"/>
      <c r="AO589" s="533">
        <f>AG568*$AW$171</f>
        <v>3789.609786070363</v>
      </c>
      <c r="AP589" s="243">
        <f>($AG568*$AU$516*$BB$147)</f>
        <v>2668.7500966525768</v>
      </c>
      <c r="AQ589" s="57"/>
      <c r="AR589" s="533">
        <f>AF568*$AW$132</f>
        <v>27970.024969472623</v>
      </c>
      <c r="AS589" s="528"/>
      <c r="AT589" s="57"/>
      <c r="AU589" s="533">
        <f>AG568*$AW$174</f>
        <v>1547.6828629853692</v>
      </c>
      <c r="AV589" s="243">
        <f>($AG568*$AU$516*$BB$150)</f>
        <v>1033.4836382676324</v>
      </c>
      <c r="AW589" s="57"/>
      <c r="AX589" s="533">
        <f>AF568*$AW$135</f>
        <v>2596.9592521091081</v>
      </c>
      <c r="AY589" s="528"/>
      <c r="AZ589" s="57"/>
      <c r="BA589" s="533">
        <f>AG568*$AW$177</f>
        <v>206.52591269308641</v>
      </c>
      <c r="BB589" s="243">
        <f>($AG568*$AU$516*$BB$153)</f>
        <v>139.59938570530812</v>
      </c>
      <c r="BC589" s="57"/>
      <c r="BD589" s="57"/>
      <c r="BE589" s="57"/>
    </row>
    <row r="590" spans="1:57" x14ac:dyDescent="0.3">
      <c r="I590" s="533">
        <f t="shared" ref="I590:I595" si="1454">C569*$T$129</f>
        <v>147336.54108565836</v>
      </c>
      <c r="J590" s="528"/>
      <c r="K590" s="57"/>
      <c r="L590" s="533">
        <f t="shared" ref="L590:L595" si="1455">D569*$T$171</f>
        <v>8152.6648609964441</v>
      </c>
      <c r="M590" s="243">
        <f t="shared" ref="M590:M595" si="1456">($D569*$R$516*$Y$62)</f>
        <v>4516.2619842495915</v>
      </c>
      <c r="N590" s="57"/>
      <c r="O590" s="533">
        <f t="shared" ref="O590:O595" si="1457">C569*$T$132</f>
        <v>52467.048924932766</v>
      </c>
      <c r="P590" s="528"/>
      <c r="Q590" s="57"/>
      <c r="R590" s="533">
        <f t="shared" ref="R590:R595" si="1458">D569*$T$174</f>
        <v>2903.1919914680093</v>
      </c>
      <c r="S590" s="243">
        <f t="shared" ref="S590:S595" si="1459">($D569*$R$516*$Y$65)</f>
        <v>1664.0685423662201</v>
      </c>
      <c r="T590" s="57"/>
      <c r="U590" s="533">
        <f t="shared" ref="U590:U595" si="1460">C569*$T$135</f>
        <v>12061.602741397375</v>
      </c>
      <c r="V590" s="528"/>
      <c r="W590" s="57"/>
      <c r="X590" s="533">
        <f t="shared" ref="X590:X595" si="1461">D569*$T$177</f>
        <v>959.21162901784146</v>
      </c>
      <c r="Y590" s="243">
        <f t="shared" ref="Y590:Y595" si="1462">($D569*$R$516*$Y$68)</f>
        <v>407.7711950053739</v>
      </c>
      <c r="Z590" s="57"/>
      <c r="AA590" s="57"/>
      <c r="AB590" s="57"/>
      <c r="AL590" s="533">
        <f t="shared" ref="AL590:AL595" si="1463">AF569*$AW$129</f>
        <v>59925.742874368734</v>
      </c>
      <c r="AM590" s="528"/>
      <c r="AN590" s="57"/>
      <c r="AO590" s="533">
        <f t="shared" ref="AO590:AO595" si="1464">AG569*$AW$171</f>
        <v>3315.9085628115672</v>
      </c>
      <c r="AP590" s="243">
        <f t="shared" ref="AP590:AP595" si="1465">($AG569*$AU$516*$BB$147)</f>
        <v>2335.1563345710042</v>
      </c>
      <c r="AQ590" s="57"/>
      <c r="AR590" s="533">
        <f t="shared" ref="AR590:AR595" si="1466">AF569*$AW$132</f>
        <v>24473.771848288543</v>
      </c>
      <c r="AS590" s="528"/>
      <c r="AT590" s="57"/>
      <c r="AU590" s="533">
        <f t="shared" ref="AU590:AU595" si="1467">AG569*$AW$174</f>
        <v>1354.222505112198</v>
      </c>
      <c r="AV590" s="243">
        <f t="shared" ref="AV590:AV595" si="1468">($AG569*$AU$516*$BB$150)</f>
        <v>904.29818348417814</v>
      </c>
      <c r="AW590" s="57"/>
      <c r="AX590" s="533">
        <f t="shared" ref="AX590:AX595" si="1469">AF569*$AW$135</f>
        <v>2272.3393455954697</v>
      </c>
      <c r="AY590" s="528"/>
      <c r="AZ590" s="57"/>
      <c r="BA590" s="533">
        <f t="shared" ref="BA590:BA595" si="1470">AG569*$AW$177</f>
        <v>180.71017360645061</v>
      </c>
      <c r="BB590" s="243">
        <f t="shared" ref="BB590:BB595" si="1471">($AG569*$AU$516*$BB$153)</f>
        <v>122.14946249214458</v>
      </c>
      <c r="BC590" s="57"/>
      <c r="BD590" s="57"/>
      <c r="BE590" s="57"/>
    </row>
    <row r="591" spans="1:57" x14ac:dyDescent="0.3">
      <c r="A591" t="s">
        <v>369</v>
      </c>
      <c r="I591" s="533">
        <f t="shared" si="1454"/>
        <v>126288.46378770715</v>
      </c>
      <c r="J591" s="528"/>
      <c r="K591" s="57"/>
      <c r="L591" s="533">
        <f t="shared" si="1455"/>
        <v>6987.9984522826671</v>
      </c>
      <c r="M591" s="243">
        <f t="shared" si="1456"/>
        <v>3871.0817007853648</v>
      </c>
      <c r="N591" s="57"/>
      <c r="O591" s="533">
        <f t="shared" si="1457"/>
        <v>44971.756221370939</v>
      </c>
      <c r="P591" s="528"/>
      <c r="Q591" s="57"/>
      <c r="R591" s="533">
        <f t="shared" si="1458"/>
        <v>2488.4502784011506</v>
      </c>
      <c r="S591" s="243">
        <f t="shared" si="1459"/>
        <v>1426.3444648853317</v>
      </c>
      <c r="T591" s="57"/>
      <c r="U591" s="533">
        <f t="shared" si="1460"/>
        <v>10338.516635483464</v>
      </c>
      <c r="V591" s="528"/>
      <c r="W591" s="57"/>
      <c r="X591" s="533">
        <f t="shared" si="1461"/>
        <v>822.181396301007</v>
      </c>
      <c r="Y591" s="243">
        <f t="shared" si="1462"/>
        <v>349.51816714746337</v>
      </c>
      <c r="Z591" s="57"/>
      <c r="AA591" s="57"/>
      <c r="AB591" s="57"/>
      <c r="AL591" s="533">
        <f t="shared" si="1463"/>
        <v>51364.922463744624</v>
      </c>
      <c r="AM591" s="528"/>
      <c r="AN591" s="57"/>
      <c r="AO591" s="533">
        <f t="shared" si="1464"/>
        <v>2842.2073395527723</v>
      </c>
      <c r="AP591" s="243">
        <f t="shared" si="1465"/>
        <v>2001.5625724894323</v>
      </c>
      <c r="AQ591" s="57"/>
      <c r="AR591" s="533">
        <f t="shared" si="1466"/>
        <v>20977.518727104467</v>
      </c>
      <c r="AS591" s="528"/>
      <c r="AT591" s="57"/>
      <c r="AU591" s="533">
        <f t="shared" si="1467"/>
        <v>1160.7621472390269</v>
      </c>
      <c r="AV591" s="243">
        <f t="shared" si="1468"/>
        <v>775.11272870072423</v>
      </c>
      <c r="AW591" s="57"/>
      <c r="AX591" s="533">
        <f t="shared" si="1469"/>
        <v>1947.7194390818311</v>
      </c>
      <c r="AY591" s="528"/>
      <c r="AZ591" s="57"/>
      <c r="BA591" s="533">
        <f t="shared" si="1470"/>
        <v>154.89443451981481</v>
      </c>
      <c r="BB591" s="243">
        <f t="shared" si="1471"/>
        <v>104.69953927898108</v>
      </c>
      <c r="BC591" s="57"/>
      <c r="BD591" s="57"/>
      <c r="BE591" s="57"/>
    </row>
    <row r="592" spans="1:57" x14ac:dyDescent="0.3">
      <c r="B592" s="8">
        <f t="shared" ref="B592:G592" si="1472">((B588-B582)/($A$588-$A$582))/100</f>
        <v>605.87663407042214</v>
      </c>
      <c r="C592" s="8">
        <f t="shared" si="1472"/>
        <v>200.48742647437359</v>
      </c>
      <c r="D592" s="8">
        <f t="shared" si="1472"/>
        <v>83.091572896731918</v>
      </c>
      <c r="E592" s="8">
        <f t="shared" si="1472"/>
        <v>1004.0981681456299</v>
      </c>
      <c r="F592" s="8">
        <f t="shared" si="1472"/>
        <v>318.04072742994759</v>
      </c>
      <c r="G592" s="8">
        <f t="shared" si="1472"/>
        <v>170.48588108847849</v>
      </c>
      <c r="I592" s="533">
        <f t="shared" si="1454"/>
        <v>105240.38648975597</v>
      </c>
      <c r="J592" s="528"/>
      <c r="K592" s="57"/>
      <c r="L592" s="533">
        <f t="shared" si="1455"/>
        <v>5823.3320435688884</v>
      </c>
      <c r="M592" s="243">
        <f t="shared" si="1456"/>
        <v>3225.9014173211372</v>
      </c>
      <c r="N592" s="57"/>
      <c r="O592" s="533">
        <f t="shared" si="1457"/>
        <v>37476.463517809119</v>
      </c>
      <c r="P592" s="528"/>
      <c r="Q592" s="57"/>
      <c r="R592" s="533">
        <f t="shared" si="1458"/>
        <v>2073.7085653342924</v>
      </c>
      <c r="S592" s="243">
        <f t="shared" si="1459"/>
        <v>1188.6203874044429</v>
      </c>
      <c r="T592" s="57"/>
      <c r="U592" s="533">
        <f t="shared" si="1460"/>
        <v>8615.430529569554</v>
      </c>
      <c r="V592" s="528"/>
      <c r="W592" s="57"/>
      <c r="X592" s="533">
        <f t="shared" si="1461"/>
        <v>685.15116358417242</v>
      </c>
      <c r="Y592" s="243">
        <f t="shared" si="1462"/>
        <v>291.26513928955279</v>
      </c>
      <c r="Z592" s="57"/>
      <c r="AA592" s="57"/>
      <c r="AB592" s="57"/>
      <c r="AL592" s="533">
        <f t="shared" si="1463"/>
        <v>42804.102053120521</v>
      </c>
      <c r="AM592" s="528"/>
      <c r="AN592" s="57"/>
      <c r="AO592" s="533">
        <f t="shared" si="1464"/>
        <v>2368.5061162939769</v>
      </c>
      <c r="AP592" s="243">
        <f t="shared" si="1465"/>
        <v>1667.9688104078605</v>
      </c>
      <c r="AQ592" s="57"/>
      <c r="AR592" s="533">
        <f t="shared" si="1466"/>
        <v>17481.265605920387</v>
      </c>
      <c r="AS592" s="528"/>
      <c r="AT592" s="57"/>
      <c r="AU592" s="533">
        <f t="shared" si="1467"/>
        <v>967.30178936585583</v>
      </c>
      <c r="AV592" s="243">
        <f t="shared" si="1468"/>
        <v>645.92727391727021</v>
      </c>
      <c r="AW592" s="57"/>
      <c r="AX592" s="533">
        <f t="shared" si="1469"/>
        <v>1623.0995325681927</v>
      </c>
      <c r="AY592" s="528"/>
      <c r="AZ592" s="57"/>
      <c r="BA592" s="533">
        <f t="shared" si="1470"/>
        <v>129.07869543317901</v>
      </c>
      <c r="BB592" s="243">
        <f t="shared" si="1471"/>
        <v>87.249616065817577</v>
      </c>
      <c r="BC592" s="57"/>
      <c r="BD592" s="57"/>
      <c r="BE592" s="57"/>
    </row>
    <row r="593" spans="9:57" x14ac:dyDescent="0.3">
      <c r="I593" s="533">
        <f t="shared" si="1454"/>
        <v>84192.309191804772</v>
      </c>
      <c r="J593" s="528"/>
      <c r="K593" s="57"/>
      <c r="L593" s="533">
        <f t="shared" si="1455"/>
        <v>4658.6656348551114</v>
      </c>
      <c r="M593" s="243">
        <f t="shared" si="1456"/>
        <v>2580.72113385691</v>
      </c>
      <c r="N593" s="57"/>
      <c r="O593" s="533">
        <f t="shared" si="1457"/>
        <v>29981.170814247296</v>
      </c>
      <c r="P593" s="528"/>
      <c r="Q593" s="57"/>
      <c r="R593" s="533">
        <f t="shared" si="1458"/>
        <v>1658.966852267434</v>
      </c>
      <c r="S593" s="243">
        <f t="shared" si="1459"/>
        <v>950.89630992355455</v>
      </c>
      <c r="T593" s="57"/>
      <c r="U593" s="533">
        <f t="shared" si="1460"/>
        <v>6892.3444236556425</v>
      </c>
      <c r="V593" s="528"/>
      <c r="W593" s="57"/>
      <c r="X593" s="533">
        <f t="shared" si="1461"/>
        <v>548.12093086733796</v>
      </c>
      <c r="Y593" s="243">
        <f t="shared" si="1462"/>
        <v>233.0121114316423</v>
      </c>
      <c r="Z593" s="57"/>
      <c r="AA593" s="57"/>
      <c r="AB593" s="57"/>
      <c r="AL593" s="533">
        <f t="shared" si="1463"/>
        <v>34243.281642496418</v>
      </c>
      <c r="AM593" s="528"/>
      <c r="AN593" s="57"/>
      <c r="AO593" s="533">
        <f t="shared" si="1464"/>
        <v>1894.8048930351815</v>
      </c>
      <c r="AP593" s="243">
        <f t="shared" si="1465"/>
        <v>1334.3750483262884</v>
      </c>
      <c r="AQ593" s="57"/>
      <c r="AR593" s="533">
        <f t="shared" si="1466"/>
        <v>13985.012484736311</v>
      </c>
      <c r="AS593" s="528"/>
      <c r="AT593" s="57"/>
      <c r="AU593" s="533">
        <f t="shared" si="1467"/>
        <v>773.84143149268459</v>
      </c>
      <c r="AV593" s="243">
        <f t="shared" si="1468"/>
        <v>516.74181913381619</v>
      </c>
      <c r="AW593" s="57"/>
      <c r="AX593" s="533">
        <f t="shared" si="1469"/>
        <v>1298.479626054554</v>
      </c>
      <c r="AY593" s="528"/>
      <c r="AZ593" s="57"/>
      <c r="BA593" s="533">
        <f t="shared" si="1470"/>
        <v>103.26295634654321</v>
      </c>
      <c r="BB593" s="243">
        <f t="shared" si="1471"/>
        <v>69.799692852654061</v>
      </c>
      <c r="BC593" s="57"/>
      <c r="BD593" s="57"/>
      <c r="BE593" s="57"/>
    </row>
    <row r="594" spans="9:57" x14ac:dyDescent="0.3">
      <c r="I594" s="533">
        <f t="shared" si="1454"/>
        <v>63144.23189385359</v>
      </c>
      <c r="J594" s="528"/>
      <c r="K594" s="57"/>
      <c r="L594" s="533">
        <f t="shared" si="1455"/>
        <v>3493.999226141334</v>
      </c>
      <c r="M594" s="243">
        <f t="shared" si="1456"/>
        <v>1935.5408503926828</v>
      </c>
      <c r="N594" s="57"/>
      <c r="O594" s="533">
        <f t="shared" si="1457"/>
        <v>22485.878110685477</v>
      </c>
      <c r="P594" s="528"/>
      <c r="Q594" s="57"/>
      <c r="R594" s="533">
        <f t="shared" si="1458"/>
        <v>1244.2251392005758</v>
      </c>
      <c r="S594" s="243">
        <f t="shared" si="1459"/>
        <v>713.17223244266597</v>
      </c>
      <c r="T594" s="57"/>
      <c r="U594" s="533">
        <f t="shared" si="1460"/>
        <v>5169.2583177417328</v>
      </c>
      <c r="V594" s="528"/>
      <c r="W594" s="57"/>
      <c r="X594" s="533">
        <f t="shared" si="1461"/>
        <v>411.09069815050356</v>
      </c>
      <c r="Y594" s="243">
        <f t="shared" si="1462"/>
        <v>174.75908357373174</v>
      </c>
      <c r="Z594" s="57"/>
      <c r="AA594" s="57"/>
      <c r="AB594" s="57"/>
      <c r="AL594" s="533">
        <f t="shared" si="1463"/>
        <v>25682.461231872319</v>
      </c>
      <c r="AM594" s="528"/>
      <c r="AN594" s="57"/>
      <c r="AO594" s="533">
        <f t="shared" si="1464"/>
        <v>1421.1036697763864</v>
      </c>
      <c r="AP594" s="243">
        <f t="shared" si="1465"/>
        <v>1000.7812862447164</v>
      </c>
      <c r="AQ594" s="57"/>
      <c r="AR594" s="533">
        <f t="shared" si="1466"/>
        <v>10488.759363552235</v>
      </c>
      <c r="AS594" s="528"/>
      <c r="AT594" s="57"/>
      <c r="AU594" s="533">
        <f t="shared" si="1467"/>
        <v>580.38107361951359</v>
      </c>
      <c r="AV594" s="243">
        <f t="shared" si="1468"/>
        <v>387.55636435036217</v>
      </c>
      <c r="AW594" s="57"/>
      <c r="AX594" s="533">
        <f t="shared" si="1469"/>
        <v>973.85971954091576</v>
      </c>
      <c r="AY594" s="528"/>
      <c r="AZ594" s="57"/>
      <c r="BA594" s="533">
        <f t="shared" si="1470"/>
        <v>77.447217259907418</v>
      </c>
      <c r="BB594" s="243">
        <f t="shared" si="1471"/>
        <v>52.349769639490553</v>
      </c>
      <c r="BC594" s="57"/>
      <c r="BD594" s="57"/>
      <c r="BE594" s="57"/>
    </row>
    <row r="595" spans="9:57" x14ac:dyDescent="0.3">
      <c r="I595" s="533">
        <f t="shared" si="1454"/>
        <v>42096.154595902401</v>
      </c>
      <c r="J595" s="528"/>
      <c r="K595" s="57"/>
      <c r="L595" s="533">
        <f t="shared" si="1455"/>
        <v>2329.3328174275566</v>
      </c>
      <c r="M595" s="243">
        <f t="shared" si="1456"/>
        <v>1290.3605669284555</v>
      </c>
      <c r="N595" s="57"/>
      <c r="O595" s="533">
        <f t="shared" si="1457"/>
        <v>14990.585407123652</v>
      </c>
      <c r="P595" s="528"/>
      <c r="Q595" s="57"/>
      <c r="R595" s="533">
        <f t="shared" si="1458"/>
        <v>829.48342613371722</v>
      </c>
      <c r="S595" s="243">
        <f t="shared" si="1459"/>
        <v>475.44815496177745</v>
      </c>
      <c r="T595" s="57"/>
      <c r="U595" s="533">
        <f t="shared" si="1460"/>
        <v>3446.1722118278221</v>
      </c>
      <c r="V595" s="528"/>
      <c r="W595" s="57"/>
      <c r="X595" s="533">
        <f t="shared" si="1461"/>
        <v>274.06046543366909</v>
      </c>
      <c r="Y595" s="243">
        <f t="shared" si="1462"/>
        <v>116.50605571582118</v>
      </c>
      <c r="Z595" s="57"/>
      <c r="AA595" s="57"/>
      <c r="AB595" s="57"/>
      <c r="AL595" s="533">
        <f t="shared" si="1463"/>
        <v>17121.640821248213</v>
      </c>
      <c r="AM595" s="528"/>
      <c r="AN595" s="57"/>
      <c r="AO595" s="533">
        <f t="shared" si="1464"/>
        <v>947.40244651759099</v>
      </c>
      <c r="AP595" s="243">
        <f t="shared" si="1465"/>
        <v>667.18752416314442</v>
      </c>
      <c r="AQ595" s="57"/>
      <c r="AR595" s="533">
        <f t="shared" si="1466"/>
        <v>6992.5062423681575</v>
      </c>
      <c r="AS595" s="528"/>
      <c r="AT595" s="57"/>
      <c r="AU595" s="533">
        <f t="shared" si="1467"/>
        <v>386.92071574634247</v>
      </c>
      <c r="AV595" s="243">
        <f t="shared" si="1468"/>
        <v>258.37090956690821</v>
      </c>
      <c r="AW595" s="57"/>
      <c r="AX595" s="533">
        <f t="shared" si="1469"/>
        <v>649.23981302727725</v>
      </c>
      <c r="AY595" s="528"/>
      <c r="AZ595" s="57"/>
      <c r="BA595" s="533">
        <f t="shared" si="1470"/>
        <v>51.631478173271624</v>
      </c>
      <c r="BB595" s="243">
        <f t="shared" si="1471"/>
        <v>34.899846426327045</v>
      </c>
      <c r="BC595" s="57"/>
      <c r="BD595" s="57"/>
      <c r="BE595" s="57"/>
    </row>
  </sheetData>
  <mergeCells count="182">
    <mergeCell ref="D2:E2"/>
    <mergeCell ref="F2:G2"/>
    <mergeCell ref="H2:I2"/>
    <mergeCell ref="J2:K2"/>
    <mergeCell ref="L2:M2"/>
    <mergeCell ref="A463:B465"/>
    <mergeCell ref="B368:E368"/>
    <mergeCell ref="X2:Y2"/>
    <mergeCell ref="Z2:AA2"/>
    <mergeCell ref="Z184:AA184"/>
    <mergeCell ref="A279:B281"/>
    <mergeCell ref="F368:G368"/>
    <mergeCell ref="H368:I368"/>
    <mergeCell ref="J368:K368"/>
    <mergeCell ref="L368:M368"/>
    <mergeCell ref="N368:O368"/>
    <mergeCell ref="P368:Q368"/>
    <mergeCell ref="R368:S368"/>
    <mergeCell ref="T368:U368"/>
    <mergeCell ref="V368:W368"/>
    <mergeCell ref="X368:Y368"/>
    <mergeCell ref="N2:O2"/>
    <mergeCell ref="P2:Q2"/>
    <mergeCell ref="R2:S2"/>
    <mergeCell ref="T2:U2"/>
    <mergeCell ref="L184:M184"/>
    <mergeCell ref="N184:O184"/>
    <mergeCell ref="P184:Q184"/>
    <mergeCell ref="R184:S184"/>
    <mergeCell ref="Y371:Z371"/>
    <mergeCell ref="X328:Y328"/>
    <mergeCell ref="X338:Y338"/>
    <mergeCell ref="Z368:AA368"/>
    <mergeCell ref="A97:B99"/>
    <mergeCell ref="D184:E184"/>
    <mergeCell ref="F184:G184"/>
    <mergeCell ref="H184:I184"/>
    <mergeCell ref="J184:K184"/>
    <mergeCell ref="A369:O369"/>
    <mergeCell ref="X198:Y198"/>
    <mergeCell ref="T184:U184"/>
    <mergeCell ref="X214:Y214"/>
    <mergeCell ref="T223:U223"/>
    <mergeCell ref="X241:Y241"/>
    <mergeCell ref="X252:Y252"/>
    <mergeCell ref="T266:U266"/>
    <mergeCell ref="T308:U308"/>
    <mergeCell ref="T352:U352"/>
    <mergeCell ref="X184:Y184"/>
    <mergeCell ref="A185:R185"/>
    <mergeCell ref="Y187:Z187"/>
    <mergeCell ref="A566:A567"/>
    <mergeCell ref="B566:B567"/>
    <mergeCell ref="B579:D579"/>
    <mergeCell ref="E579:G579"/>
    <mergeCell ref="I556:M556"/>
    <mergeCell ref="O556:S556"/>
    <mergeCell ref="U556:Y556"/>
    <mergeCell ref="A557:A558"/>
    <mergeCell ref="B557:B558"/>
    <mergeCell ref="I557:J557"/>
    <mergeCell ref="L557:M557"/>
    <mergeCell ref="O557:P557"/>
    <mergeCell ref="R557:S557"/>
    <mergeCell ref="U557:V557"/>
    <mergeCell ref="X557:Y557"/>
    <mergeCell ref="C556:C557"/>
    <mergeCell ref="D556:D557"/>
    <mergeCell ref="AO2:AP2"/>
    <mergeCell ref="B580:D580"/>
    <mergeCell ref="E580:G580"/>
    <mergeCell ref="I577:M577"/>
    <mergeCell ref="O577:S577"/>
    <mergeCell ref="U577:Y577"/>
    <mergeCell ref="I578:J578"/>
    <mergeCell ref="L578:M578"/>
    <mergeCell ref="O578:P578"/>
    <mergeCell ref="R578:S578"/>
    <mergeCell ref="U578:V578"/>
    <mergeCell ref="X578:Y578"/>
    <mergeCell ref="T551:U551"/>
    <mergeCell ref="V551:W551"/>
    <mergeCell ref="I555:AB555"/>
    <mergeCell ref="J551:K551"/>
    <mergeCell ref="L551:M551"/>
    <mergeCell ref="N551:O551"/>
    <mergeCell ref="P551:Q551"/>
    <mergeCell ref="R551:S551"/>
    <mergeCell ref="V2:W2"/>
    <mergeCell ref="V184:W184"/>
    <mergeCell ref="X398:Y398"/>
    <mergeCell ref="X382:Y382"/>
    <mergeCell ref="BA2:BB2"/>
    <mergeCell ref="BC2:BD2"/>
    <mergeCell ref="AD97:AE99"/>
    <mergeCell ref="AG184:AH184"/>
    <mergeCell ref="AI184:AJ184"/>
    <mergeCell ref="AK184:AL184"/>
    <mergeCell ref="AM184:AN184"/>
    <mergeCell ref="AO184:AP184"/>
    <mergeCell ref="AQ184:AR184"/>
    <mergeCell ref="AS184:AT184"/>
    <mergeCell ref="AU184:AV184"/>
    <mergeCell ref="AW184:AX184"/>
    <mergeCell ref="AY184:AZ184"/>
    <mergeCell ref="BA184:BB184"/>
    <mergeCell ref="BC184:BD184"/>
    <mergeCell ref="AQ2:AR2"/>
    <mergeCell ref="AS2:AT2"/>
    <mergeCell ref="AU2:AV2"/>
    <mergeCell ref="AW2:AX2"/>
    <mergeCell ref="AY2:AZ2"/>
    <mergeCell ref="AG2:AH2"/>
    <mergeCell ref="AI2:AJ2"/>
    <mergeCell ref="AK2:AL2"/>
    <mergeCell ref="AM2:AN2"/>
    <mergeCell ref="BA241:BB241"/>
    <mergeCell ref="BA252:BB252"/>
    <mergeCell ref="AW266:AX266"/>
    <mergeCell ref="AD279:AE281"/>
    <mergeCell ref="AW308:AX308"/>
    <mergeCell ref="AD185:AU185"/>
    <mergeCell ref="BB187:BC187"/>
    <mergeCell ref="BA198:BB198"/>
    <mergeCell ref="BA214:BB214"/>
    <mergeCell ref="AW223:AX223"/>
    <mergeCell ref="BA328:BB328"/>
    <mergeCell ref="BA338:BB338"/>
    <mergeCell ref="AW352:AX352"/>
    <mergeCell ref="AE368:AH368"/>
    <mergeCell ref="AI368:AJ368"/>
    <mergeCell ref="AK368:AL368"/>
    <mergeCell ref="AM368:AN368"/>
    <mergeCell ref="AO368:AP368"/>
    <mergeCell ref="AQ368:AR368"/>
    <mergeCell ref="AS368:AT368"/>
    <mergeCell ref="AU368:AV368"/>
    <mergeCell ref="AW368:AX368"/>
    <mergeCell ref="AY368:AZ368"/>
    <mergeCell ref="BA368:BB368"/>
    <mergeCell ref="AD463:AE465"/>
    <mergeCell ref="AM551:AN551"/>
    <mergeCell ref="AO551:AP551"/>
    <mergeCell ref="AQ551:AR551"/>
    <mergeCell ref="AS551:AT551"/>
    <mergeCell ref="BC368:BD368"/>
    <mergeCell ref="AD369:AR369"/>
    <mergeCell ref="BB371:BC371"/>
    <mergeCell ref="BA382:BB382"/>
    <mergeCell ref="BA398:BB398"/>
    <mergeCell ref="AU551:AV551"/>
    <mergeCell ref="AW551:AX551"/>
    <mergeCell ref="AY551:AZ551"/>
    <mergeCell ref="AL555:BE555"/>
    <mergeCell ref="AF556:AF557"/>
    <mergeCell ref="AG556:AG557"/>
    <mergeCell ref="AL556:AP556"/>
    <mergeCell ref="AR556:AV556"/>
    <mergeCell ref="AX556:BB556"/>
    <mergeCell ref="AU557:AV557"/>
    <mergeCell ref="AX557:AY557"/>
    <mergeCell ref="BA557:BB557"/>
    <mergeCell ref="AD566:AD567"/>
    <mergeCell ref="AE566:AE567"/>
    <mergeCell ref="AL577:AP577"/>
    <mergeCell ref="AR577:AV577"/>
    <mergeCell ref="AX577:BB577"/>
    <mergeCell ref="AD557:AD558"/>
    <mergeCell ref="AE557:AE558"/>
    <mergeCell ref="AL557:AM557"/>
    <mergeCell ref="AO557:AP557"/>
    <mergeCell ref="AR557:AS557"/>
    <mergeCell ref="BA578:BB578"/>
    <mergeCell ref="AE579:AG579"/>
    <mergeCell ref="AH579:AJ579"/>
    <mergeCell ref="AE580:AG580"/>
    <mergeCell ref="AH580:AJ580"/>
    <mergeCell ref="AL578:AM578"/>
    <mergeCell ref="AO578:AP578"/>
    <mergeCell ref="AR578:AS578"/>
    <mergeCell ref="AU578:AV578"/>
    <mergeCell ref="AX578:AY578"/>
  </mergeCells>
  <conditionalFormatting sqref="A185 S185:AA185 A329:E329 G329:AA329 A326:AA327 A333:E334 F325 A186:AA186 A187:Y187 AA187 A198:W198 Z198:AA198 A214:W214 Z214:AA214 A223:S223 V223:AA223 A188:AA191 A215:AA222 A224:AA240 A241:W241 Z241:AA241 A252:W252 Z252:AA252 A266:S266 V266:AA266 A242:AA251 A308:S308 V308:AA308 A328:W328 Z328:AA328 A338:W338 Z338:AA338 V352:AA352 J352:S352 A351:G352 J351:AA351 A309:AA324 A330:AA332 G333:AA334 A335:AA337 A353:AA366 A193:AA197 A192:Q192 S192:AA192 A199:Q199 S199:AA199 A339:AA350 A200:AA213 A253:AA265 A267:AA307">
    <cfRule type="cellIs" dxfId="31" priority="33" operator="equal">
      <formula>0</formula>
    </cfRule>
  </conditionalFormatting>
  <conditionalFormatting sqref="A369 P369:AA369 A370:AA370 A398:X398 Z398:AA398 A382:W382 A371:X371 AA371 A372:AA375 A399:AA548 A377:AA381 A376:Q376 S376:AA376 A383:Q383 W383 Z382:AA383 A384:AA397">
    <cfRule type="cellIs" dxfId="30" priority="32" operator="equal">
      <formula>0</formula>
    </cfRule>
  </conditionalFormatting>
  <conditionalFormatting sqref="X198">
    <cfRule type="cellIs" dxfId="29" priority="31" operator="equal">
      <formula>0</formula>
    </cfRule>
  </conditionalFormatting>
  <conditionalFormatting sqref="X214">
    <cfRule type="cellIs" dxfId="28" priority="30" operator="equal">
      <formula>0</formula>
    </cfRule>
  </conditionalFormatting>
  <conditionalFormatting sqref="T223">
    <cfRule type="cellIs" dxfId="27" priority="29" operator="equal">
      <formula>0</formula>
    </cfRule>
  </conditionalFormatting>
  <conditionalFormatting sqref="X241">
    <cfRule type="cellIs" dxfId="26" priority="28" operator="equal">
      <formula>0</formula>
    </cfRule>
  </conditionalFormatting>
  <conditionalFormatting sqref="X252">
    <cfRule type="cellIs" dxfId="25" priority="27" operator="equal">
      <formula>0</formula>
    </cfRule>
  </conditionalFormatting>
  <conditionalFormatting sqref="T266">
    <cfRule type="cellIs" dxfId="24" priority="26" operator="equal">
      <formula>0</formula>
    </cfRule>
  </conditionalFormatting>
  <conditionalFormatting sqref="T308">
    <cfRule type="cellIs" dxfId="23" priority="25" operator="equal">
      <formula>0</formula>
    </cfRule>
  </conditionalFormatting>
  <conditionalFormatting sqref="H351:I352">
    <cfRule type="cellIs" dxfId="22" priority="21" operator="equal">
      <formula>0</formula>
    </cfRule>
  </conditionalFormatting>
  <conditionalFormatting sqref="X328">
    <cfRule type="cellIs" dxfId="21" priority="24" operator="equal">
      <formula>0</formula>
    </cfRule>
  </conditionalFormatting>
  <conditionalFormatting sqref="X338">
    <cfRule type="cellIs" dxfId="20" priority="23" operator="equal">
      <formula>0</formula>
    </cfRule>
  </conditionalFormatting>
  <conditionalFormatting sqref="T352">
    <cfRule type="cellIs" dxfId="19" priority="22" operator="equal">
      <formula>0</formula>
    </cfRule>
  </conditionalFormatting>
  <conditionalFormatting sqref="Y371">
    <cfRule type="cellIs" dxfId="18" priority="19" operator="equal">
      <formula>0</formula>
    </cfRule>
  </conditionalFormatting>
  <conditionalFormatting sqref="S383:V383">
    <cfRule type="cellIs" dxfId="17" priority="18" operator="equal">
      <formula>0</formula>
    </cfRule>
  </conditionalFormatting>
  <conditionalFormatting sqref="AD185 AV185:BD185 AD329:AH329 AJ329:BD329 AD326:BD327 AD333:AH334 AI325 AD186:BD186 AD187:BB187 BD187 AD198:AZ198 BC198:BD198 AD214:AZ214 BC214:BD214 AD223:AV223 AD188:BD191 AD241:AZ241 BC241:BD241 AD252:AZ252 BC252:BD252 AD266:AV266 AY266:BD266 AD308:AV308 AY308:BD308 AD328:AZ328 BC328:BD328 AD338:AZ338 BC338:BD338 AY352:BD352 AM352:AV352 AD351:AJ352 AM351:BD351 AD193:BD197 AD192:AT192 AV192:BD192 AD199:AT199 AV199:BD199 AD330:BD332 AD200:BD213 AD215:BD222 AY223:BD223 AD224:BD240 AD242:BD251 AD253:BD265 AD267:BD307 AD309:BD324 AJ333:BD334 AD335:BD337 AD339:BD350 AD353:BD366">
    <cfRule type="cellIs" dxfId="16" priority="17" operator="equal">
      <formula>0</formula>
    </cfRule>
  </conditionalFormatting>
  <conditionalFormatting sqref="AD369 AS369:BD369 AD370:BD370 AD398:BA398 BC398:BD398 AD382:AZ382 BC382:BD382 AD371:BA371 BD371 AD376:AT376 AD383:AT383 AZ383:BD383 AD384:BD397 AD372:BD375 AV376:BD376 AD377:BD381 AD399:BD548">
    <cfRule type="cellIs" dxfId="15" priority="16" operator="equal">
      <formula>0</formula>
    </cfRule>
  </conditionalFormatting>
  <conditionalFormatting sqref="BA198">
    <cfRule type="cellIs" dxfId="14" priority="15" operator="equal">
      <formula>0</formula>
    </cfRule>
  </conditionalFormatting>
  <conditionalFormatting sqref="BA214">
    <cfRule type="cellIs" dxfId="13" priority="14" operator="equal">
      <formula>0</formula>
    </cfRule>
  </conditionalFormatting>
  <conditionalFormatting sqref="AW223">
    <cfRule type="cellIs" dxfId="12" priority="13" operator="equal">
      <formula>0</formula>
    </cfRule>
  </conditionalFormatting>
  <conditionalFormatting sqref="BA241">
    <cfRule type="cellIs" dxfId="11" priority="12" operator="equal">
      <formula>0</formula>
    </cfRule>
  </conditionalFormatting>
  <conditionalFormatting sqref="BA252">
    <cfRule type="cellIs" dxfId="10" priority="11" operator="equal">
      <formula>0</formula>
    </cfRule>
  </conditionalFormatting>
  <conditionalFormatting sqref="AW266">
    <cfRule type="cellIs" dxfId="9" priority="10" operator="equal">
      <formula>0</formula>
    </cfRule>
  </conditionalFormatting>
  <conditionalFormatting sqref="AW308">
    <cfRule type="cellIs" dxfId="8" priority="9" operator="equal">
      <formula>0</formula>
    </cfRule>
  </conditionalFormatting>
  <conditionalFormatting sqref="AK351:AL352">
    <cfRule type="cellIs" dxfId="7" priority="5" operator="equal">
      <formula>0</formula>
    </cfRule>
  </conditionalFormatting>
  <conditionalFormatting sqref="BA328">
    <cfRule type="cellIs" dxfId="6" priority="8" operator="equal">
      <formula>0</formula>
    </cfRule>
  </conditionalFormatting>
  <conditionalFormatting sqref="BA338">
    <cfRule type="cellIs" dxfId="5" priority="7" operator="equal">
      <formula>0</formula>
    </cfRule>
  </conditionalFormatting>
  <conditionalFormatting sqref="AW352">
    <cfRule type="cellIs" dxfId="4" priority="6" operator="equal">
      <formula>0</formula>
    </cfRule>
  </conditionalFormatting>
  <conditionalFormatting sqref="BA382">
    <cfRule type="cellIs" dxfId="3" priority="4" operator="equal">
      <formula>0</formula>
    </cfRule>
  </conditionalFormatting>
  <conditionalFormatting sqref="BB371">
    <cfRule type="cellIs" dxfId="2" priority="3" operator="equal">
      <formula>0</formula>
    </cfRule>
  </conditionalFormatting>
  <conditionalFormatting sqref="AV383:AY383">
    <cfRule type="cellIs" dxfId="1" priority="2" operator="equal">
      <formula>0</formula>
    </cfRule>
  </conditionalFormatting>
  <conditionalFormatting sqref="X382 X383:Y383">
    <cfRule type="cellIs" dxfId="0" priority="1" operator="equal">
      <formula>0</formula>
    </cfRule>
  </conditionalFormatting>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CJ82"/>
  <sheetViews>
    <sheetView zoomScaleNormal="100" workbookViewId="0">
      <pane xSplit="4" topLeftCell="E1" activePane="topRight" state="frozen"/>
      <selection activeCell="BC23" sqref="BC23"/>
      <selection pane="topRight" activeCell="BC23" sqref="BC23"/>
    </sheetView>
  </sheetViews>
  <sheetFormatPr defaultRowHeight="14.4" x14ac:dyDescent="0.3"/>
  <cols>
    <col min="1" max="1" width="2.88671875" customWidth="1"/>
    <col min="2" max="2" width="12.5546875" style="24" customWidth="1"/>
    <col min="3" max="3" width="9.109375" style="24"/>
    <col min="4" max="4" width="3.44140625" customWidth="1"/>
    <col min="5" max="5" width="9" style="27" bestFit="1" customWidth="1"/>
    <col min="6" max="10" width="7.109375" style="27" bestFit="1" customWidth="1"/>
    <col min="11" max="16" width="9" style="39" customWidth="1"/>
    <col min="17" max="17" width="6.6640625" customWidth="1"/>
    <col min="18" max="18" width="2.88671875" customWidth="1"/>
    <col min="19" max="19" width="11.6640625" bestFit="1" customWidth="1"/>
    <col min="20" max="22" width="11.5546875" bestFit="1" customWidth="1"/>
    <col min="23" max="23" width="11.33203125" customWidth="1"/>
    <col min="24" max="24" width="10.5546875" bestFit="1" customWidth="1"/>
    <col min="25" max="30" width="9.109375" customWidth="1"/>
    <col min="31" max="31" width="3.6640625" customWidth="1"/>
    <col min="32" max="32" width="11.88671875" style="848" bestFit="1" customWidth="1"/>
    <col min="33" max="35" width="12.5546875" style="848" bestFit="1" customWidth="1"/>
    <col min="36" max="37" width="11.5546875" style="848" bestFit="1" customWidth="1"/>
    <col min="38" max="43" width="9.6640625" style="848" bestFit="1" customWidth="1"/>
    <col min="44" max="44" width="9.88671875" customWidth="1"/>
    <col min="45" max="45" width="9.6640625" customWidth="1"/>
    <col min="46" max="46" width="9.6640625" style="24" customWidth="1"/>
    <col min="47" max="49" width="9.6640625" customWidth="1"/>
    <col min="50" max="50" width="10.44140625" bestFit="1" customWidth="1"/>
    <col min="51" max="51" width="11.88671875" customWidth="1"/>
    <col min="52" max="53" width="9.6640625" customWidth="1"/>
    <col min="54" max="54" width="10.44140625" bestFit="1" customWidth="1"/>
    <col min="55" max="55" width="11.77734375" customWidth="1"/>
    <col min="56" max="57" width="7.33203125" customWidth="1"/>
    <col min="58" max="58" width="13.6640625" customWidth="1"/>
    <col min="59" max="59" width="10.88671875" customWidth="1"/>
    <col min="60" max="61" width="10.109375" customWidth="1"/>
    <col min="62" max="62" width="1.88671875" customWidth="1"/>
    <col min="63" max="63" width="10" customWidth="1"/>
    <col min="64" max="64" width="10.44140625" customWidth="1"/>
    <col min="65" max="66" width="7.109375" customWidth="1"/>
    <col min="67" max="67" width="7.33203125" customWidth="1"/>
    <col min="68" max="68" width="5.88671875" customWidth="1"/>
    <col min="69" max="69" width="9.6640625" customWidth="1"/>
    <col min="70" max="70" width="14.109375" style="24" customWidth="1"/>
    <col min="71" max="73" width="9.6640625" customWidth="1"/>
    <col min="74" max="74" width="12" bestFit="1" customWidth="1"/>
    <col min="75" max="75" width="11.6640625" customWidth="1"/>
    <col min="76" max="76" width="9" customWidth="1"/>
    <col min="77" max="78" width="11.109375" customWidth="1"/>
    <col min="79" max="80" width="9.6640625" customWidth="1"/>
    <col min="81" max="81" width="4.5546875" customWidth="1"/>
    <col min="82" max="82" width="7.33203125" customWidth="1"/>
    <col min="83" max="83" width="10" customWidth="1"/>
    <col min="84" max="84" width="10.44140625" customWidth="1"/>
    <col min="86" max="86" width="9.5546875" bestFit="1" customWidth="1"/>
    <col min="88" max="88" width="24.33203125" bestFit="1" customWidth="1"/>
  </cols>
  <sheetData>
    <row r="1" spans="2:87" ht="15.75" customHeight="1" thickBot="1" x14ac:dyDescent="0.35">
      <c r="AS1" s="1142" t="s">
        <v>330</v>
      </c>
      <c r="AT1" s="1142"/>
      <c r="AU1" s="1142"/>
      <c r="AV1" s="1142"/>
      <c r="AW1" s="1142"/>
      <c r="AX1" s="1142"/>
      <c r="AY1" s="1142"/>
      <c r="AZ1" s="1142"/>
      <c r="BA1" s="1142"/>
      <c r="BB1" s="1142"/>
      <c r="BC1" s="1142"/>
      <c r="BD1" s="1142"/>
      <c r="BE1" s="1142"/>
      <c r="BF1" s="1142"/>
      <c r="BG1" s="1142"/>
      <c r="BH1" s="1142"/>
      <c r="BI1" s="1142"/>
      <c r="BJ1" s="1142"/>
      <c r="BK1" s="1142"/>
      <c r="BL1" s="1142"/>
      <c r="BM1" s="1142"/>
      <c r="BN1" s="1142"/>
      <c r="BO1" s="22"/>
      <c r="CD1" s="22"/>
      <c r="CE1" s="22"/>
      <c r="CF1" s="22"/>
    </row>
    <row r="2" spans="2:87" ht="18.600000000000001" thickBot="1" x14ac:dyDescent="0.4">
      <c r="B2" s="1130" t="s">
        <v>16</v>
      </c>
      <c r="C2" s="1131"/>
      <c r="E2" s="1132" t="s">
        <v>523</v>
      </c>
      <c r="F2" s="1132"/>
      <c r="G2" s="1132"/>
      <c r="H2" s="1132"/>
      <c r="I2" s="1132"/>
      <c r="J2" s="1132"/>
      <c r="K2" s="1132"/>
      <c r="L2" s="1132"/>
      <c r="M2" s="1132"/>
      <c r="N2" s="1132"/>
      <c r="O2" s="1132"/>
      <c r="P2" s="1132"/>
      <c r="S2" s="1000" t="s">
        <v>524</v>
      </c>
      <c r="T2" s="1000"/>
      <c r="U2" s="1000"/>
      <c r="V2" s="1000"/>
      <c r="W2" s="1000"/>
      <c r="X2" s="1000"/>
      <c r="Y2" s="1000"/>
      <c r="Z2" s="1000"/>
      <c r="AA2" s="1000"/>
      <c r="AB2" s="1000"/>
      <c r="AC2" s="1000"/>
      <c r="AD2" s="1000"/>
      <c r="AE2" s="1000"/>
      <c r="AF2" s="1000"/>
      <c r="AG2" s="1000"/>
      <c r="AH2" s="1000"/>
      <c r="AI2" s="1000"/>
      <c r="AJ2" s="1000"/>
      <c r="AK2" s="1000"/>
      <c r="AL2" s="1000"/>
      <c r="AM2" s="1000"/>
      <c r="AN2" s="1000"/>
      <c r="AO2" s="1000"/>
      <c r="AP2" s="1000"/>
      <c r="AQ2" s="1000"/>
      <c r="AS2" s="932"/>
      <c r="AT2" s="932"/>
      <c r="AU2" s="932"/>
      <c r="AV2" s="932"/>
      <c r="AW2" s="932"/>
      <c r="AX2" s="932"/>
      <c r="AY2" s="932"/>
      <c r="AZ2" s="932"/>
      <c r="BA2" s="932"/>
      <c r="BB2" s="932"/>
      <c r="BC2" s="932"/>
      <c r="BD2" s="932"/>
      <c r="BE2" s="932"/>
      <c r="BF2" s="932"/>
      <c r="BG2" s="932"/>
      <c r="BH2" s="932"/>
      <c r="BI2" s="932"/>
      <c r="BJ2" s="932"/>
      <c r="BK2" s="932"/>
      <c r="BL2" s="932"/>
      <c r="BM2" s="932"/>
      <c r="BN2" s="932"/>
      <c r="BO2" s="543"/>
      <c r="BP2" s="543"/>
      <c r="BQ2" s="543"/>
      <c r="BR2" s="543"/>
      <c r="BS2" s="543"/>
      <c r="BT2" s="543"/>
      <c r="BU2" s="543"/>
      <c r="BV2" s="543"/>
      <c r="BW2" s="543"/>
      <c r="BX2" s="543"/>
      <c r="BY2" s="543"/>
      <c r="BZ2" s="543"/>
      <c r="CA2" s="543"/>
      <c r="CB2" s="543"/>
      <c r="CC2" s="543"/>
      <c r="CD2" s="579"/>
      <c r="CE2" s="579"/>
      <c r="CF2" s="579"/>
    </row>
    <row r="3" spans="2:87" ht="15" thickBot="1" x14ac:dyDescent="0.35">
      <c r="E3" s="1134" t="s">
        <v>18</v>
      </c>
      <c r="F3" s="1134"/>
      <c r="G3" s="1134"/>
      <c r="H3" s="1134"/>
      <c r="I3" s="1134"/>
      <c r="J3" s="1134"/>
      <c r="K3" s="1134"/>
      <c r="L3" s="1134"/>
      <c r="M3" s="1134"/>
      <c r="N3" s="1134"/>
      <c r="O3" s="1134"/>
      <c r="P3" s="1134"/>
      <c r="S3" s="1143" t="s">
        <v>20</v>
      </c>
      <c r="T3" s="1143"/>
      <c r="U3" s="1143"/>
      <c r="V3" s="1143"/>
      <c r="W3" s="1143"/>
      <c r="X3" s="1143"/>
      <c r="Y3" s="1143"/>
      <c r="Z3" s="1143"/>
      <c r="AA3" s="1143"/>
      <c r="AB3" s="1143"/>
      <c r="AC3" s="1143"/>
      <c r="AD3" s="1143"/>
      <c r="AF3" s="1138" t="s">
        <v>19</v>
      </c>
      <c r="AG3" s="1138"/>
      <c r="AH3" s="1138"/>
      <c r="AI3" s="1138"/>
      <c r="AJ3" s="1138"/>
      <c r="AK3" s="1138"/>
      <c r="AL3" s="1138"/>
      <c r="AM3" s="1138"/>
      <c r="AN3" s="1138"/>
      <c r="AO3" s="1138"/>
      <c r="AP3" s="1138"/>
      <c r="AQ3" s="1138"/>
      <c r="AS3" s="1141" t="s">
        <v>293</v>
      </c>
      <c r="AT3" s="1141"/>
      <c r="AU3" s="1141"/>
      <c r="AV3" s="1141"/>
      <c r="AW3" s="1141"/>
      <c r="AX3" s="1141"/>
      <c r="AY3" s="1141"/>
      <c r="AZ3" s="1141"/>
      <c r="BA3" s="1141"/>
      <c r="BB3" s="1141"/>
      <c r="BC3" s="1141"/>
      <c r="BD3" s="1141"/>
      <c r="BE3" s="536"/>
      <c r="BF3" s="536"/>
      <c r="BG3" s="536"/>
      <c r="BH3" s="536"/>
      <c r="BI3" s="726"/>
      <c r="BJ3" s="536"/>
      <c r="BK3" s="536"/>
      <c r="BL3" s="536"/>
      <c r="BM3" s="536"/>
      <c r="BN3" s="230"/>
      <c r="BQ3" s="1141" t="s">
        <v>300</v>
      </c>
      <c r="BR3" s="1141"/>
      <c r="BS3" s="1141"/>
      <c r="BT3" s="1141"/>
      <c r="BU3" s="1141"/>
      <c r="BV3" s="1141"/>
      <c r="BW3" s="1141"/>
      <c r="BX3" s="1141"/>
      <c r="BY3" s="1141"/>
      <c r="BZ3" s="1141"/>
      <c r="CA3" s="1141"/>
      <c r="CB3" s="1141"/>
      <c r="CD3" s="536"/>
      <c r="CE3" s="536"/>
      <c r="CF3" s="536"/>
    </row>
    <row r="4" spans="2:87" ht="21" customHeight="1" x14ac:dyDescent="0.3">
      <c r="AS4" s="22"/>
      <c r="AT4" s="615"/>
      <c r="AU4" s="22"/>
      <c r="AV4" s="22"/>
      <c r="AW4" s="22"/>
      <c r="AX4" s="22"/>
      <c r="AY4" s="22"/>
      <c r="AZ4" s="22"/>
      <c r="BA4" s="22"/>
      <c r="BB4" s="22"/>
      <c r="BC4" s="22"/>
      <c r="BD4" s="22"/>
      <c r="BE4" s="22"/>
      <c r="BF4" t="s">
        <v>316</v>
      </c>
      <c r="BO4" s="22"/>
      <c r="CD4" t="s">
        <v>316</v>
      </c>
    </row>
    <row r="5" spans="2:87" ht="15" customHeight="1" x14ac:dyDescent="0.3">
      <c r="E5" s="1133" t="s">
        <v>17</v>
      </c>
      <c r="F5" s="1133"/>
      <c r="G5" s="1133"/>
      <c r="H5" s="1133"/>
      <c r="I5" s="1133"/>
      <c r="J5" s="1133"/>
      <c r="K5" s="1133"/>
      <c r="L5" s="1133"/>
      <c r="M5" s="1133"/>
      <c r="N5" s="1133"/>
      <c r="O5" s="1133"/>
      <c r="P5" s="1133"/>
      <c r="S5" s="1136" t="s">
        <v>17</v>
      </c>
      <c r="T5" s="1136"/>
      <c r="U5" s="1136"/>
      <c r="V5" s="1136"/>
      <c r="W5" s="1136"/>
      <c r="X5" s="1136"/>
      <c r="Y5" s="1136"/>
      <c r="Z5" s="1136"/>
      <c r="AA5" s="1136"/>
      <c r="AB5" s="1136"/>
      <c r="AC5" s="1136"/>
      <c r="AD5" s="1136"/>
      <c r="AF5" s="1137" t="s">
        <v>17</v>
      </c>
      <c r="AG5" s="1137"/>
      <c r="AH5" s="1137"/>
      <c r="AI5" s="1137"/>
      <c r="AJ5" s="1137"/>
      <c r="AK5" s="1137"/>
      <c r="AL5" s="1137"/>
      <c r="AM5" s="1137"/>
      <c r="AN5" s="1137"/>
      <c r="AO5" s="1137"/>
      <c r="AP5" s="1137"/>
      <c r="AQ5" s="1137"/>
      <c r="AS5" s="22"/>
      <c r="AT5" s="615"/>
      <c r="AU5" s="874"/>
      <c r="AV5" s="874"/>
      <c r="AW5" s="874"/>
      <c r="AX5" s="874" t="s">
        <v>24</v>
      </c>
      <c r="AY5" s="22"/>
      <c r="BA5" s="40" t="s">
        <v>318</v>
      </c>
      <c r="BB5" s="49">
        <f>Antibody_Candidate!$C$48</f>
        <v>1972937.5</v>
      </c>
      <c r="BD5" s="22"/>
      <c r="BE5" s="22"/>
      <c r="BG5" s="1117" t="s">
        <v>311</v>
      </c>
      <c r="BH5" s="1117"/>
      <c r="BI5" s="1117"/>
      <c r="BJ5" s="1117"/>
      <c r="BK5" s="1117"/>
      <c r="BL5" s="1117"/>
      <c r="BO5" s="22"/>
      <c r="BQ5" s="13"/>
      <c r="CE5" s="1117"/>
      <c r="CF5" s="1117"/>
    </row>
    <row r="6" spans="2:87" x14ac:dyDescent="0.3">
      <c r="B6" s="1135" t="s">
        <v>108</v>
      </c>
      <c r="C6" s="1135"/>
      <c r="E6" s="41">
        <v>1</v>
      </c>
      <c r="F6" s="41">
        <v>2</v>
      </c>
      <c r="G6" s="41">
        <v>3</v>
      </c>
      <c r="H6" s="41">
        <v>4</v>
      </c>
      <c r="I6" s="41">
        <v>5</v>
      </c>
      <c r="J6" s="41">
        <v>6</v>
      </c>
      <c r="K6" s="41">
        <v>7</v>
      </c>
      <c r="L6" s="41">
        <v>8</v>
      </c>
      <c r="M6" s="41">
        <v>9</v>
      </c>
      <c r="N6" s="41">
        <v>10</v>
      </c>
      <c r="O6" s="764">
        <v>11</v>
      </c>
      <c r="P6" s="41">
        <v>12</v>
      </c>
      <c r="S6" s="1">
        <v>1</v>
      </c>
      <c r="T6" s="1">
        <v>2</v>
      </c>
      <c r="U6" s="1">
        <v>3</v>
      </c>
      <c r="V6" s="1">
        <v>4</v>
      </c>
      <c r="W6" s="1">
        <v>5</v>
      </c>
      <c r="X6" s="1">
        <v>6</v>
      </c>
      <c r="Y6" s="1">
        <v>7</v>
      </c>
      <c r="Z6" s="1">
        <v>8</v>
      </c>
      <c r="AA6" s="1">
        <v>9</v>
      </c>
      <c r="AB6" s="1">
        <v>10</v>
      </c>
      <c r="AC6" s="1">
        <v>11</v>
      </c>
      <c r="AD6" s="1">
        <v>12</v>
      </c>
      <c r="AF6" s="36">
        <v>1</v>
      </c>
      <c r="AG6" s="36">
        <v>2</v>
      </c>
      <c r="AH6" s="36">
        <v>3</v>
      </c>
      <c r="AI6" s="36">
        <v>4</v>
      </c>
      <c r="AJ6" s="36">
        <v>5</v>
      </c>
      <c r="AK6" s="36">
        <v>6</v>
      </c>
      <c r="AL6" s="36">
        <v>7</v>
      </c>
      <c r="AM6" s="36">
        <v>8</v>
      </c>
      <c r="AN6" s="36">
        <v>9</v>
      </c>
      <c r="AO6" s="36">
        <v>10</v>
      </c>
      <c r="AP6" s="36">
        <v>11</v>
      </c>
      <c r="AQ6" s="36">
        <v>12</v>
      </c>
      <c r="AS6" s="22"/>
      <c r="AT6" s="615"/>
      <c r="AU6" s="874"/>
      <c r="AV6" s="874"/>
      <c r="AW6" s="101"/>
      <c r="AX6" s="875" t="s">
        <v>156</v>
      </c>
      <c r="AY6" s="840">
        <f>Ratios!$N$2</f>
        <v>3945875</v>
      </c>
      <c r="BA6" s="40" t="s">
        <v>319</v>
      </c>
      <c r="BB6" s="49">
        <f>Antibody_Candidate!$AD$48</f>
        <v>1972937.5</v>
      </c>
      <c r="BD6" s="841"/>
      <c r="BE6" s="1"/>
      <c r="BG6" s="1129" t="s">
        <v>117</v>
      </c>
      <c r="BH6" s="1129"/>
      <c r="BI6" s="527"/>
      <c r="BJ6" s="57"/>
      <c r="BK6" s="1122" t="s">
        <v>216</v>
      </c>
      <c r="BL6" s="1122"/>
      <c r="BO6" s="1"/>
      <c r="BQ6" s="230"/>
      <c r="CE6" s="1122" t="s">
        <v>216</v>
      </c>
      <c r="CF6" s="1122"/>
      <c r="CH6" s="1122" t="s">
        <v>226</v>
      </c>
      <c r="CI6" s="1122"/>
    </row>
    <row r="7" spans="2:87" ht="16.5" customHeight="1" thickBot="1" x14ac:dyDescent="0.35">
      <c r="B7" s="31" t="s">
        <v>14</v>
      </c>
      <c r="C7" s="31" t="s">
        <v>511</v>
      </c>
      <c r="D7" s="25"/>
      <c r="E7" s="247">
        <f>'Input 4_RSV Season'!E15</f>
        <v>7.9000000000000001E-2</v>
      </c>
      <c r="F7" s="247">
        <f>'Input 4_RSV Season'!E16</f>
        <v>0.22899999999999998</v>
      </c>
      <c r="G7" s="247">
        <f>'Input 4_RSV Season'!E17</f>
        <v>0.32600000000000001</v>
      </c>
      <c r="H7" s="247">
        <f>'Input 4_RSV Season'!E18</f>
        <v>0.218</v>
      </c>
      <c r="I7" s="247">
        <f>'Input 4_RSV Season'!E19</f>
        <v>0.11700000000000001</v>
      </c>
      <c r="J7" s="247">
        <f>'Input 4_RSV Season'!E20</f>
        <v>3.1E-2</v>
      </c>
      <c r="K7" s="247">
        <f>'Input 4_RSV Season'!E21</f>
        <v>0</v>
      </c>
      <c r="L7" s="247">
        <f>'Input 4_RSV Season'!E22</f>
        <v>0</v>
      </c>
      <c r="M7" s="271">
        <f>'Input 4_RSV Season'!E23</f>
        <v>0</v>
      </c>
      <c r="N7" s="271">
        <f>'Input 4_RSV Season'!E24</f>
        <v>0</v>
      </c>
      <c r="O7" s="765">
        <f>'Input 4_RSV Season'!E13</f>
        <v>0</v>
      </c>
      <c r="P7" s="247">
        <f>'Input 4_RSV Season'!E14</f>
        <v>0</v>
      </c>
      <c r="Q7" s="248">
        <f>SUM(E7:P7)</f>
        <v>1</v>
      </c>
      <c r="R7" s="23"/>
      <c r="BF7" s="561" t="s">
        <v>314</v>
      </c>
      <c r="BG7" s="1123" t="s">
        <v>312</v>
      </c>
      <c r="BH7" s="1126" t="s">
        <v>313</v>
      </c>
      <c r="BI7" s="725"/>
      <c r="BJ7" s="57"/>
      <c r="BK7" s="1123" t="s">
        <v>312</v>
      </c>
      <c r="BL7" s="1126" t="s">
        <v>313</v>
      </c>
      <c r="CD7" s="561" t="s">
        <v>314</v>
      </c>
      <c r="CE7" s="1123" t="s">
        <v>312</v>
      </c>
      <c r="CF7" s="1126" t="s">
        <v>313</v>
      </c>
      <c r="CH7" s="1140" t="s">
        <v>313</v>
      </c>
      <c r="CI7" s="1140"/>
    </row>
    <row r="8" spans="2:87" x14ac:dyDescent="0.3">
      <c r="B8" s="26">
        <v>0</v>
      </c>
      <c r="C8" s="245">
        <f>'Input 2_RSV Rates'!T10*'Input 3_Clinical Severity'!$S$9</f>
        <v>13.5</v>
      </c>
      <c r="E8" s="20">
        <f>$C8/SUM($C$8:$C$19)*E$7</f>
        <v>1.0538537549407116E-2</v>
      </c>
      <c r="F8" s="20">
        <f t="shared" ref="F8:P8" si="0">$C8/SUM($C$8:$C$19)*F$7</f>
        <v>3.0548418972332014E-2</v>
      </c>
      <c r="G8" s="20">
        <f t="shared" si="0"/>
        <v>4.3488142292490123E-2</v>
      </c>
      <c r="H8" s="20">
        <f t="shared" si="0"/>
        <v>2.9081027667984191E-2</v>
      </c>
      <c r="I8" s="20">
        <f t="shared" si="0"/>
        <v>1.5607707509881425E-2</v>
      </c>
      <c r="J8" s="20">
        <f t="shared" si="0"/>
        <v>4.1353754940711461E-3</v>
      </c>
      <c r="K8" s="20">
        <f t="shared" si="0"/>
        <v>0</v>
      </c>
      <c r="L8" s="20">
        <f t="shared" si="0"/>
        <v>0</v>
      </c>
      <c r="M8" s="20">
        <f t="shared" si="0"/>
        <v>0</v>
      </c>
      <c r="N8" s="20">
        <f t="shared" si="0"/>
        <v>0</v>
      </c>
      <c r="O8" s="20">
        <f t="shared" si="0"/>
        <v>0</v>
      </c>
      <c r="P8" s="20">
        <f t="shared" si="0"/>
        <v>0</v>
      </c>
      <c r="S8" s="852">
        <f>IF('Input 5_Product Uptake'!$M$9=0,E8*Ratios!$N$10,E8*Ratios!$N$10*Ratios!$Z$10)</f>
        <v>47.071858026339598</v>
      </c>
      <c r="T8" s="852">
        <f>IF('Input 5_Product Uptake'!$M$9=0,F8*Ratios!$N$10,F8*Ratios!$N$10*Ratios!$Z$10)</f>
        <v>136.44880364597174</v>
      </c>
      <c r="U8" s="852">
        <f>IF('Input 5_Product Uptake'!$M$9=0,G8*Ratios!$N$10,G8*Ratios!$N$10*Ratios!$Z$10)</f>
        <v>194.24589514666718</v>
      </c>
      <c r="V8" s="852">
        <f>IF('Input 5_Product Uptake'!$M$9=0,H8*Ratios!$N$10,H8*Ratios!$N$10*Ratios!$Z$10)</f>
        <v>129.89449430053205</v>
      </c>
      <c r="W8" s="852">
        <f>IF('Input 5_Product Uptake'!$M$9=0,I8*Ratios!$N$10,I8*Ratios!$N$10*Ratios!$Z$10)</f>
        <v>69.71401758331308</v>
      </c>
      <c r="X8" s="852">
        <f>IF('Input 5_Product Uptake'!$M$9=0,J8*Ratios!$N$10,J8*Ratios!$N$10*Ratios!$Z$10)</f>
        <v>18.471235428057305</v>
      </c>
      <c r="Y8" s="852">
        <f>IF('Input 5_Product Uptake'!$M$9=0,K8*Ratios!$N$10,K8*Ratios!$N$10*Ratios!$Z$10)</f>
        <v>0</v>
      </c>
      <c r="Z8" s="852">
        <f>IF('Input 5_Product Uptake'!$M$9=0,L8*Ratios!$N$10,L8*Ratios!$N$10*Ratios!$Z$10)</f>
        <v>0</v>
      </c>
      <c r="AA8" s="852">
        <f>IF('Input 5_Product Uptake'!$M$9=0,M8*Ratios!$N$10,M8*Ratios!$N$10*Ratios!$Z$10)</f>
        <v>0</v>
      </c>
      <c r="AB8" s="852">
        <f>IF('Input 5_Product Uptake'!$M$9=0,N8*Ratios!$N$10,N8*Ratios!$N$10*Ratios!$Z$10)</f>
        <v>0</v>
      </c>
      <c r="AC8" s="852">
        <f>IF('Input 5_Product Uptake'!$M$9=0,O8*Ratios!$N$10,O8*Ratios!$N$10*Ratios!$Z$10)</f>
        <v>0</v>
      </c>
      <c r="AD8" s="852">
        <f>IF('Input 5_Product Uptake'!$M$9=0,P8*Ratios!$N$10,P8*Ratios!$N$10*Ratios!$Z$10)</f>
        <v>0</v>
      </c>
      <c r="AF8" s="849">
        <f>Ratios!$P$10*E8</f>
        <v>320.09488921429886</v>
      </c>
      <c r="AG8" s="849">
        <f>Ratios!$P$10*F8</f>
        <v>927.86999531739775</v>
      </c>
      <c r="AH8" s="849">
        <f>Ratios!$P$10*G8</f>
        <v>1320.8978972640687</v>
      </c>
      <c r="AI8" s="849">
        <f>Ratios!$P$10*H8</f>
        <v>883.29982086983728</v>
      </c>
      <c r="AJ8" s="849">
        <f>Ratios!$P$10*I8</f>
        <v>474.0645827604173</v>
      </c>
      <c r="AK8" s="849">
        <f>Ratios!$P$10*J8</f>
        <v>125.60685526130713</v>
      </c>
      <c r="AL8" s="849">
        <f>Ratios!$P$10*K8</f>
        <v>0</v>
      </c>
      <c r="AM8" s="849">
        <f>Ratios!$P$10*L8</f>
        <v>0</v>
      </c>
      <c r="AN8" s="849">
        <f>Ratios!$P$10*M8</f>
        <v>0</v>
      </c>
      <c r="AO8" s="849">
        <f>Ratios!$P$10*N8</f>
        <v>0</v>
      </c>
      <c r="AP8" s="849">
        <f>Ratios!$P$10*O8</f>
        <v>0</v>
      </c>
      <c r="AQ8" s="849">
        <f>Ratios!$P$10*P8</f>
        <v>0</v>
      </c>
      <c r="AS8" s="275">
        <f>S8</f>
        <v>47.071858026339598</v>
      </c>
      <c r="AT8" s="275">
        <f t="shared" ref="AT8:BD19" si="1">T8</f>
        <v>136.44880364597174</v>
      </c>
      <c r="AU8" s="275">
        <f t="shared" si="1"/>
        <v>194.24589514666718</v>
      </c>
      <c r="AV8" s="275">
        <f t="shared" si="1"/>
        <v>129.89449430053205</v>
      </c>
      <c r="AW8" s="275">
        <f t="shared" si="1"/>
        <v>69.71401758331308</v>
      </c>
      <c r="AX8" s="275">
        <f t="shared" si="1"/>
        <v>18.471235428057305</v>
      </c>
      <c r="AY8" s="275">
        <f t="shared" si="1"/>
        <v>0</v>
      </c>
      <c r="AZ8" s="275">
        <f t="shared" si="1"/>
        <v>0</v>
      </c>
      <c r="BA8" s="275">
        <f t="shared" si="1"/>
        <v>0</v>
      </c>
      <c r="BB8" s="275">
        <f t="shared" si="1"/>
        <v>0</v>
      </c>
      <c r="BC8" s="275">
        <f t="shared" si="1"/>
        <v>0</v>
      </c>
      <c r="BD8" s="275">
        <f t="shared" si="1"/>
        <v>0</v>
      </c>
      <c r="BE8" s="275"/>
      <c r="BF8" s="573" t="s">
        <v>317</v>
      </c>
      <c r="BG8" s="1124"/>
      <c r="BH8" s="1127"/>
      <c r="BI8" s="725"/>
      <c r="BJ8" s="57"/>
      <c r="BK8" s="1124"/>
      <c r="BL8" s="1127"/>
      <c r="BO8" s="275"/>
      <c r="BQ8" s="35">
        <f>AF8</f>
        <v>320.09488921429886</v>
      </c>
      <c r="BR8" s="35">
        <f t="shared" ref="BR8:CB19" si="2">AG8</f>
        <v>927.86999531739775</v>
      </c>
      <c r="BS8" s="35">
        <f t="shared" si="2"/>
        <v>1320.8978972640687</v>
      </c>
      <c r="BT8" s="35">
        <f t="shared" si="2"/>
        <v>883.29982086983728</v>
      </c>
      <c r="BU8" s="35">
        <f t="shared" si="2"/>
        <v>474.0645827604173</v>
      </c>
      <c r="BV8" s="35">
        <f t="shared" si="2"/>
        <v>125.60685526130713</v>
      </c>
      <c r="BW8" s="35">
        <f t="shared" si="2"/>
        <v>0</v>
      </c>
      <c r="BX8" s="35">
        <f t="shared" si="2"/>
        <v>0</v>
      </c>
      <c r="BY8" s="35">
        <f t="shared" si="2"/>
        <v>0</v>
      </c>
      <c r="BZ8" s="35">
        <f t="shared" si="2"/>
        <v>0</v>
      </c>
      <c r="CA8" s="35">
        <f t="shared" si="2"/>
        <v>0</v>
      </c>
      <c r="CB8" s="35">
        <f t="shared" si="2"/>
        <v>0</v>
      </c>
      <c r="CC8" s="35"/>
      <c r="CD8" s="573" t="s">
        <v>317</v>
      </c>
      <c r="CE8" s="1124"/>
      <c r="CF8" s="1127"/>
      <c r="CH8" s="1139"/>
      <c r="CI8" s="1139"/>
    </row>
    <row r="9" spans="2:87" x14ac:dyDescent="0.3">
      <c r="B9" s="26">
        <v>1</v>
      </c>
      <c r="C9" s="245">
        <f>'Input 2_RSV Rates'!T11*'Input 3_Clinical Severity'!$S$9</f>
        <v>25.9</v>
      </c>
      <c r="E9" s="20">
        <f t="shared" ref="E9:P19" si="3">$C9/SUM($C$8:$C$19)*E$7</f>
        <v>2.0218379446640313E-2</v>
      </c>
      <c r="F9" s="20">
        <f t="shared" si="3"/>
        <v>5.860770750988141E-2</v>
      </c>
      <c r="G9" s="20">
        <f t="shared" si="3"/>
        <v>8.3432806324110667E-2</v>
      </c>
      <c r="H9" s="20">
        <f t="shared" si="3"/>
        <v>5.5792490118577065E-2</v>
      </c>
      <c r="I9" s="20">
        <f t="shared" si="3"/>
        <v>2.9943675889328062E-2</v>
      </c>
      <c r="J9" s="20">
        <f t="shared" si="3"/>
        <v>7.9337944664031601E-3</v>
      </c>
      <c r="K9" s="20">
        <f t="shared" si="3"/>
        <v>0</v>
      </c>
      <c r="L9" s="20">
        <f t="shared" si="3"/>
        <v>0</v>
      </c>
      <c r="M9" s="20">
        <f t="shared" si="3"/>
        <v>0</v>
      </c>
      <c r="N9" s="20">
        <f t="shared" si="3"/>
        <v>0</v>
      </c>
      <c r="O9" s="20">
        <f t="shared" si="3"/>
        <v>0</v>
      </c>
      <c r="P9" s="20">
        <f t="shared" si="3"/>
        <v>0</v>
      </c>
      <c r="S9" s="852">
        <f>IF('Input 5_Product Uptake'!$M$9=0,E9*Ratios!$N$10,E9*Ratios!$N$10*Ratios!$Z$10)</f>
        <v>90.30823132460705</v>
      </c>
      <c r="T9" s="852">
        <f>IF('Input 5_Product Uptake'!$M$9=0,F9*Ratios!$N$10,F9*Ratios!$N$10*Ratios!$Z$10)</f>
        <v>261.77955662449381</v>
      </c>
      <c r="U9" s="852">
        <f>IF('Input 5_Product Uptake'!$M$9=0,G9*Ratios!$N$10,G9*Ratios!$N$10*Ratios!$Z$10)</f>
        <v>372.66434698508738</v>
      </c>
      <c r="V9" s="852">
        <f>IF('Input 5_Product Uptake'!$M$9=0,H9*Ratios!$N$10,H9*Ratios!$N$10*Ratios!$Z$10)</f>
        <v>249.20499276916883</v>
      </c>
      <c r="W9" s="852">
        <f>IF('Input 5_Product Uptake'!$M$9=0,I9*Ratios!$N$10,I9*Ratios!$N$10*Ratios!$Z$10)</f>
        <v>133.74763373391173</v>
      </c>
      <c r="X9" s="852">
        <f>IF('Input 5_Product Uptake'!$M$9=0,J9*Ratios!$N$10,J9*Ratios!$N$10*Ratios!$Z$10)</f>
        <v>35.437407228643266</v>
      </c>
      <c r="Y9" s="852">
        <f>IF('Input 5_Product Uptake'!$M$9=0,K9*Ratios!$N$10,K9*Ratios!$N$10*Ratios!$Z$10)</f>
        <v>0</v>
      </c>
      <c r="Z9" s="852">
        <f>IF('Input 5_Product Uptake'!$M$9=0,L9*Ratios!$N$10,L9*Ratios!$N$10*Ratios!$Z$10)</f>
        <v>0</v>
      </c>
      <c r="AA9" s="852">
        <f>IF('Input 5_Product Uptake'!$M$9=0,M9*Ratios!$N$10,M9*Ratios!$N$10*Ratios!$Z$10)</f>
        <v>0</v>
      </c>
      <c r="AB9" s="852">
        <f>IF('Input 5_Product Uptake'!$M$9=0,N9*Ratios!$N$10,N9*Ratios!$N$10*Ratios!$Z$10)</f>
        <v>0</v>
      </c>
      <c r="AC9" s="852">
        <f>IF('Input 5_Product Uptake'!$M$9=0,O9*Ratios!$N$10,O9*Ratios!$N$10*Ratios!$Z$10)</f>
        <v>0</v>
      </c>
      <c r="AD9" s="852">
        <f>IF('Input 5_Product Uptake'!$M$9=0,P9*Ratios!$N$10,P9*Ratios!$N$10*Ratios!$Z$10)</f>
        <v>0</v>
      </c>
      <c r="AF9" s="849">
        <f>Ratios!$P$10*E9</f>
        <v>614.10797264076575</v>
      </c>
      <c r="AG9" s="849">
        <f>Ratios!$P$10*F9</f>
        <v>1780.1357687941183</v>
      </c>
      <c r="AH9" s="849">
        <f>Ratios!$P$10*G9</f>
        <v>2534.1670769732868</v>
      </c>
      <c r="AI9" s="849">
        <f>Ratios!$P$10*H9</f>
        <v>1694.6270637428727</v>
      </c>
      <c r="AJ9" s="849">
        <f>Ratios!$P$10*I9</f>
        <v>909.50168099961525</v>
      </c>
      <c r="AK9" s="849">
        <f>Ratios!$P$10*J9</f>
        <v>240.97907787169288</v>
      </c>
      <c r="AL9" s="849">
        <f>Ratios!$P$10*K9</f>
        <v>0</v>
      </c>
      <c r="AM9" s="849">
        <f>Ratios!$P$10*L9</f>
        <v>0</v>
      </c>
      <c r="AN9" s="849">
        <f>Ratios!$P$10*M9</f>
        <v>0</v>
      </c>
      <c r="AO9" s="849">
        <f>Ratios!$P$10*N9</f>
        <v>0</v>
      </c>
      <c r="AP9" s="849">
        <f>Ratios!$P$10*O9</f>
        <v>0</v>
      </c>
      <c r="AQ9" s="849">
        <f>Ratios!$P$10*P9</f>
        <v>0</v>
      </c>
      <c r="AS9" s="275">
        <f t="shared" ref="AS9:AS19" si="4">S9</f>
        <v>90.30823132460705</v>
      </c>
      <c r="AT9" s="275">
        <f t="shared" si="1"/>
        <v>261.77955662449381</v>
      </c>
      <c r="AU9" s="275">
        <f t="shared" si="1"/>
        <v>372.66434698508738</v>
      </c>
      <c r="AV9" s="275">
        <f t="shared" si="1"/>
        <v>249.20499276916883</v>
      </c>
      <c r="AW9" s="275">
        <f t="shared" si="1"/>
        <v>133.74763373391173</v>
      </c>
      <c r="AX9" s="275">
        <f t="shared" si="1"/>
        <v>35.437407228643266</v>
      </c>
      <c r="AY9" s="275">
        <f t="shared" si="1"/>
        <v>0</v>
      </c>
      <c r="AZ9" s="275">
        <f t="shared" si="1"/>
        <v>0</v>
      </c>
      <c r="BA9" s="275">
        <f t="shared" si="1"/>
        <v>0</v>
      </c>
      <c r="BB9" s="275">
        <f t="shared" si="1"/>
        <v>0</v>
      </c>
      <c r="BC9" s="275">
        <f t="shared" si="1"/>
        <v>0</v>
      </c>
      <c r="BD9" s="275">
        <f t="shared" si="1"/>
        <v>0</v>
      </c>
      <c r="BE9" s="275"/>
      <c r="BF9" s="518"/>
      <c r="BG9" s="1125"/>
      <c r="BH9" s="1128"/>
      <c r="BI9" s="725"/>
      <c r="BJ9" s="57"/>
      <c r="BK9" s="1125"/>
      <c r="BL9" s="1128"/>
      <c r="BO9" s="275"/>
      <c r="BQ9" s="35">
        <f t="shared" ref="BQ9:BQ19" si="5">AF9</f>
        <v>614.10797264076575</v>
      </c>
      <c r="BR9" s="35">
        <f t="shared" si="2"/>
        <v>1780.1357687941183</v>
      </c>
      <c r="BS9" s="35">
        <f t="shared" si="2"/>
        <v>2534.1670769732868</v>
      </c>
      <c r="BT9" s="35">
        <f t="shared" si="2"/>
        <v>1694.6270637428727</v>
      </c>
      <c r="BU9" s="35">
        <f t="shared" si="2"/>
        <v>909.50168099961525</v>
      </c>
      <c r="BV9" s="35">
        <f t="shared" si="2"/>
        <v>240.97907787169288</v>
      </c>
      <c r="BW9" s="35">
        <f t="shared" si="2"/>
        <v>0</v>
      </c>
      <c r="BX9" s="35">
        <f t="shared" si="2"/>
        <v>0</v>
      </c>
      <c r="BY9" s="35">
        <f t="shared" si="2"/>
        <v>0</v>
      </c>
      <c r="BZ9" s="35">
        <f t="shared" si="2"/>
        <v>0</v>
      </c>
      <c r="CA9" s="35">
        <f t="shared" si="2"/>
        <v>0</v>
      </c>
      <c r="CB9" s="35">
        <f t="shared" si="2"/>
        <v>0</v>
      </c>
      <c r="CC9" s="35"/>
      <c r="CD9" s="518"/>
      <c r="CE9" s="1125"/>
      <c r="CF9" s="1128"/>
      <c r="CH9" s="1139"/>
      <c r="CI9" s="1139"/>
    </row>
    <row r="10" spans="2:87" x14ac:dyDescent="0.3">
      <c r="B10" s="26">
        <v>2</v>
      </c>
      <c r="C10" s="245">
        <f>'Input 2_RSV Rates'!T12*'Input 3_Clinical Severity'!$S$9</f>
        <v>14.3</v>
      </c>
      <c r="E10" s="20">
        <f t="shared" si="3"/>
        <v>1.1163043478260871E-2</v>
      </c>
      <c r="F10" s="20">
        <f t="shared" si="3"/>
        <v>3.2358695652173912E-2</v>
      </c>
      <c r="G10" s="20">
        <f t="shared" si="3"/>
        <v>4.6065217391304356E-2</v>
      </c>
      <c r="H10" s="20">
        <f t="shared" si="3"/>
        <v>3.0804347826086959E-2</v>
      </c>
      <c r="I10" s="20">
        <f t="shared" si="3"/>
        <v>1.6532608695652175E-2</v>
      </c>
      <c r="J10" s="20">
        <f t="shared" si="3"/>
        <v>4.3804347826086965E-3</v>
      </c>
      <c r="K10" s="20">
        <f t="shared" si="3"/>
        <v>0</v>
      </c>
      <c r="L10" s="20">
        <f t="shared" si="3"/>
        <v>0</v>
      </c>
      <c r="M10" s="20">
        <f t="shared" si="3"/>
        <v>0</v>
      </c>
      <c r="N10" s="20">
        <f t="shared" si="3"/>
        <v>0</v>
      </c>
      <c r="O10" s="20">
        <f t="shared" si="3"/>
        <v>0</v>
      </c>
      <c r="P10" s="20">
        <f t="shared" si="3"/>
        <v>0</v>
      </c>
      <c r="S10" s="852">
        <f>IF('Input 5_Product Uptake'!$M$9=0,E10*Ratios!$N$10,E10*Ratios!$N$10*Ratios!$Z$10)</f>
        <v>49.861301464937497</v>
      </c>
      <c r="T10" s="852">
        <f>IF('Input 5_Product Uptake'!$M$9=0,F10*Ratios!$N$10,F10*Ratios!$N$10*Ratios!$Z$10)</f>
        <v>144.53465867684412</v>
      </c>
      <c r="U10" s="852">
        <f>IF('Input 5_Product Uptake'!$M$9=0,G10*Ratios!$N$10,G10*Ratios!$N$10*Ratios!$Z$10)</f>
        <v>205.75676300721045</v>
      </c>
      <c r="V10" s="852">
        <f>IF('Input 5_Product Uptake'!$M$9=0,H10*Ratios!$N$10,H10*Ratios!$N$10*Ratios!$Z$10)</f>
        <v>137.59194581463765</v>
      </c>
      <c r="W10" s="852">
        <f>IF('Input 5_Product Uptake'!$M$9=0,I10*Ratios!$N$10,I10*Ratios!$N$10*Ratios!$Z$10)</f>
        <v>73.845218625287174</v>
      </c>
      <c r="X10" s="852">
        <f>IF('Input 5_Product Uptake'!$M$9=0,J10*Ratios!$N$10,J10*Ratios!$N$10*Ratios!$Z$10)</f>
        <v>19.565827157127377</v>
      </c>
      <c r="Y10" s="852">
        <f>IF('Input 5_Product Uptake'!$M$9=0,K10*Ratios!$N$10,K10*Ratios!$N$10*Ratios!$Z$10)</f>
        <v>0</v>
      </c>
      <c r="Z10" s="852">
        <f>IF('Input 5_Product Uptake'!$M$9=0,L10*Ratios!$N$10,L10*Ratios!$N$10*Ratios!$Z$10)</f>
        <v>0</v>
      </c>
      <c r="AA10" s="852">
        <f>IF('Input 5_Product Uptake'!$M$9=0,M10*Ratios!$N$10,M10*Ratios!$N$10*Ratios!$Z$10)</f>
        <v>0</v>
      </c>
      <c r="AB10" s="852">
        <f>IF('Input 5_Product Uptake'!$M$9=0,N10*Ratios!$N$10,N10*Ratios!$N$10*Ratios!$Z$10)</f>
        <v>0</v>
      </c>
      <c r="AC10" s="852">
        <f>IF('Input 5_Product Uptake'!$M$9=0,O10*Ratios!$N$10,O10*Ratios!$N$10*Ratios!$Z$10)</f>
        <v>0</v>
      </c>
      <c r="AD10" s="852">
        <f>IF('Input 5_Product Uptake'!$M$9=0,P10*Ratios!$N$10,P10*Ratios!$N$10*Ratios!$Z$10)</f>
        <v>0</v>
      </c>
      <c r="AF10" s="849">
        <f>Ratios!$P$10*E10</f>
        <v>339.06347524181285</v>
      </c>
      <c r="AG10" s="849">
        <f>Ratios!$P$10*F10</f>
        <v>982.85488392879915</v>
      </c>
      <c r="AH10" s="849">
        <f>Ratios!$P$10*G10</f>
        <v>1399.1733282130506</v>
      </c>
      <c r="AI10" s="849">
        <f>Ratios!$P$10*H10</f>
        <v>935.64351395842027</v>
      </c>
      <c r="AJ10" s="849">
        <f>Ratios!$P$10*I10</f>
        <v>502.15729877584943</v>
      </c>
      <c r="AK10" s="849">
        <f>Ratios!$P$10*J10</f>
        <v>133.05022446197722</v>
      </c>
      <c r="AL10" s="849">
        <f>Ratios!$P$10*K10</f>
        <v>0</v>
      </c>
      <c r="AM10" s="849">
        <f>Ratios!$P$10*L10</f>
        <v>0</v>
      </c>
      <c r="AN10" s="849">
        <f>Ratios!$P$10*M10</f>
        <v>0</v>
      </c>
      <c r="AO10" s="849">
        <f>Ratios!$P$10*N10</f>
        <v>0</v>
      </c>
      <c r="AP10" s="849">
        <f>Ratios!$P$10*O10</f>
        <v>0</v>
      </c>
      <c r="AQ10" s="849">
        <f>Ratios!$P$10*P10</f>
        <v>0</v>
      </c>
      <c r="AS10" s="275">
        <f t="shared" si="4"/>
        <v>49.861301464937497</v>
      </c>
      <c r="AT10" s="275">
        <f t="shared" si="1"/>
        <v>144.53465867684412</v>
      </c>
      <c r="AU10" s="275">
        <f t="shared" si="1"/>
        <v>205.75676300721045</v>
      </c>
      <c r="AV10" s="275">
        <f t="shared" si="1"/>
        <v>137.59194581463765</v>
      </c>
      <c r="AW10" s="275">
        <f t="shared" si="1"/>
        <v>73.845218625287174</v>
      </c>
      <c r="AX10" s="275">
        <f t="shared" si="1"/>
        <v>19.565827157127377</v>
      </c>
      <c r="AY10" s="275">
        <f t="shared" si="1"/>
        <v>0</v>
      </c>
      <c r="AZ10" s="275">
        <f t="shared" si="1"/>
        <v>0</v>
      </c>
      <c r="BA10" s="275">
        <f t="shared" si="1"/>
        <v>0</v>
      </c>
      <c r="BB10" s="275">
        <f t="shared" si="1"/>
        <v>0</v>
      </c>
      <c r="BC10" s="275">
        <f t="shared" si="1"/>
        <v>0</v>
      </c>
      <c r="BD10" s="275">
        <f t="shared" si="1"/>
        <v>0</v>
      </c>
      <c r="BE10" s="275"/>
      <c r="BF10" s="557">
        <f>IF($B8=0,1,IF(AND(BF9&gt;0,$B8&lt;='Input 4_RSV Season'!$AG$27-1),BF9+1,0))</f>
        <v>1</v>
      </c>
      <c r="BG10" s="549">
        <f>IF(AND($BF10&gt;0,$BF10&lt;='Input 6_Product Efficacy'!$Q$9/30),SUM($AS8:$BD8),0)</f>
        <v>595.84630413088098</v>
      </c>
      <c r="BH10" s="554">
        <f>IF(AND($BF10&gt;0,$BF10&gt;'Input 6_Product Efficacy'!$Q$9/30),SUM($AS8:$BD8),0)</f>
        <v>0</v>
      </c>
      <c r="BI10" s="593"/>
      <c r="BK10" s="549">
        <f>IF(AND($BF10&gt;0,$BF10&lt;='Input 6_Product Efficacy'!$Q$12/30),SUM($AS8:$BD8),0)</f>
        <v>595.84630413088098</v>
      </c>
      <c r="BL10" s="554">
        <f>IF(AND($BF10&gt;0,$BF10&gt;'Input 6_Product Efficacy'!$Q$12/30),SUM($AS8:$BD8),0)</f>
        <v>0</v>
      </c>
      <c r="BO10" s="275"/>
      <c r="BQ10" s="35">
        <f t="shared" si="5"/>
        <v>339.06347524181285</v>
      </c>
      <c r="BR10" s="35">
        <f t="shared" si="2"/>
        <v>982.85488392879915</v>
      </c>
      <c r="BS10" s="35">
        <f t="shared" si="2"/>
        <v>1399.1733282130506</v>
      </c>
      <c r="BT10" s="35">
        <f t="shared" si="2"/>
        <v>935.64351395842027</v>
      </c>
      <c r="BU10" s="35">
        <f t="shared" si="2"/>
        <v>502.15729877584943</v>
      </c>
      <c r="BV10" s="35">
        <f t="shared" si="2"/>
        <v>133.05022446197722</v>
      </c>
      <c r="BW10" s="35">
        <f t="shared" si="2"/>
        <v>0</v>
      </c>
      <c r="BX10" s="35">
        <f t="shared" si="2"/>
        <v>0</v>
      </c>
      <c r="BY10" s="35">
        <f t="shared" si="2"/>
        <v>0</v>
      </c>
      <c r="BZ10" s="35">
        <f t="shared" si="2"/>
        <v>0</v>
      </c>
      <c r="CA10" s="35">
        <f t="shared" si="2"/>
        <v>0</v>
      </c>
      <c r="CB10" s="35">
        <f t="shared" si="2"/>
        <v>0</v>
      </c>
      <c r="CC10" s="35"/>
      <c r="CD10" s="557">
        <f>IF($B8=0,1,IF(AND(CD9&gt;0,$B8&lt;='Input 4_RSV Season'!$AG$27-1),CD9+1,0))</f>
        <v>1</v>
      </c>
      <c r="CE10" s="549">
        <f>IF(AND($CD10&gt;0,$CD10&lt;='Input 6_Product Efficacy'!$Q$12/30),SUM($BQ8:$CB8),0)</f>
        <v>4051.8340406873263</v>
      </c>
      <c r="CF10" s="554">
        <f>IF(AND($CD10&gt;0,$CD10&gt;'Input 6_Product Efficacy'!$Q$12/30),SUM($BQ8:$CB8),0)</f>
        <v>0</v>
      </c>
      <c r="CH10" s="564">
        <f>IF(AND($CD10&gt;0,$CD10&gt;'Input 6_Product Efficacy'!$Q$15/30),SUM($BQ8:$CB8),0)</f>
        <v>0</v>
      </c>
    </row>
    <row r="11" spans="2:87" x14ac:dyDescent="0.3">
      <c r="B11" s="26">
        <v>3</v>
      </c>
      <c r="C11" s="245">
        <f>'Input 2_RSV Rates'!T13*'Input 3_Clinical Severity'!$S$9</f>
        <v>10.3</v>
      </c>
      <c r="E11" s="20">
        <f t="shared" si="3"/>
        <v>8.040513833992095E-3</v>
      </c>
      <c r="F11" s="20">
        <f t="shared" si="3"/>
        <v>2.3307312252964427E-2</v>
      </c>
      <c r="G11" s="20">
        <f t="shared" si="3"/>
        <v>3.3179841897233206E-2</v>
      </c>
      <c r="H11" s="20">
        <f t="shared" si="3"/>
        <v>2.2187747035573125E-2</v>
      </c>
      <c r="I11" s="20">
        <f t="shared" si="3"/>
        <v>1.190810276679842E-2</v>
      </c>
      <c r="J11" s="20">
        <f t="shared" si="3"/>
        <v>3.1551383399209491E-3</v>
      </c>
      <c r="K11" s="20">
        <f t="shared" si="3"/>
        <v>0</v>
      </c>
      <c r="L11" s="20">
        <f t="shared" si="3"/>
        <v>0</v>
      </c>
      <c r="M11" s="20">
        <f t="shared" si="3"/>
        <v>0</v>
      </c>
      <c r="N11" s="20">
        <f t="shared" si="3"/>
        <v>0</v>
      </c>
      <c r="O11" s="20">
        <f t="shared" si="3"/>
        <v>0</v>
      </c>
      <c r="P11" s="20">
        <f t="shared" si="3"/>
        <v>0</v>
      </c>
      <c r="S11" s="852">
        <f>IF('Input 5_Product Uptake'!$M$9=0,E11*Ratios!$N$10,E11*Ratios!$N$10*Ratios!$Z$10)</f>
        <v>35.914084271947985</v>
      </c>
      <c r="T11" s="852">
        <f>IF('Input 5_Product Uptake'!$M$9=0,F11*Ratios!$N$10,F11*Ratios!$N$10*Ratios!$Z$10)</f>
        <v>104.10538352248213</v>
      </c>
      <c r="U11" s="852">
        <f>IF('Input 5_Product Uptake'!$M$9=0,G11*Ratios!$N$10,G11*Ratios!$N$10*Ratios!$Z$10)</f>
        <v>148.20242370449424</v>
      </c>
      <c r="V11" s="852">
        <f>IF('Input 5_Product Uptake'!$M$9=0,H11*Ratios!$N$10,H11*Ratios!$N$10*Ratios!$Z$10)</f>
        <v>99.104688244109639</v>
      </c>
      <c r="W11" s="852">
        <f>IF('Input 5_Product Uptake'!$M$9=0,I11*Ratios!$N$10,I11*Ratios!$N$10*Ratios!$Z$10)</f>
        <v>53.189213415416638</v>
      </c>
      <c r="X11" s="852">
        <f>IF('Input 5_Product Uptake'!$M$9=0,J11*Ratios!$N$10,J11*Ratios!$N$10*Ratios!$Z$10)</f>
        <v>14.092868511777059</v>
      </c>
      <c r="Y11" s="852">
        <f>IF('Input 5_Product Uptake'!$M$9=0,K11*Ratios!$N$10,K11*Ratios!$N$10*Ratios!$Z$10)</f>
        <v>0</v>
      </c>
      <c r="Z11" s="852">
        <f>IF('Input 5_Product Uptake'!$M$9=0,L11*Ratios!$N$10,L11*Ratios!$N$10*Ratios!$Z$10)</f>
        <v>0</v>
      </c>
      <c r="AA11" s="852">
        <f>IF('Input 5_Product Uptake'!$M$9=0,M11*Ratios!$N$10,M11*Ratios!$N$10*Ratios!$Z$10)</f>
        <v>0</v>
      </c>
      <c r="AB11" s="852">
        <f>IF('Input 5_Product Uptake'!$M$9=0,N11*Ratios!$N$10,N11*Ratios!$N$10*Ratios!$Z$10)</f>
        <v>0</v>
      </c>
      <c r="AC11" s="852">
        <f>IF('Input 5_Product Uptake'!$M$9=0,O11*Ratios!$N$10,O11*Ratios!$N$10*Ratios!$Z$10)</f>
        <v>0</v>
      </c>
      <c r="AD11" s="852">
        <f>IF('Input 5_Product Uptake'!$M$9=0,P11*Ratios!$N$10,P11*Ratios!$N$10*Ratios!$Z$10)</f>
        <v>0</v>
      </c>
      <c r="AF11" s="849">
        <f>Ratios!$P$10*E11</f>
        <v>244.2205451042428</v>
      </c>
      <c r="AG11" s="849">
        <f>Ratios!$P$10*F11</f>
        <v>707.93044087179248</v>
      </c>
      <c r="AH11" s="849">
        <f>Ratios!$P$10*G11</f>
        <v>1007.7961734681413</v>
      </c>
      <c r="AI11" s="849">
        <f>Ratios!$P$10*H11</f>
        <v>673.92504851550552</v>
      </c>
      <c r="AJ11" s="849">
        <f>Ratios!$P$10*I11</f>
        <v>361.69371869868877</v>
      </c>
      <c r="AK11" s="849">
        <f>Ratios!$P$10*J11</f>
        <v>95.833378458626939</v>
      </c>
      <c r="AL11" s="849">
        <f>Ratios!$P$10*K11</f>
        <v>0</v>
      </c>
      <c r="AM11" s="849">
        <f>Ratios!$P$10*L11</f>
        <v>0</v>
      </c>
      <c r="AN11" s="849">
        <f>Ratios!$P$10*M11</f>
        <v>0</v>
      </c>
      <c r="AO11" s="849">
        <f>Ratios!$P$10*N11</f>
        <v>0</v>
      </c>
      <c r="AP11" s="849">
        <f>Ratios!$P$10*O11</f>
        <v>0</v>
      </c>
      <c r="AQ11" s="849">
        <f>Ratios!$P$10*P11</f>
        <v>0</v>
      </c>
      <c r="AS11" s="275">
        <f t="shared" si="4"/>
        <v>35.914084271947985</v>
      </c>
      <c r="AT11" s="275">
        <f t="shared" si="1"/>
        <v>104.10538352248213</v>
      </c>
      <c r="AU11" s="275">
        <f t="shared" si="1"/>
        <v>148.20242370449424</v>
      </c>
      <c r="AV11" s="275">
        <f t="shared" si="1"/>
        <v>99.104688244109639</v>
      </c>
      <c r="AW11" s="275">
        <f t="shared" si="1"/>
        <v>53.189213415416638</v>
      </c>
      <c r="AX11" s="275">
        <f t="shared" si="1"/>
        <v>14.092868511777059</v>
      </c>
      <c r="AY11" s="275">
        <f t="shared" si="1"/>
        <v>0</v>
      </c>
      <c r="AZ11" s="275">
        <f t="shared" si="1"/>
        <v>0</v>
      </c>
      <c r="BA11" s="275">
        <f t="shared" si="1"/>
        <v>0</v>
      </c>
      <c r="BB11" s="275">
        <f t="shared" si="1"/>
        <v>0</v>
      </c>
      <c r="BC11" s="275">
        <f t="shared" si="1"/>
        <v>0</v>
      </c>
      <c r="BD11" s="275">
        <f t="shared" si="1"/>
        <v>0</v>
      </c>
      <c r="BE11" s="275"/>
      <c r="BF11" s="557">
        <f>IF($B9=0,1,IF(AND(BF10&gt;0,$B9&lt;='Input 4_RSV Season'!$AG$27-1),BF10+1,0))</f>
        <v>2</v>
      </c>
      <c r="BG11" s="549">
        <f>IF(AND($BF11&gt;0,$BF11&lt;='Input 6_Product Efficacy'!$Q$9/30),SUM($AS9:$BD9),0)</f>
        <v>1143.1421686659121</v>
      </c>
      <c r="BH11" s="554">
        <f>IF(AND($BF11&gt;0,$BF11&gt;'Input 6_Product Efficacy'!$Q$9/30),SUM($AS9:$BD9),0)</f>
        <v>0</v>
      </c>
      <c r="BI11" s="593"/>
      <c r="BK11" s="549">
        <f>IF(AND($BF11&gt;0,$BF11&lt;='Input 6_Product Efficacy'!$Q$12/30),SUM($AS9:$BD9),0)</f>
        <v>1143.1421686659121</v>
      </c>
      <c r="BL11" s="554">
        <f>IF(AND($BF11&gt;0,$BF11&gt;'Input 6_Product Efficacy'!$Q$12/30),SUM($AS9:$BD9),0)</f>
        <v>0</v>
      </c>
      <c r="BO11" s="275"/>
      <c r="BQ11" s="35">
        <f t="shared" si="5"/>
        <v>244.2205451042428</v>
      </c>
      <c r="BR11" s="35">
        <f t="shared" si="2"/>
        <v>707.93044087179248</v>
      </c>
      <c r="BS11" s="35">
        <f t="shared" si="2"/>
        <v>1007.7961734681413</v>
      </c>
      <c r="BT11" s="35">
        <f t="shared" si="2"/>
        <v>673.92504851550552</v>
      </c>
      <c r="BU11" s="35">
        <f t="shared" si="2"/>
        <v>361.69371869868877</v>
      </c>
      <c r="BV11" s="35">
        <f t="shared" si="2"/>
        <v>95.833378458626939</v>
      </c>
      <c r="BW11" s="35">
        <f t="shared" si="2"/>
        <v>0</v>
      </c>
      <c r="BX11" s="35">
        <f t="shared" si="2"/>
        <v>0</v>
      </c>
      <c r="BY11" s="35">
        <f t="shared" si="2"/>
        <v>0</v>
      </c>
      <c r="BZ11" s="35">
        <f t="shared" si="2"/>
        <v>0</v>
      </c>
      <c r="CA11" s="35">
        <f t="shared" si="2"/>
        <v>0</v>
      </c>
      <c r="CB11" s="35">
        <f t="shared" si="2"/>
        <v>0</v>
      </c>
      <c r="CC11" s="35"/>
      <c r="CD11" s="557">
        <f>IF($B9=0,1,IF(AND(CD10&gt;0,$B9&lt;='Input 4_RSV Season'!$AG$27-1),CD10+1,0))</f>
        <v>2</v>
      </c>
      <c r="CE11" s="549">
        <f>IF(AND($CD11&gt;0,$CD11&lt;='Input 6_Product Efficacy'!$Q$12/30),SUM($BQ9:$CB9),0)</f>
        <v>7773.5186410223505</v>
      </c>
      <c r="CF11" s="554">
        <f>IF(AND($CD11&gt;0,$CD11&gt;'Input 6_Product Efficacy'!$Q$12/30),SUM($BQ9:$CB9),0)</f>
        <v>0</v>
      </c>
      <c r="CH11" s="565">
        <f>IF(AND($CD11&gt;0,$CD11&gt;'Input 6_Product Efficacy'!$Q$15/30),SUM($BQ9:$CB9),0)</f>
        <v>0</v>
      </c>
    </row>
    <row r="12" spans="2:87" x14ac:dyDescent="0.3">
      <c r="B12" s="26">
        <v>4</v>
      </c>
      <c r="C12" s="245">
        <f>'Input 2_RSV Rates'!T14*'Input 3_Clinical Severity'!$S$9</f>
        <v>8.9</v>
      </c>
      <c r="E12" s="20">
        <f t="shared" si="3"/>
        <v>6.9476284584980242E-3</v>
      </c>
      <c r="F12" s="20">
        <f t="shared" si="3"/>
        <v>2.0139328063241105E-2</v>
      </c>
      <c r="G12" s="20">
        <f t="shared" si="3"/>
        <v>2.8669960474308302E-2</v>
      </c>
      <c r="H12" s="20">
        <f t="shared" si="3"/>
        <v>1.9171936758893282E-2</v>
      </c>
      <c r="I12" s="20">
        <f t="shared" si="3"/>
        <v>1.0289525691699606E-2</v>
      </c>
      <c r="J12" s="20">
        <f t="shared" si="3"/>
        <v>2.7262845849802373E-3</v>
      </c>
      <c r="K12" s="20">
        <f t="shared" si="3"/>
        <v>0</v>
      </c>
      <c r="L12" s="20">
        <f t="shared" si="3"/>
        <v>0</v>
      </c>
      <c r="M12" s="20">
        <f t="shared" si="3"/>
        <v>0</v>
      </c>
      <c r="N12" s="20">
        <f t="shared" si="3"/>
        <v>0</v>
      </c>
      <c r="O12" s="20">
        <f t="shared" si="3"/>
        <v>0</v>
      </c>
      <c r="P12" s="20">
        <f t="shared" si="3"/>
        <v>0</v>
      </c>
      <c r="Q12" s="38"/>
      <c r="R12" s="38"/>
      <c r="S12" s="852">
        <f>IF('Input 5_Product Uptake'!$M$9=0,E12*Ratios!$N$10,E12*Ratios!$N$10*Ratios!$Z$10)</f>
        <v>31.032558254401657</v>
      </c>
      <c r="T12" s="852">
        <f>IF('Input 5_Product Uptake'!$M$9=0,F12*Ratios!$N$10,F12*Ratios!$N$10*Ratios!$Z$10)</f>
        <v>89.955137218455434</v>
      </c>
      <c r="U12" s="852">
        <f>IF('Input 5_Product Uptake'!$M$9=0,G12*Ratios!$N$10,G12*Ratios!$N$10*Ratios!$Z$10)</f>
        <v>128.05840494854354</v>
      </c>
      <c r="V12" s="852">
        <f>IF('Input 5_Product Uptake'!$M$9=0,H12*Ratios!$N$10,H12*Ratios!$N$10*Ratios!$Z$10)</f>
        <v>85.63414809442483</v>
      </c>
      <c r="W12" s="852">
        <f>IF('Input 5_Product Uptake'!$M$9=0,I12*Ratios!$N$10,I12*Ratios!$N$10*Ratios!$Z$10)</f>
        <v>45.959611591961959</v>
      </c>
      <c r="X12" s="852">
        <f>IF('Input 5_Product Uptake'!$M$9=0,J12*Ratios!$N$10,J12*Ratios!$N$10*Ratios!$Z$10)</f>
        <v>12.177332985904448</v>
      </c>
      <c r="Y12" s="852">
        <f>IF('Input 5_Product Uptake'!$M$9=0,K12*Ratios!$N$10,K12*Ratios!$N$10*Ratios!$Z$10)</f>
        <v>0</v>
      </c>
      <c r="Z12" s="852">
        <f>IF('Input 5_Product Uptake'!$M$9=0,L12*Ratios!$N$10,L12*Ratios!$N$10*Ratios!$Z$10)</f>
        <v>0</v>
      </c>
      <c r="AA12" s="852">
        <f>IF('Input 5_Product Uptake'!$M$9=0,M12*Ratios!$N$10,M12*Ratios!$N$10*Ratios!$Z$10)</f>
        <v>0</v>
      </c>
      <c r="AB12" s="852">
        <f>IF('Input 5_Product Uptake'!$M$9=0,N12*Ratios!$N$10,N12*Ratios!$N$10*Ratios!$Z$10)</f>
        <v>0</v>
      </c>
      <c r="AC12" s="852">
        <f>IF('Input 5_Product Uptake'!$M$9=0,O12*Ratios!$N$10,O12*Ratios!$N$10*Ratios!$Z$10)</f>
        <v>0</v>
      </c>
      <c r="AD12" s="852">
        <f>IF('Input 5_Product Uptake'!$M$9=0,P12*Ratios!$N$10,P12*Ratios!$N$10*Ratios!$Z$10)</f>
        <v>0</v>
      </c>
      <c r="AF12" s="849">
        <f>Ratios!$P$10*E12</f>
        <v>211.02551955609331</v>
      </c>
      <c r="AG12" s="849">
        <f>Ratios!$P$10*F12</f>
        <v>611.70688580184003</v>
      </c>
      <c r="AH12" s="849">
        <f>Ratios!$P$10*G12</f>
        <v>870.81416930742307</v>
      </c>
      <c r="AI12" s="849">
        <f>Ratios!$P$10*H12</f>
        <v>582.32358561048534</v>
      </c>
      <c r="AJ12" s="849">
        <f>Ratios!$P$10*I12</f>
        <v>312.5314656716825</v>
      </c>
      <c r="AK12" s="849">
        <f>Ratios!$P$10*J12</f>
        <v>82.807482357454333</v>
      </c>
      <c r="AL12" s="849">
        <f>Ratios!$P$10*K12</f>
        <v>0</v>
      </c>
      <c r="AM12" s="849">
        <f>Ratios!$P$10*L12</f>
        <v>0</v>
      </c>
      <c r="AN12" s="849">
        <f>Ratios!$P$10*M12</f>
        <v>0</v>
      </c>
      <c r="AO12" s="849">
        <f>Ratios!$P$10*N12</f>
        <v>0</v>
      </c>
      <c r="AP12" s="849">
        <f>Ratios!$P$10*O12</f>
        <v>0</v>
      </c>
      <c r="AQ12" s="849">
        <f>Ratios!$P$10*P12</f>
        <v>0</v>
      </c>
      <c r="AS12" s="275">
        <f t="shared" si="4"/>
        <v>31.032558254401657</v>
      </c>
      <c r="AT12" s="275">
        <f t="shared" si="1"/>
        <v>89.955137218455434</v>
      </c>
      <c r="AU12" s="275">
        <f t="shared" si="1"/>
        <v>128.05840494854354</v>
      </c>
      <c r="AV12" s="275">
        <f t="shared" si="1"/>
        <v>85.63414809442483</v>
      </c>
      <c r="AW12" s="275">
        <f t="shared" si="1"/>
        <v>45.959611591961959</v>
      </c>
      <c r="AX12" s="275">
        <f t="shared" si="1"/>
        <v>12.177332985904448</v>
      </c>
      <c r="AY12" s="275">
        <f t="shared" si="1"/>
        <v>0</v>
      </c>
      <c r="AZ12" s="275">
        <f t="shared" si="1"/>
        <v>0</v>
      </c>
      <c r="BA12" s="275">
        <f t="shared" si="1"/>
        <v>0</v>
      </c>
      <c r="BB12" s="275">
        <f t="shared" si="1"/>
        <v>0</v>
      </c>
      <c r="BC12" s="275">
        <f t="shared" si="1"/>
        <v>0</v>
      </c>
      <c r="BD12" s="275">
        <f t="shared" si="1"/>
        <v>0</v>
      </c>
      <c r="BE12" s="275"/>
      <c r="BF12" s="557">
        <f>IF($B10=0,1,IF(AND(BF11&gt;0,$B10&lt;='Input 4_RSV Season'!$AG$27-1),BF11+1,0))</f>
        <v>3</v>
      </c>
      <c r="BG12" s="549">
        <f>IF(AND($BF12&gt;0,$BF12&lt;='Input 6_Product Efficacy'!$Q$9/30),SUM($AS10:$BD10),0)</f>
        <v>631.15571474604428</v>
      </c>
      <c r="BH12" s="554">
        <f>IF(AND($BF12&gt;0,$BF12&gt;'Input 6_Product Efficacy'!$Q$9/30),SUM($AS10:$BD10),0)</f>
        <v>0</v>
      </c>
      <c r="BI12" s="593"/>
      <c r="BK12" s="549">
        <f>IF(AND($BF12&gt;0,$BF12&lt;='Input 6_Product Efficacy'!$Q$12/30),SUM($AS10:$BD10),0)</f>
        <v>631.15571474604428</v>
      </c>
      <c r="BL12" s="554">
        <f>IF(AND($BF12&gt;0,$BF12&gt;'Input 6_Product Efficacy'!$Q$12/30),SUM($AS10:$BD10),0)</f>
        <v>0</v>
      </c>
      <c r="BO12" s="275"/>
      <c r="BQ12" s="35">
        <f t="shared" si="5"/>
        <v>211.02551955609331</v>
      </c>
      <c r="BR12" s="35">
        <f t="shared" si="2"/>
        <v>611.70688580184003</v>
      </c>
      <c r="BS12" s="35">
        <f t="shared" si="2"/>
        <v>870.81416930742307</v>
      </c>
      <c r="BT12" s="35">
        <f t="shared" si="2"/>
        <v>582.32358561048534</v>
      </c>
      <c r="BU12" s="35">
        <f t="shared" si="2"/>
        <v>312.5314656716825</v>
      </c>
      <c r="BV12" s="35">
        <f t="shared" si="2"/>
        <v>82.807482357454333</v>
      </c>
      <c r="BW12" s="35">
        <f t="shared" si="2"/>
        <v>0</v>
      </c>
      <c r="BX12" s="35">
        <f t="shared" si="2"/>
        <v>0</v>
      </c>
      <c r="BY12" s="35">
        <f t="shared" si="2"/>
        <v>0</v>
      </c>
      <c r="BZ12" s="35">
        <f t="shared" si="2"/>
        <v>0</v>
      </c>
      <c r="CA12" s="35">
        <f t="shared" si="2"/>
        <v>0</v>
      </c>
      <c r="CB12" s="35">
        <f t="shared" si="2"/>
        <v>0</v>
      </c>
      <c r="CC12" s="35"/>
      <c r="CD12" s="557">
        <f>IF($B10=0,1,IF(AND(CD11&gt;0,$B10&lt;='Input 4_RSV Season'!$AG$27-1),CD11+1,0))</f>
        <v>3</v>
      </c>
      <c r="CE12" s="549">
        <f>IF(AND($CD12&gt;0,$CD12&lt;='Input 6_Product Efficacy'!$Q$12/30),SUM($BQ10:$CB10),0)</f>
        <v>4291.9427245799088</v>
      </c>
      <c r="CF12" s="554">
        <f>IF(AND($CD12&gt;0,$CD12&gt;'Input 6_Product Efficacy'!$Q$12/30),SUM($BQ10:$CB10),0)</f>
        <v>0</v>
      </c>
      <c r="CH12" s="565">
        <f>IF(AND($CD12&gt;0,$CD12&gt;'Input 6_Product Efficacy'!$Q$15/30),SUM($BQ10:$CB10),0)</f>
        <v>0</v>
      </c>
    </row>
    <row r="13" spans="2:87" ht="15" thickBot="1" x14ac:dyDescent="0.35">
      <c r="B13" s="804">
        <v>5</v>
      </c>
      <c r="C13" s="805">
        <f>'Input 2_RSV Rates'!T15*'Input 3_Clinical Severity'!$S$9</f>
        <v>4.8</v>
      </c>
      <c r="E13" s="20">
        <f t="shared" si="3"/>
        <v>3.7470355731225296E-3</v>
      </c>
      <c r="F13" s="20">
        <f t="shared" si="3"/>
        <v>1.0861660079051382E-2</v>
      </c>
      <c r="G13" s="20">
        <f t="shared" si="3"/>
        <v>1.5462450592885375E-2</v>
      </c>
      <c r="H13" s="20">
        <f t="shared" si="3"/>
        <v>1.0339920948616601E-2</v>
      </c>
      <c r="I13" s="20">
        <f t="shared" si="3"/>
        <v>5.5494071146245062E-3</v>
      </c>
      <c r="J13" s="20">
        <f t="shared" si="3"/>
        <v>1.4703557312252963E-3</v>
      </c>
      <c r="K13" s="20">
        <f t="shared" si="3"/>
        <v>0</v>
      </c>
      <c r="L13" s="20">
        <f t="shared" si="3"/>
        <v>0</v>
      </c>
      <c r="M13" s="20">
        <f t="shared" si="3"/>
        <v>0</v>
      </c>
      <c r="N13" s="20">
        <f t="shared" si="3"/>
        <v>0</v>
      </c>
      <c r="O13" s="20">
        <f t="shared" si="3"/>
        <v>0</v>
      </c>
      <c r="P13" s="20">
        <f t="shared" si="3"/>
        <v>0</v>
      </c>
      <c r="S13" s="852">
        <f>IF('Input 5_Product Uptake'!$M$9=0,E13*Ratios!$N$10,E13*Ratios!$N$10*Ratios!$Z$10)</f>
        <v>16.736660631587409</v>
      </c>
      <c r="T13" s="852">
        <f>IF('Input 5_Product Uptake'!$M$9=0,F13*Ratios!$N$10,F13*Ratios!$N$10*Ratios!$Z$10)</f>
        <v>48.515130185234391</v>
      </c>
      <c r="U13" s="852">
        <f>IF('Input 5_Product Uptake'!$M$9=0,G13*Ratios!$N$10,G13*Ratios!$N$10*Ratios!$Z$10)</f>
        <v>69.065207163259444</v>
      </c>
      <c r="V13" s="852">
        <f>IF('Input 5_Product Uptake'!$M$9=0,H13*Ratios!$N$10,H13*Ratios!$N$10*Ratios!$Z$10)</f>
        <v>46.18470908463361</v>
      </c>
      <c r="W13" s="852">
        <f>IF('Input 5_Product Uptake'!$M$9=0,I13*Ratios!$N$10,I13*Ratios!$N$10*Ratios!$Z$10)</f>
        <v>24.787206251844648</v>
      </c>
      <c r="X13" s="852">
        <f>IF('Input 5_Product Uptake'!$M$9=0,J13*Ratios!$N$10,J13*Ratios!$N$10*Ratios!$Z$10)</f>
        <v>6.5675503744203754</v>
      </c>
      <c r="Y13" s="852">
        <f>IF('Input 5_Product Uptake'!$M$9=0,K13*Ratios!$N$10,K13*Ratios!$N$10*Ratios!$Z$10)</f>
        <v>0</v>
      </c>
      <c r="Z13" s="852">
        <f>IF('Input 5_Product Uptake'!$M$9=0,L13*Ratios!$N$10,L13*Ratios!$N$10*Ratios!$Z$10)</f>
        <v>0</v>
      </c>
      <c r="AA13" s="852">
        <f>IF('Input 5_Product Uptake'!$M$9=0,M13*Ratios!$N$10,M13*Ratios!$N$10*Ratios!$Z$10)</f>
        <v>0</v>
      </c>
      <c r="AB13" s="852">
        <f>IF('Input 5_Product Uptake'!$M$9=0,N13*Ratios!$N$10,N13*Ratios!$N$10*Ratios!$Z$10)</f>
        <v>0</v>
      </c>
      <c r="AC13" s="852">
        <f>IF('Input 5_Product Uptake'!$M$9=0,O13*Ratios!$N$10,O13*Ratios!$N$10*Ratios!$Z$10)</f>
        <v>0</v>
      </c>
      <c r="AD13" s="852">
        <f>IF('Input 5_Product Uptake'!$M$9=0,P13*Ratios!$N$10,P13*Ratios!$N$10*Ratios!$Z$10)</f>
        <v>0</v>
      </c>
      <c r="AF13" s="849">
        <f>Ratios!$P$10*E13</f>
        <v>113.81151616508403</v>
      </c>
      <c r="AG13" s="849">
        <f>Ratios!$P$10*F13</f>
        <v>329.90933166840807</v>
      </c>
      <c r="AH13" s="849">
        <f>Ratios!$P$10*G13</f>
        <v>469.65258569389101</v>
      </c>
      <c r="AI13" s="849">
        <f>Ratios!$P$10*H13</f>
        <v>314.06215853149769</v>
      </c>
      <c r="AJ13" s="849">
        <f>Ratios!$P$10*I13</f>
        <v>168.55629609259282</v>
      </c>
      <c r="AK13" s="849">
        <f>Ratios!$P$10*J13</f>
        <v>44.660215204020311</v>
      </c>
      <c r="AL13" s="849">
        <f>Ratios!$P$10*K13</f>
        <v>0</v>
      </c>
      <c r="AM13" s="849">
        <f>Ratios!$P$10*L13</f>
        <v>0</v>
      </c>
      <c r="AN13" s="849">
        <f>Ratios!$P$10*M13</f>
        <v>0</v>
      </c>
      <c r="AO13" s="849">
        <f>Ratios!$P$10*N13</f>
        <v>0</v>
      </c>
      <c r="AP13" s="849">
        <f>Ratios!$P$10*O13</f>
        <v>0</v>
      </c>
      <c r="AQ13" s="849">
        <f>Ratios!$P$10*P13</f>
        <v>0</v>
      </c>
      <c r="AS13" s="275">
        <f t="shared" si="4"/>
        <v>16.736660631587409</v>
      </c>
      <c r="AT13" s="275">
        <f t="shared" si="1"/>
        <v>48.515130185234391</v>
      </c>
      <c r="AU13" s="275">
        <f t="shared" si="1"/>
        <v>69.065207163259444</v>
      </c>
      <c r="AV13" s="275">
        <f t="shared" si="1"/>
        <v>46.18470908463361</v>
      </c>
      <c r="AW13" s="275">
        <f t="shared" si="1"/>
        <v>24.787206251844648</v>
      </c>
      <c r="AX13" s="275">
        <f t="shared" si="1"/>
        <v>6.5675503744203754</v>
      </c>
      <c r="AY13" s="275">
        <f t="shared" si="1"/>
        <v>0</v>
      </c>
      <c r="AZ13" s="275">
        <f t="shared" si="1"/>
        <v>0</v>
      </c>
      <c r="BA13" s="275">
        <f t="shared" si="1"/>
        <v>0</v>
      </c>
      <c r="BB13" s="275">
        <f t="shared" si="1"/>
        <v>0</v>
      </c>
      <c r="BC13" s="275">
        <f t="shared" si="1"/>
        <v>0</v>
      </c>
      <c r="BD13" s="275">
        <f t="shared" si="1"/>
        <v>0</v>
      </c>
      <c r="BE13" s="275"/>
      <c r="BF13" s="557">
        <f>IF($B11=0,1,IF(AND(BF12&gt;0,$B11&lt;='Input 4_RSV Season'!$AG$27-1),BF12+1,0))</f>
        <v>4</v>
      </c>
      <c r="BG13" s="549">
        <f>IF(AND($BF13&gt;0,$BF13&lt;='Input 6_Product Efficacy'!$Q$9/30),SUM($AS11:$BD11),0)</f>
        <v>454.60866167022772</v>
      </c>
      <c r="BH13" s="554">
        <f>IF(AND($BF13&gt;0,$BF13&gt;'Input 6_Product Efficacy'!$Q$9/30),SUM($AS11:$BD11),0)</f>
        <v>0</v>
      </c>
      <c r="BI13" s="593"/>
      <c r="BK13" s="549">
        <f>IF(AND($BF13&gt;0,$BF13&lt;='Input 6_Product Efficacy'!$Q$12/30),SUM($AS11:$BD11),0)</f>
        <v>454.60866167022772</v>
      </c>
      <c r="BL13" s="554">
        <f>IF(AND($BF13&gt;0,$BF13&gt;'Input 6_Product Efficacy'!$Q$12/30),SUM($AS11:$BD11),0)</f>
        <v>0</v>
      </c>
      <c r="BO13" s="276"/>
      <c r="BP13" s="13"/>
      <c r="BQ13" s="35">
        <f t="shared" si="5"/>
        <v>113.81151616508403</v>
      </c>
      <c r="BR13" s="35">
        <f t="shared" si="2"/>
        <v>329.90933166840807</v>
      </c>
      <c r="BS13" s="35">
        <f t="shared" si="2"/>
        <v>469.65258569389101</v>
      </c>
      <c r="BT13" s="35">
        <f t="shared" si="2"/>
        <v>314.06215853149769</v>
      </c>
      <c r="BU13" s="35">
        <f t="shared" si="2"/>
        <v>168.55629609259282</v>
      </c>
      <c r="BV13" s="35">
        <f t="shared" si="2"/>
        <v>44.660215204020311</v>
      </c>
      <c r="BW13" s="35">
        <f t="shared" si="2"/>
        <v>0</v>
      </c>
      <c r="BX13" s="35">
        <f t="shared" si="2"/>
        <v>0</v>
      </c>
      <c r="BY13" s="35">
        <f t="shared" si="2"/>
        <v>0</v>
      </c>
      <c r="BZ13" s="35">
        <f t="shared" si="2"/>
        <v>0</v>
      </c>
      <c r="CA13" s="35">
        <f t="shared" si="2"/>
        <v>0</v>
      </c>
      <c r="CB13" s="35">
        <f t="shared" si="2"/>
        <v>0</v>
      </c>
      <c r="CC13" s="35"/>
      <c r="CD13" s="557">
        <f>IF($B11=0,1,IF(AND(CD12&gt;0,$B11&lt;='Input 4_RSV Season'!$AG$27-1),CD12+1,0))</f>
        <v>4</v>
      </c>
      <c r="CE13" s="549">
        <f>IF(AND($CD13&gt;0,$CD13&lt;='Input 6_Product Efficacy'!$Q$12/30),SUM($BQ11:$CB11),0)</f>
        <v>3091.3993051169978</v>
      </c>
      <c r="CF13" s="554">
        <f>IF(AND($CD13&gt;0,$CD13&gt;'Input 6_Product Efficacy'!$Q$12/30),SUM($BQ11:$CB11),0)</f>
        <v>0</v>
      </c>
      <c r="CH13" s="565">
        <f>IF(AND($CD13&gt;0,$CD13&gt;'Input 6_Product Efficacy'!$Q$15/30),SUM($BQ11:$CB11),0)</f>
        <v>3091.3993051169978</v>
      </c>
    </row>
    <row r="14" spans="2:87" ht="15" thickTop="1" x14ac:dyDescent="0.3">
      <c r="B14" s="26">
        <v>6</v>
      </c>
      <c r="C14" s="245">
        <f>'Input 2_RSV Rates'!T16*'Input 3_Clinical Severity'!$S$11</f>
        <v>4.0999999999999996</v>
      </c>
      <c r="E14" s="20">
        <f t="shared" si="3"/>
        <v>3.2005928853754938E-3</v>
      </c>
      <c r="F14" s="20">
        <f t="shared" si="3"/>
        <v>9.2776679841897209E-3</v>
      </c>
      <c r="G14" s="20">
        <f t="shared" si="3"/>
        <v>1.3207509881422923E-2</v>
      </c>
      <c r="H14" s="20">
        <f t="shared" si="3"/>
        <v>8.8320158102766794E-3</v>
      </c>
      <c r="I14" s="20">
        <f t="shared" si="3"/>
        <v>4.7401185770750984E-3</v>
      </c>
      <c r="J14" s="20">
        <f t="shared" si="3"/>
        <v>1.2559288537549406E-3</v>
      </c>
      <c r="K14" s="20">
        <f t="shared" si="3"/>
        <v>0</v>
      </c>
      <c r="L14" s="20">
        <f t="shared" si="3"/>
        <v>0</v>
      </c>
      <c r="M14" s="20">
        <f t="shared" si="3"/>
        <v>0</v>
      </c>
      <c r="N14" s="20">
        <f t="shared" si="3"/>
        <v>0</v>
      </c>
      <c r="O14" s="20">
        <f t="shared" si="3"/>
        <v>0</v>
      </c>
      <c r="P14" s="20">
        <f t="shared" si="3"/>
        <v>0</v>
      </c>
      <c r="S14" s="852">
        <f>IF('Input 5_Product Uptake'!$M$9=0,E14*Ratios!$N$10,E14*Ratios!$N$10*Ratios!$Z$10)</f>
        <v>14.295897622814245</v>
      </c>
      <c r="T14" s="852">
        <f>IF('Input 5_Product Uptake'!$M$9=0,F14*Ratios!$N$10,F14*Ratios!$N$10*Ratios!$Z$10)</f>
        <v>41.440007033221029</v>
      </c>
      <c r="U14" s="852">
        <f>IF('Input 5_Product Uptake'!$M$9=0,G14*Ratios!$N$10,G14*Ratios!$N$10*Ratios!$Z$10)</f>
        <v>58.993197785284096</v>
      </c>
      <c r="V14" s="852">
        <f>IF('Input 5_Product Uptake'!$M$9=0,H14*Ratios!$N$10,H14*Ratios!$N$10*Ratios!$Z$10)</f>
        <v>39.449439009791213</v>
      </c>
      <c r="W14" s="852">
        <f>IF('Input 5_Product Uptake'!$M$9=0,I14*Ratios!$N$10,I14*Ratios!$N$10*Ratios!$Z$10)</f>
        <v>21.172405340117301</v>
      </c>
      <c r="X14" s="852">
        <f>IF('Input 5_Product Uptake'!$M$9=0,J14*Ratios!$N$10,J14*Ratios!$N$10*Ratios!$Z$10)</f>
        <v>5.6097826114840705</v>
      </c>
      <c r="Y14" s="852">
        <f>IF('Input 5_Product Uptake'!$M$9=0,K14*Ratios!$N$10,K14*Ratios!$N$10*Ratios!$Z$10)</f>
        <v>0</v>
      </c>
      <c r="Z14" s="852">
        <f>IF('Input 5_Product Uptake'!$M$9=0,L14*Ratios!$N$10,L14*Ratios!$N$10*Ratios!$Z$10)</f>
        <v>0</v>
      </c>
      <c r="AA14" s="852">
        <f>IF('Input 5_Product Uptake'!$M$9=0,M14*Ratios!$N$10,M14*Ratios!$N$10*Ratios!$Z$10)</f>
        <v>0</v>
      </c>
      <c r="AB14" s="852">
        <f>IF('Input 5_Product Uptake'!$M$9=0,N14*Ratios!$N$10,N14*Ratios!$N$10*Ratios!$Z$10)</f>
        <v>0</v>
      </c>
      <c r="AC14" s="852">
        <f>IF('Input 5_Product Uptake'!$M$9=0,O14*Ratios!$N$10,O14*Ratios!$N$10*Ratios!$Z$10)</f>
        <v>0</v>
      </c>
      <c r="AD14" s="852">
        <f>IF('Input 5_Product Uptake'!$M$9=0,P14*Ratios!$N$10,P14*Ratios!$N$10*Ratios!$Z$10)</f>
        <v>0</v>
      </c>
      <c r="AF14" s="849">
        <f>Ratios!$P$10*E14</f>
        <v>97.214003391009257</v>
      </c>
      <c r="AG14" s="849">
        <f>Ratios!$P$10*F14</f>
        <v>281.79755413343185</v>
      </c>
      <c r="AH14" s="849">
        <f>Ratios!$P$10*G14</f>
        <v>401.16158361353189</v>
      </c>
      <c r="AI14" s="849">
        <f>Ratios!$P$10*H14</f>
        <v>268.26142707898759</v>
      </c>
      <c r="AJ14" s="849">
        <f>Ratios!$P$10*I14</f>
        <v>143.97516957908968</v>
      </c>
      <c r="AK14" s="849">
        <f>Ratios!$P$10*J14</f>
        <v>38.147267153434015</v>
      </c>
      <c r="AL14" s="849">
        <f>Ratios!$P$10*K14</f>
        <v>0</v>
      </c>
      <c r="AM14" s="849">
        <f>Ratios!$P$10*L14</f>
        <v>0</v>
      </c>
      <c r="AN14" s="849">
        <f>Ratios!$P$10*M14</f>
        <v>0</v>
      </c>
      <c r="AO14" s="849">
        <f>Ratios!$P$10*N14</f>
        <v>0</v>
      </c>
      <c r="AP14" s="849">
        <f>Ratios!$P$10*O14</f>
        <v>0</v>
      </c>
      <c r="AQ14" s="849">
        <f>Ratios!$P$10*P14</f>
        <v>0</v>
      </c>
      <c r="AS14" s="275">
        <f t="shared" si="4"/>
        <v>14.295897622814245</v>
      </c>
      <c r="AT14" s="275">
        <f t="shared" si="1"/>
        <v>41.440007033221029</v>
      </c>
      <c r="AU14" s="275">
        <f t="shared" si="1"/>
        <v>58.993197785284096</v>
      </c>
      <c r="AV14" s="275">
        <f t="shared" si="1"/>
        <v>39.449439009791213</v>
      </c>
      <c r="AW14" s="275">
        <f t="shared" si="1"/>
        <v>21.172405340117301</v>
      </c>
      <c r="AX14" s="275">
        <f t="shared" si="1"/>
        <v>5.6097826114840705</v>
      </c>
      <c r="AY14" s="275">
        <f t="shared" si="1"/>
        <v>0</v>
      </c>
      <c r="AZ14" s="275">
        <f t="shared" si="1"/>
        <v>0</v>
      </c>
      <c r="BA14" s="275">
        <f t="shared" si="1"/>
        <v>0</v>
      </c>
      <c r="BB14" s="275">
        <f t="shared" si="1"/>
        <v>0</v>
      </c>
      <c r="BC14" s="275">
        <f t="shared" si="1"/>
        <v>0</v>
      </c>
      <c r="BD14" s="275">
        <f t="shared" si="1"/>
        <v>0</v>
      </c>
      <c r="BE14" s="275"/>
      <c r="BF14" s="557">
        <f>IF($B12=0,1,IF(AND(BF13&gt;0,$B12&lt;='Input 4_RSV Season'!$AG$27-1),BF13+1,0))</f>
        <v>5</v>
      </c>
      <c r="BG14" s="549">
        <f>IF(AND($BF14&gt;0,$BF14&lt;='Input 6_Product Efficacy'!$Q$9/30),SUM($AS12:$BD12),0)</f>
        <v>392.81719309369191</v>
      </c>
      <c r="BH14" s="554">
        <f>IF(AND($BF14&gt;0,$BF14&gt;'Input 6_Product Efficacy'!$Q$9/30),SUM($AS12:$BD12),0)</f>
        <v>0</v>
      </c>
      <c r="BI14" s="593"/>
      <c r="BK14" s="549">
        <f>IF(AND($BF14&gt;0,$BF14&lt;='Input 6_Product Efficacy'!$Q$12/30),SUM($AS12:$BD12),0)</f>
        <v>392.81719309369191</v>
      </c>
      <c r="BL14" s="554">
        <f>IF(AND($BF14&gt;0,$BF14&gt;'Input 6_Product Efficacy'!$Q$12/30),SUM($AS12:$BD12),0)</f>
        <v>0</v>
      </c>
      <c r="BO14" s="276"/>
      <c r="BP14" s="13"/>
      <c r="BQ14" s="35">
        <f t="shared" si="5"/>
        <v>97.214003391009257</v>
      </c>
      <c r="BR14" s="35">
        <f t="shared" si="2"/>
        <v>281.79755413343185</v>
      </c>
      <c r="BS14" s="35">
        <f t="shared" si="2"/>
        <v>401.16158361353189</v>
      </c>
      <c r="BT14" s="35">
        <f t="shared" si="2"/>
        <v>268.26142707898759</v>
      </c>
      <c r="BU14" s="35">
        <f t="shared" si="2"/>
        <v>143.97516957908968</v>
      </c>
      <c r="BV14" s="35">
        <f t="shared" si="2"/>
        <v>38.147267153434015</v>
      </c>
      <c r="BW14" s="35">
        <f t="shared" si="2"/>
        <v>0</v>
      </c>
      <c r="BX14" s="35">
        <f t="shared" si="2"/>
        <v>0</v>
      </c>
      <c r="BY14" s="35">
        <f t="shared" si="2"/>
        <v>0</v>
      </c>
      <c r="BZ14" s="35">
        <f t="shared" si="2"/>
        <v>0</v>
      </c>
      <c r="CA14" s="35">
        <f t="shared" si="2"/>
        <v>0</v>
      </c>
      <c r="CB14" s="35">
        <f t="shared" si="2"/>
        <v>0</v>
      </c>
      <c r="CC14" s="244"/>
      <c r="CD14" s="557">
        <f>IF($B12=0,1,IF(AND(CD13&gt;0,$B12&lt;='Input 4_RSV Season'!$AG$27-1),CD13+1,0))</f>
        <v>5</v>
      </c>
      <c r="CE14" s="549">
        <f>IF(AND($CD14&gt;0,$CD14&lt;='Input 6_Product Efficacy'!$Q$12/30),SUM($BQ12:$CB12),0)</f>
        <v>2671.2091083049781</v>
      </c>
      <c r="CF14" s="554">
        <f>IF(AND($CD14&gt;0,$CD14&gt;'Input 6_Product Efficacy'!$Q$12/30),SUM($BQ12:$CB12),0)</f>
        <v>0</v>
      </c>
      <c r="CH14" s="565">
        <f>IF(AND($CD14&gt;0,$CD14&gt;'Input 6_Product Efficacy'!$Q$15/30),SUM($BQ12:$CB12),0)</f>
        <v>2671.2091083049781</v>
      </c>
    </row>
    <row r="15" spans="2:87" x14ac:dyDescent="0.3">
      <c r="B15" s="26">
        <v>7</v>
      </c>
      <c r="C15" s="245">
        <f>'Input 2_RSV Rates'!T17*'Input 3_Clinical Severity'!$S$11</f>
        <v>5.6</v>
      </c>
      <c r="E15" s="20">
        <f t="shared" si="3"/>
        <v>4.3715415019762839E-3</v>
      </c>
      <c r="F15" s="20">
        <f t="shared" si="3"/>
        <v>1.2671936758893278E-2</v>
      </c>
      <c r="G15" s="20">
        <f t="shared" si="3"/>
        <v>1.8039525691699605E-2</v>
      </c>
      <c r="H15" s="20">
        <f t="shared" si="3"/>
        <v>1.2063241106719367E-2</v>
      </c>
      <c r="I15" s="20">
        <f t="shared" si="3"/>
        <v>6.4743083003952562E-3</v>
      </c>
      <c r="J15" s="20">
        <f t="shared" si="3"/>
        <v>1.7154150197628455E-3</v>
      </c>
      <c r="K15" s="20">
        <f t="shared" si="3"/>
        <v>0</v>
      </c>
      <c r="L15" s="20">
        <f t="shared" si="3"/>
        <v>0</v>
      </c>
      <c r="M15" s="20">
        <f t="shared" si="3"/>
        <v>0</v>
      </c>
      <c r="N15" s="20">
        <f t="shared" si="3"/>
        <v>0</v>
      </c>
      <c r="O15" s="20">
        <f t="shared" si="3"/>
        <v>0</v>
      </c>
      <c r="P15" s="20">
        <f t="shared" si="3"/>
        <v>0</v>
      </c>
      <c r="S15" s="852">
        <f>IF('Input 5_Product Uptake'!$M$9=0,E15*Ratios!$N$10,E15*Ratios!$N$10*Ratios!$Z$10)</f>
        <v>19.526104070185308</v>
      </c>
      <c r="T15" s="852">
        <f>IF('Input 5_Product Uptake'!$M$9=0,F15*Ratios!$N$10,F15*Ratios!$N$10*Ratios!$Z$10)</f>
        <v>56.600985216106778</v>
      </c>
      <c r="U15" s="852">
        <f>IF('Input 5_Product Uptake'!$M$9=0,G15*Ratios!$N$10,G15*Ratios!$N$10*Ratios!$Z$10)</f>
        <v>80.576075023802687</v>
      </c>
      <c r="V15" s="852">
        <f>IF('Input 5_Product Uptake'!$M$9=0,H15*Ratios!$N$10,H15*Ratios!$N$10*Ratios!$Z$10)</f>
        <v>53.882160598739205</v>
      </c>
      <c r="W15" s="852">
        <f>IF('Input 5_Product Uptake'!$M$9=0,I15*Ratios!$N$10,I15*Ratios!$N$10*Ratios!$Z$10)</f>
        <v>28.918407293818749</v>
      </c>
      <c r="X15" s="852">
        <f>IF('Input 5_Product Uptake'!$M$9=0,J15*Ratios!$N$10,J15*Ratios!$N$10*Ratios!$Z$10)</f>
        <v>7.6621421034904378</v>
      </c>
      <c r="Y15" s="852">
        <f>IF('Input 5_Product Uptake'!$M$9=0,K15*Ratios!$N$10,K15*Ratios!$N$10*Ratios!$Z$10)</f>
        <v>0</v>
      </c>
      <c r="Z15" s="852">
        <f>IF('Input 5_Product Uptake'!$M$9=0,L15*Ratios!$N$10,L15*Ratios!$N$10*Ratios!$Z$10)</f>
        <v>0</v>
      </c>
      <c r="AA15" s="852">
        <f>IF('Input 5_Product Uptake'!$M$9=0,M15*Ratios!$N$10,M15*Ratios!$N$10*Ratios!$Z$10)</f>
        <v>0</v>
      </c>
      <c r="AB15" s="852">
        <f>IF('Input 5_Product Uptake'!$M$9=0,N15*Ratios!$N$10,N15*Ratios!$N$10*Ratios!$Z$10)</f>
        <v>0</v>
      </c>
      <c r="AC15" s="852">
        <f>IF('Input 5_Product Uptake'!$M$9=0,O15*Ratios!$N$10,O15*Ratios!$N$10*Ratios!$Z$10)</f>
        <v>0</v>
      </c>
      <c r="AD15" s="852">
        <f>IF('Input 5_Product Uptake'!$M$9=0,P15*Ratios!$N$10,P15*Ratios!$N$10*Ratios!$Z$10)</f>
        <v>0</v>
      </c>
      <c r="AF15" s="849">
        <f>Ratios!$P$10*E15</f>
        <v>132.78010219259801</v>
      </c>
      <c r="AG15" s="849">
        <f>Ratios!$P$10*F15</f>
        <v>384.89422027980942</v>
      </c>
      <c r="AH15" s="849">
        <f>Ratios!$P$10*G15</f>
        <v>547.92801664287288</v>
      </c>
      <c r="AI15" s="849">
        <f>Ratios!$P$10*H15</f>
        <v>366.40585162008063</v>
      </c>
      <c r="AJ15" s="849">
        <f>Ratios!$P$10*I15</f>
        <v>196.64901210802492</v>
      </c>
      <c r="AK15" s="849">
        <f>Ratios!$P$10*J15</f>
        <v>52.103584404690359</v>
      </c>
      <c r="AL15" s="849">
        <f>Ratios!$P$10*K15</f>
        <v>0</v>
      </c>
      <c r="AM15" s="849">
        <f>Ratios!$P$10*L15</f>
        <v>0</v>
      </c>
      <c r="AN15" s="849">
        <f>Ratios!$P$10*M15</f>
        <v>0</v>
      </c>
      <c r="AO15" s="849">
        <f>Ratios!$P$10*N15</f>
        <v>0</v>
      </c>
      <c r="AP15" s="849">
        <f>Ratios!$P$10*O15</f>
        <v>0</v>
      </c>
      <c r="AQ15" s="849">
        <f>Ratios!$P$10*P15</f>
        <v>0</v>
      </c>
      <c r="AS15" s="275">
        <f t="shared" si="4"/>
        <v>19.526104070185308</v>
      </c>
      <c r="AT15" s="275">
        <f t="shared" si="1"/>
        <v>56.600985216106778</v>
      </c>
      <c r="AU15" s="275">
        <f t="shared" si="1"/>
        <v>80.576075023802687</v>
      </c>
      <c r="AV15" s="275">
        <f t="shared" si="1"/>
        <v>53.882160598739205</v>
      </c>
      <c r="AW15" s="275">
        <f t="shared" si="1"/>
        <v>28.918407293818749</v>
      </c>
      <c r="AX15" s="275">
        <f t="shared" si="1"/>
        <v>7.6621421034904378</v>
      </c>
      <c r="AY15" s="275">
        <f t="shared" si="1"/>
        <v>0</v>
      </c>
      <c r="AZ15" s="275">
        <f t="shared" si="1"/>
        <v>0</v>
      </c>
      <c r="BA15" s="275">
        <f t="shared" si="1"/>
        <v>0</v>
      </c>
      <c r="BB15" s="275">
        <f t="shared" si="1"/>
        <v>0</v>
      </c>
      <c r="BC15" s="275">
        <f t="shared" si="1"/>
        <v>0</v>
      </c>
      <c r="BD15" s="275">
        <f t="shared" si="1"/>
        <v>0</v>
      </c>
      <c r="BE15" s="275"/>
      <c r="BF15" s="557">
        <f>IF($B13=0,1,IF(AND(BF14&gt;0,$B13&lt;='Input 4_RSV Season'!$AG$27-1),BF14+1,0))</f>
        <v>6</v>
      </c>
      <c r="BG15" s="549">
        <f>IF(AND($BF15&gt;0,$BF15&lt;='Input 6_Product Efficacy'!$Q$9/30),SUM($AS13:$BD13),0)</f>
        <v>0</v>
      </c>
      <c r="BH15" s="554">
        <f>IF(AND($BF15&gt;0,$BF15&gt;'Input 6_Product Efficacy'!$Q$9/30),SUM($AS13:$BD13),0)</f>
        <v>211.85646369097984</v>
      </c>
      <c r="BI15" s="593"/>
      <c r="BK15" s="549">
        <f>IF(AND($BF15&gt;0,$BF15&lt;='Input 6_Product Efficacy'!$Q$12/30),SUM($AS13:$BD13),0)</f>
        <v>0</v>
      </c>
      <c r="BL15" s="554">
        <f>IF(AND($BF15&gt;0,$BF15&gt;'Input 6_Product Efficacy'!$Q$12/30),SUM($AS13:$BD13),0)</f>
        <v>211.85646369097984</v>
      </c>
      <c r="BO15" s="276"/>
      <c r="BP15" s="13"/>
      <c r="BQ15" s="35">
        <f t="shared" si="5"/>
        <v>132.78010219259801</v>
      </c>
      <c r="BR15" s="35">
        <f t="shared" si="2"/>
        <v>384.89422027980942</v>
      </c>
      <c r="BS15" s="35">
        <f t="shared" si="2"/>
        <v>547.92801664287288</v>
      </c>
      <c r="BT15" s="35">
        <f t="shared" si="2"/>
        <v>366.40585162008063</v>
      </c>
      <c r="BU15" s="35">
        <f t="shared" si="2"/>
        <v>196.64901210802492</v>
      </c>
      <c r="BV15" s="35">
        <f t="shared" si="2"/>
        <v>52.103584404690359</v>
      </c>
      <c r="BW15" s="35">
        <f t="shared" si="2"/>
        <v>0</v>
      </c>
      <c r="BX15" s="35">
        <f t="shared" si="2"/>
        <v>0</v>
      </c>
      <c r="BY15" s="35">
        <f t="shared" si="2"/>
        <v>0</v>
      </c>
      <c r="BZ15" s="35">
        <f t="shared" si="2"/>
        <v>0</v>
      </c>
      <c r="CA15" s="35">
        <f t="shared" si="2"/>
        <v>0</v>
      </c>
      <c r="CB15" s="35">
        <f t="shared" si="2"/>
        <v>0</v>
      </c>
      <c r="CC15" s="35"/>
      <c r="CD15" s="557">
        <f>IF($B13=0,1,IF(AND(CD14&gt;0,$B13&lt;='Input 4_RSV Season'!$AG$27-1),CD14+1,0))</f>
        <v>6</v>
      </c>
      <c r="CE15" s="549">
        <f>IF(AND($CD15&gt;0,$CD15&lt;='Input 6_Product Efficacy'!$Q$12/30),SUM($BQ13:$CB13),0)</f>
        <v>0</v>
      </c>
      <c r="CF15" s="554">
        <f>IF(AND($CD15&gt;0,$CD15&gt;'Input 6_Product Efficacy'!$Q$12/30),SUM($BQ13:$CB13),0)</f>
        <v>1440.6521033554939</v>
      </c>
      <c r="CH15" s="565">
        <f>IF(AND($CD15&gt;0,$CD15&gt;'Input 6_Product Efficacy'!$Q$15/30),SUM($BQ13:$CB13),0)</f>
        <v>1440.6521033554939</v>
      </c>
    </row>
    <row r="16" spans="2:87" x14ac:dyDescent="0.3">
      <c r="B16" s="26">
        <v>8</v>
      </c>
      <c r="C16" s="245">
        <f>'Input 2_RSV Rates'!T18*'Input 3_Clinical Severity'!$S$11</f>
        <v>3.4</v>
      </c>
      <c r="E16" s="20">
        <f t="shared" si="3"/>
        <v>2.6541501976284584E-3</v>
      </c>
      <c r="F16" s="20">
        <f t="shared" si="3"/>
        <v>7.6936758893280631E-3</v>
      </c>
      <c r="G16" s="20">
        <f t="shared" si="3"/>
        <v>1.0952569169960475E-2</v>
      </c>
      <c r="H16" s="20">
        <f t="shared" si="3"/>
        <v>7.3241106719367588E-3</v>
      </c>
      <c r="I16" s="20">
        <f t="shared" si="3"/>
        <v>3.9308300395256924E-3</v>
      </c>
      <c r="J16" s="20">
        <f t="shared" si="3"/>
        <v>1.0415019762845851E-3</v>
      </c>
      <c r="K16" s="20">
        <f t="shared" si="3"/>
        <v>0</v>
      </c>
      <c r="L16" s="20">
        <f t="shared" si="3"/>
        <v>0</v>
      </c>
      <c r="M16" s="20">
        <f t="shared" si="3"/>
        <v>0</v>
      </c>
      <c r="N16" s="20">
        <f t="shared" si="3"/>
        <v>0</v>
      </c>
      <c r="O16" s="20">
        <f t="shared" si="3"/>
        <v>0</v>
      </c>
      <c r="P16" s="20">
        <f t="shared" si="3"/>
        <v>0</v>
      </c>
      <c r="S16" s="852">
        <f>IF('Input 5_Product Uptake'!$M$9=0,E16*Ratios!$N$10,E16*Ratios!$N$10*Ratios!$Z$10)</f>
        <v>11.855134614041081</v>
      </c>
      <c r="T16" s="852">
        <f>IF('Input 5_Product Uptake'!$M$9=0,F16*Ratios!$N$10,F16*Ratios!$N$10*Ratios!$Z$10)</f>
        <v>34.364883881207696</v>
      </c>
      <c r="U16" s="852">
        <f>IF('Input 5_Product Uptake'!$M$9=0,G16*Ratios!$N$10,G16*Ratios!$N$10*Ratios!$Z$10)</f>
        <v>48.921188407308776</v>
      </c>
      <c r="V16" s="852">
        <f>IF('Input 5_Product Uptake'!$M$9=0,H16*Ratios!$N$10,H16*Ratios!$N$10*Ratios!$Z$10)</f>
        <v>32.714168934948809</v>
      </c>
      <c r="W16" s="852">
        <f>IF('Input 5_Product Uptake'!$M$9=0,I16*Ratios!$N$10,I16*Ratios!$N$10*Ratios!$Z$10)</f>
        <v>17.557604428389961</v>
      </c>
      <c r="X16" s="852">
        <f>IF('Input 5_Product Uptake'!$M$9=0,J16*Ratios!$N$10,J16*Ratios!$N$10*Ratios!$Z$10)</f>
        <v>4.6520148485477666</v>
      </c>
      <c r="Y16" s="852">
        <f>IF('Input 5_Product Uptake'!$M$9=0,K16*Ratios!$N$10,K16*Ratios!$N$10*Ratios!$Z$10)</f>
        <v>0</v>
      </c>
      <c r="Z16" s="852">
        <f>IF('Input 5_Product Uptake'!$M$9=0,L16*Ratios!$N$10,L16*Ratios!$N$10*Ratios!$Z$10)</f>
        <v>0</v>
      </c>
      <c r="AA16" s="852">
        <f>IF('Input 5_Product Uptake'!$M$9=0,M16*Ratios!$N$10,M16*Ratios!$N$10*Ratios!$Z$10)</f>
        <v>0</v>
      </c>
      <c r="AB16" s="852">
        <f>IF('Input 5_Product Uptake'!$M$9=0,N16*Ratios!$N$10,N16*Ratios!$N$10*Ratios!$Z$10)</f>
        <v>0</v>
      </c>
      <c r="AC16" s="852">
        <f>IF('Input 5_Product Uptake'!$M$9=0,O16*Ratios!$N$10,O16*Ratios!$N$10*Ratios!$Z$10)</f>
        <v>0</v>
      </c>
      <c r="AD16" s="852">
        <f>IF('Input 5_Product Uptake'!$M$9=0,P16*Ratios!$N$10,P16*Ratios!$N$10*Ratios!$Z$10)</f>
        <v>0</v>
      </c>
      <c r="AF16" s="849">
        <f>Ratios!$P$10*E16</f>
        <v>80.616490616934513</v>
      </c>
      <c r="AG16" s="849">
        <f>Ratios!$P$10*F16</f>
        <v>233.68577659845576</v>
      </c>
      <c r="AH16" s="849">
        <f>Ratios!$P$10*G16</f>
        <v>332.67058153317282</v>
      </c>
      <c r="AI16" s="849">
        <f>Ratios!$P$10*H16</f>
        <v>222.46069562647753</v>
      </c>
      <c r="AJ16" s="849">
        <f>Ratios!$P$10*I16</f>
        <v>119.39404306558659</v>
      </c>
      <c r="AK16" s="849">
        <f>Ratios!$P$10*J16</f>
        <v>31.634319102847726</v>
      </c>
      <c r="AL16" s="849">
        <f>Ratios!$P$10*K16</f>
        <v>0</v>
      </c>
      <c r="AM16" s="849">
        <f>Ratios!$P$10*L16</f>
        <v>0</v>
      </c>
      <c r="AN16" s="849">
        <f>Ratios!$P$10*M16</f>
        <v>0</v>
      </c>
      <c r="AO16" s="849">
        <f>Ratios!$P$10*N16</f>
        <v>0</v>
      </c>
      <c r="AP16" s="849">
        <f>Ratios!$P$10*O16</f>
        <v>0</v>
      </c>
      <c r="AQ16" s="849">
        <f>Ratios!$P$10*P16</f>
        <v>0</v>
      </c>
      <c r="AS16" s="275">
        <f t="shared" si="4"/>
        <v>11.855134614041081</v>
      </c>
      <c r="AT16" s="275">
        <f t="shared" si="1"/>
        <v>34.364883881207696</v>
      </c>
      <c r="AU16" s="275">
        <f t="shared" si="1"/>
        <v>48.921188407308776</v>
      </c>
      <c r="AV16" s="275">
        <f t="shared" si="1"/>
        <v>32.714168934948809</v>
      </c>
      <c r="AW16" s="275">
        <f t="shared" si="1"/>
        <v>17.557604428389961</v>
      </c>
      <c r="AX16" s="275">
        <f t="shared" si="1"/>
        <v>4.6520148485477666</v>
      </c>
      <c r="AY16" s="275">
        <f t="shared" si="1"/>
        <v>0</v>
      </c>
      <c r="AZ16" s="275">
        <f t="shared" si="1"/>
        <v>0</v>
      </c>
      <c r="BA16" s="275">
        <f t="shared" si="1"/>
        <v>0</v>
      </c>
      <c r="BB16" s="275">
        <f t="shared" si="1"/>
        <v>0</v>
      </c>
      <c r="BC16" s="275">
        <f t="shared" si="1"/>
        <v>0</v>
      </c>
      <c r="BD16" s="275">
        <f t="shared" si="1"/>
        <v>0</v>
      </c>
      <c r="BE16" s="275"/>
      <c r="BF16" s="557">
        <f>IF($B14=0,1,IF(AND(BF15&gt;0,$B14&lt;='Input 4_RSV Season'!$AG$27-1),BF15+1,0))</f>
        <v>0</v>
      </c>
      <c r="BG16" s="549">
        <f>IF(AND($BF16&gt;0,$BF16&lt;='Input 6_Product Efficacy'!$Q$9/30),SUM($AS14:$BD14),0)</f>
        <v>0</v>
      </c>
      <c r="BH16" s="554">
        <f>IF(AND($BF16&gt;0,$BF16&gt;'Input 6_Product Efficacy'!$Q$9/30),SUM($AS14:$BD14),0)</f>
        <v>0</v>
      </c>
      <c r="BI16" s="593"/>
      <c r="BK16" s="549">
        <f>IF(AND($BF16&gt;0,$BF16&lt;='Input 6_Product Efficacy'!$Q$12/30),SUM($AS14:$BD14),0)</f>
        <v>0</v>
      </c>
      <c r="BL16" s="554">
        <f>IF(AND($BF16&gt;0,$BF16&gt;'Input 6_Product Efficacy'!$Q$12/30),SUM($AS14:$BD14),0)</f>
        <v>0</v>
      </c>
      <c r="BO16" s="276"/>
      <c r="BP16" s="13"/>
      <c r="BQ16" s="35">
        <f t="shared" si="5"/>
        <v>80.616490616934513</v>
      </c>
      <c r="BR16" s="35">
        <f t="shared" si="2"/>
        <v>233.68577659845576</v>
      </c>
      <c r="BS16" s="35">
        <f t="shared" si="2"/>
        <v>332.67058153317282</v>
      </c>
      <c r="BT16" s="35">
        <f t="shared" si="2"/>
        <v>222.46069562647753</v>
      </c>
      <c r="BU16" s="35">
        <f t="shared" si="2"/>
        <v>119.39404306558659</v>
      </c>
      <c r="BV16" s="35">
        <f t="shared" si="2"/>
        <v>31.634319102847726</v>
      </c>
      <c r="BW16" s="35">
        <f t="shared" si="2"/>
        <v>0</v>
      </c>
      <c r="BX16" s="35">
        <f t="shared" si="2"/>
        <v>0</v>
      </c>
      <c r="BY16" s="35">
        <f t="shared" si="2"/>
        <v>0</v>
      </c>
      <c r="BZ16" s="35">
        <f t="shared" si="2"/>
        <v>0</v>
      </c>
      <c r="CA16" s="35">
        <f t="shared" si="2"/>
        <v>0</v>
      </c>
      <c r="CB16" s="35">
        <f t="shared" si="2"/>
        <v>0</v>
      </c>
      <c r="CC16" s="35"/>
      <c r="CD16" s="557">
        <f>IF($B14=0,1,IF(AND(CD15&gt;0,$B14&lt;='Input 4_RSV Season'!$AG$27-1),CD15+1,0))</f>
        <v>0</v>
      </c>
      <c r="CE16" s="549">
        <f>IF(AND($CD16&gt;0,$CD16&lt;='Input 6_Product Efficacy'!$Q$12/30),SUM($BQ14:$CB14),0)</f>
        <v>0</v>
      </c>
      <c r="CF16" s="554">
        <f>IF(AND($CD16&gt;0,$CD16&gt;'Input 6_Product Efficacy'!$Q$12/30),SUM($BQ14:$CB14),0)</f>
        <v>0</v>
      </c>
      <c r="CH16" s="565">
        <f>IF(AND($CD16&gt;0,$CD16&gt;'Input 6_Product Efficacy'!$Q$15/30),SUM($BQ14:$CB14),0)</f>
        <v>0</v>
      </c>
    </row>
    <row r="17" spans="2:88" x14ac:dyDescent="0.3">
      <c r="B17" s="26">
        <v>9</v>
      </c>
      <c r="C17" s="245">
        <f>'Input 2_RSV Rates'!T19*'Input 3_Clinical Severity'!$S$11</f>
        <v>3.8</v>
      </c>
      <c r="E17" s="20">
        <f t="shared" si="3"/>
        <v>2.966403162055336E-3</v>
      </c>
      <c r="F17" s="20">
        <f t="shared" si="3"/>
        <v>8.5988142292490102E-3</v>
      </c>
      <c r="G17" s="20">
        <f t="shared" si="3"/>
        <v>1.224110671936759E-2</v>
      </c>
      <c r="H17" s="20">
        <f t="shared" si="3"/>
        <v>8.1857707509881417E-3</v>
      </c>
      <c r="I17" s="20">
        <f t="shared" si="3"/>
        <v>4.3932806324110674E-3</v>
      </c>
      <c r="J17" s="20">
        <f t="shared" si="3"/>
        <v>1.1640316205533596E-3</v>
      </c>
      <c r="K17" s="20">
        <f t="shared" si="3"/>
        <v>0</v>
      </c>
      <c r="L17" s="20">
        <f t="shared" si="3"/>
        <v>0</v>
      </c>
      <c r="M17" s="20">
        <f t="shared" si="3"/>
        <v>0</v>
      </c>
      <c r="N17" s="20">
        <f t="shared" si="3"/>
        <v>0</v>
      </c>
      <c r="O17" s="20">
        <f t="shared" si="3"/>
        <v>0</v>
      </c>
      <c r="P17" s="20">
        <f t="shared" si="3"/>
        <v>0</v>
      </c>
      <c r="S17" s="852">
        <f>IF('Input 5_Product Uptake'!$M$9=0,E17*Ratios!$N$10,E17*Ratios!$N$10*Ratios!$Z$10)</f>
        <v>13.249856333340034</v>
      </c>
      <c r="T17" s="852">
        <f>IF('Input 5_Product Uptake'!$M$9=0,F17*Ratios!$N$10,F17*Ratios!$N$10*Ratios!$Z$10)</f>
        <v>38.407811396643886</v>
      </c>
      <c r="U17" s="852">
        <f>IF('Input 5_Product Uptake'!$M$9=0,G17*Ratios!$N$10,G17*Ratios!$N$10*Ratios!$Z$10)</f>
        <v>54.67662233758039</v>
      </c>
      <c r="V17" s="852">
        <f>IF('Input 5_Product Uptake'!$M$9=0,H17*Ratios!$N$10,H17*Ratios!$N$10*Ratios!$Z$10)</f>
        <v>36.562894692001606</v>
      </c>
      <c r="W17" s="852">
        <f>IF('Input 5_Product Uptake'!$M$9=0,I17*Ratios!$N$10,I17*Ratios!$N$10*Ratios!$Z$10)</f>
        <v>19.623204949377012</v>
      </c>
      <c r="X17" s="852">
        <f>IF('Input 5_Product Uptake'!$M$9=0,J17*Ratios!$N$10,J17*Ratios!$N$10*Ratios!$Z$10)</f>
        <v>5.1993107130827978</v>
      </c>
      <c r="Y17" s="852">
        <f>IF('Input 5_Product Uptake'!$M$9=0,K17*Ratios!$N$10,K17*Ratios!$N$10*Ratios!$Z$10)</f>
        <v>0</v>
      </c>
      <c r="Z17" s="852">
        <f>IF('Input 5_Product Uptake'!$M$9=0,L17*Ratios!$N$10,L17*Ratios!$N$10*Ratios!$Z$10)</f>
        <v>0</v>
      </c>
      <c r="AA17" s="852">
        <f>IF('Input 5_Product Uptake'!$M$9=0,M17*Ratios!$N$10,M17*Ratios!$N$10*Ratios!$Z$10)</f>
        <v>0</v>
      </c>
      <c r="AB17" s="852">
        <f>IF('Input 5_Product Uptake'!$M$9=0,N17*Ratios!$N$10,N17*Ratios!$N$10*Ratios!$Z$10)</f>
        <v>0</v>
      </c>
      <c r="AC17" s="852">
        <f>IF('Input 5_Product Uptake'!$M$9=0,O17*Ratios!$N$10,O17*Ratios!$N$10*Ratios!$Z$10)</f>
        <v>0</v>
      </c>
      <c r="AD17" s="852">
        <f>IF('Input 5_Product Uptake'!$M$9=0,P17*Ratios!$N$10,P17*Ratios!$N$10*Ratios!$Z$10)</f>
        <v>0</v>
      </c>
      <c r="AF17" s="849">
        <f>Ratios!$P$10*E17</f>
        <v>90.100783630691524</v>
      </c>
      <c r="AG17" s="849">
        <f>Ratios!$P$10*F17</f>
        <v>261.17822090415638</v>
      </c>
      <c r="AH17" s="849">
        <f>Ratios!$P$10*G17</f>
        <v>371.80829700766378</v>
      </c>
      <c r="AI17" s="849">
        <f>Ratios!$P$10*H17</f>
        <v>248.63254217076897</v>
      </c>
      <c r="AJ17" s="849">
        <f>Ratios!$P$10*I17</f>
        <v>133.44040107330264</v>
      </c>
      <c r="AK17" s="849">
        <f>Ratios!$P$10*J17</f>
        <v>35.356003703182743</v>
      </c>
      <c r="AL17" s="849">
        <f>Ratios!$P$10*K17</f>
        <v>0</v>
      </c>
      <c r="AM17" s="849">
        <f>Ratios!$P$10*L17</f>
        <v>0</v>
      </c>
      <c r="AN17" s="849">
        <f>Ratios!$P$10*M17</f>
        <v>0</v>
      </c>
      <c r="AO17" s="849">
        <f>Ratios!$P$10*N17</f>
        <v>0</v>
      </c>
      <c r="AP17" s="849">
        <f>Ratios!$P$10*O17</f>
        <v>0</v>
      </c>
      <c r="AQ17" s="849">
        <f>Ratios!$P$10*P17</f>
        <v>0</v>
      </c>
      <c r="AS17" s="275">
        <f t="shared" si="4"/>
        <v>13.249856333340034</v>
      </c>
      <c r="AT17" s="275">
        <f t="shared" si="1"/>
        <v>38.407811396643886</v>
      </c>
      <c r="AU17" s="275">
        <f t="shared" si="1"/>
        <v>54.67662233758039</v>
      </c>
      <c r="AV17" s="275">
        <f t="shared" si="1"/>
        <v>36.562894692001606</v>
      </c>
      <c r="AW17" s="275">
        <f t="shared" si="1"/>
        <v>19.623204949377012</v>
      </c>
      <c r="AX17" s="275">
        <f t="shared" si="1"/>
        <v>5.1993107130827978</v>
      </c>
      <c r="AY17" s="275">
        <f t="shared" si="1"/>
        <v>0</v>
      </c>
      <c r="AZ17" s="275">
        <f t="shared" si="1"/>
        <v>0</v>
      </c>
      <c r="BA17" s="275">
        <f t="shared" si="1"/>
        <v>0</v>
      </c>
      <c r="BB17" s="275">
        <f t="shared" si="1"/>
        <v>0</v>
      </c>
      <c r="BC17" s="275">
        <f t="shared" si="1"/>
        <v>0</v>
      </c>
      <c r="BD17" s="275">
        <f t="shared" si="1"/>
        <v>0</v>
      </c>
      <c r="BE17" s="275"/>
      <c r="BF17" s="557">
        <f>IF($B15=0,1,IF(AND(BF16&gt;0,$B15&lt;='Input 4_RSV Season'!$AG$27-1),BF16+1,0))</f>
        <v>0</v>
      </c>
      <c r="BG17" s="549">
        <f>IF(AND($BF17&gt;0,$BF17&lt;='Input 6_Product Efficacy'!$Q$9/30),SUM($AS15:$BD15),0)</f>
        <v>0</v>
      </c>
      <c r="BH17" s="554">
        <f>IF(AND($BF17&gt;0,$BF17&gt;'Input 6_Product Efficacy'!$Q$9/30),SUM($AS15:$BD15),0)</f>
        <v>0</v>
      </c>
      <c r="BI17" s="593"/>
      <c r="BK17" s="549">
        <f>IF(AND($BF17&gt;0,$BF17&lt;='Input 6_Product Efficacy'!$Q$12/30),SUM($AS15:$BD15),0)</f>
        <v>0</v>
      </c>
      <c r="BL17" s="554">
        <f>IF(AND($BF17&gt;0,$BF17&gt;'Input 6_Product Efficacy'!$Q$12/30),SUM($AS15:$BD15),0)</f>
        <v>0</v>
      </c>
      <c r="BO17" s="276"/>
      <c r="BP17" s="13"/>
      <c r="BQ17" s="35">
        <f t="shared" si="5"/>
        <v>90.100783630691524</v>
      </c>
      <c r="BR17" s="35">
        <f t="shared" si="2"/>
        <v>261.17822090415638</v>
      </c>
      <c r="BS17" s="35">
        <f t="shared" si="2"/>
        <v>371.80829700766378</v>
      </c>
      <c r="BT17" s="35">
        <f t="shared" si="2"/>
        <v>248.63254217076897</v>
      </c>
      <c r="BU17" s="35">
        <f t="shared" si="2"/>
        <v>133.44040107330264</v>
      </c>
      <c r="BV17" s="35">
        <f t="shared" si="2"/>
        <v>35.356003703182743</v>
      </c>
      <c r="BW17" s="35">
        <f t="shared" si="2"/>
        <v>0</v>
      </c>
      <c r="BX17" s="35">
        <f t="shared" si="2"/>
        <v>0</v>
      </c>
      <c r="BY17" s="35">
        <f t="shared" si="2"/>
        <v>0</v>
      </c>
      <c r="BZ17" s="35">
        <f t="shared" si="2"/>
        <v>0</v>
      </c>
      <c r="CA17" s="35">
        <f t="shared" si="2"/>
        <v>0</v>
      </c>
      <c r="CB17" s="35">
        <f t="shared" si="2"/>
        <v>0</v>
      </c>
      <c r="CC17" s="35"/>
      <c r="CD17" s="557">
        <f>IF($B15=0,1,IF(AND(CD16&gt;0,$B15&lt;='Input 4_RSV Season'!$AG$27-1),CD16+1,0))</f>
        <v>0</v>
      </c>
      <c r="CE17" s="549">
        <f>IF(AND($CD17&gt;0,$CD17&lt;='Input 6_Product Efficacy'!$Q$12/30),SUM($BQ15:$CB15),0)</f>
        <v>0</v>
      </c>
      <c r="CF17" s="554">
        <f>IF(AND($CD17&gt;0,$CD17&gt;'Input 6_Product Efficacy'!$Q$12/30),SUM($BQ15:$CB15),0)</f>
        <v>0</v>
      </c>
      <c r="CH17" s="565">
        <f>IF(AND($CD17&gt;0,$CD17&gt;'Input 6_Product Efficacy'!$Q$15/30),SUM($BQ15:$CB15),0)</f>
        <v>0</v>
      </c>
    </row>
    <row r="18" spans="2:88" x14ac:dyDescent="0.3">
      <c r="B18" s="26">
        <v>10</v>
      </c>
      <c r="C18" s="245">
        <f>'Input 2_RSV Rates'!T20*'Input 3_Clinical Severity'!$S$11</f>
        <v>3.7</v>
      </c>
      <c r="E18" s="20">
        <f t="shared" si="3"/>
        <v>2.888339920948617E-3</v>
      </c>
      <c r="F18" s="20">
        <f t="shared" si="3"/>
        <v>8.3725296442687756E-3</v>
      </c>
      <c r="G18" s="20">
        <f t="shared" si="3"/>
        <v>1.1918972332015812E-2</v>
      </c>
      <c r="H18" s="20">
        <f t="shared" si="3"/>
        <v>7.9703557312252975E-3</v>
      </c>
      <c r="I18" s="20">
        <f t="shared" si="3"/>
        <v>4.2776679841897243E-3</v>
      </c>
      <c r="J18" s="20">
        <f t="shared" si="3"/>
        <v>1.133399209486166E-3</v>
      </c>
      <c r="K18" s="20">
        <f t="shared" si="3"/>
        <v>0</v>
      </c>
      <c r="L18" s="20">
        <f t="shared" si="3"/>
        <v>0</v>
      </c>
      <c r="M18" s="20">
        <f t="shared" si="3"/>
        <v>0</v>
      </c>
      <c r="N18" s="20">
        <f t="shared" si="3"/>
        <v>0</v>
      </c>
      <c r="O18" s="20">
        <f t="shared" si="3"/>
        <v>0</v>
      </c>
      <c r="P18" s="20">
        <f t="shared" si="3"/>
        <v>0</v>
      </c>
      <c r="S18" s="852">
        <f>IF('Input 5_Product Uptake'!$M$9=0,E18*Ratios!$N$10,E18*Ratios!$N$10*Ratios!$Z$10)</f>
        <v>12.901175903515297</v>
      </c>
      <c r="T18" s="852">
        <f>IF('Input 5_Product Uptake'!$M$9=0,F18*Ratios!$N$10,F18*Ratios!$N$10*Ratios!$Z$10)</f>
        <v>37.397079517784846</v>
      </c>
      <c r="U18" s="852">
        <f>IF('Input 5_Product Uptake'!$M$9=0,G18*Ratios!$N$10,G18*Ratios!$N$10*Ratios!$Z$10)</f>
        <v>53.237763855012489</v>
      </c>
      <c r="V18" s="852">
        <f>IF('Input 5_Product Uptake'!$M$9=0,H18*Ratios!$N$10,H18*Ratios!$N$10*Ratios!$Z$10)</f>
        <v>35.600713252738416</v>
      </c>
      <c r="W18" s="852">
        <f>IF('Input 5_Product Uptake'!$M$9=0,I18*Ratios!$N$10,I18*Ratios!$N$10*Ratios!$Z$10)</f>
        <v>19.10680481913025</v>
      </c>
      <c r="X18" s="852">
        <f>IF('Input 5_Product Uptake'!$M$9=0,J18*Ratios!$N$10,J18*Ratios!$N$10*Ratios!$Z$10)</f>
        <v>5.0624867469490402</v>
      </c>
      <c r="Y18" s="852">
        <f>IF('Input 5_Product Uptake'!$M$9=0,K18*Ratios!$N$10,K18*Ratios!$N$10*Ratios!$Z$10)</f>
        <v>0</v>
      </c>
      <c r="Z18" s="852">
        <f>IF('Input 5_Product Uptake'!$M$9=0,L18*Ratios!$N$10,L18*Ratios!$N$10*Ratios!$Z$10)</f>
        <v>0</v>
      </c>
      <c r="AA18" s="852">
        <f>IF('Input 5_Product Uptake'!$M$9=0,M18*Ratios!$N$10,M18*Ratios!$N$10*Ratios!$Z$10)</f>
        <v>0</v>
      </c>
      <c r="AB18" s="852">
        <f>IF('Input 5_Product Uptake'!$M$9=0,N18*Ratios!$N$10,N18*Ratios!$N$10*Ratios!$Z$10)</f>
        <v>0</v>
      </c>
      <c r="AC18" s="852">
        <f>IF('Input 5_Product Uptake'!$M$9=0,O18*Ratios!$N$10,O18*Ratios!$N$10*Ratios!$Z$10)</f>
        <v>0</v>
      </c>
      <c r="AD18" s="852">
        <f>IF('Input 5_Product Uptake'!$M$9=0,P18*Ratios!$N$10,P18*Ratios!$N$10*Ratios!$Z$10)</f>
        <v>0</v>
      </c>
      <c r="AF18" s="849">
        <f>Ratios!$P$10*E18</f>
        <v>87.729710377252289</v>
      </c>
      <c r="AG18" s="849">
        <f>Ratios!$P$10*F18</f>
        <v>254.30510982773129</v>
      </c>
      <c r="AH18" s="849">
        <f>Ratios!$P$10*G18</f>
        <v>362.02386813904104</v>
      </c>
      <c r="AI18" s="849">
        <f>Ratios!$P$10*H18</f>
        <v>242.08958053469615</v>
      </c>
      <c r="AJ18" s="849">
        <f>Ratios!$P$10*I18</f>
        <v>129.92881157137364</v>
      </c>
      <c r="AK18" s="849">
        <f>Ratios!$P$10*J18</f>
        <v>34.425582553098991</v>
      </c>
      <c r="AL18" s="849">
        <f>Ratios!$P$10*K18</f>
        <v>0</v>
      </c>
      <c r="AM18" s="849">
        <f>Ratios!$P$10*L18</f>
        <v>0</v>
      </c>
      <c r="AN18" s="849">
        <f>Ratios!$P$10*M18</f>
        <v>0</v>
      </c>
      <c r="AO18" s="849">
        <f>Ratios!$P$10*N18</f>
        <v>0</v>
      </c>
      <c r="AP18" s="849">
        <f>Ratios!$P$10*O18</f>
        <v>0</v>
      </c>
      <c r="AQ18" s="849">
        <f>Ratios!$P$10*P18</f>
        <v>0</v>
      </c>
      <c r="AS18" s="275">
        <f t="shared" si="4"/>
        <v>12.901175903515297</v>
      </c>
      <c r="AT18" s="275">
        <f t="shared" si="1"/>
        <v>37.397079517784846</v>
      </c>
      <c r="AU18" s="275">
        <f t="shared" si="1"/>
        <v>53.237763855012489</v>
      </c>
      <c r="AV18" s="275">
        <f t="shared" si="1"/>
        <v>35.600713252738416</v>
      </c>
      <c r="AW18" s="275">
        <f t="shared" si="1"/>
        <v>19.10680481913025</v>
      </c>
      <c r="AX18" s="275">
        <f t="shared" si="1"/>
        <v>5.0624867469490402</v>
      </c>
      <c r="AY18" s="275">
        <f t="shared" si="1"/>
        <v>0</v>
      </c>
      <c r="AZ18" s="275">
        <f t="shared" si="1"/>
        <v>0</v>
      </c>
      <c r="BA18" s="275">
        <f t="shared" si="1"/>
        <v>0</v>
      </c>
      <c r="BB18" s="275">
        <f t="shared" si="1"/>
        <v>0</v>
      </c>
      <c r="BC18" s="275">
        <f t="shared" si="1"/>
        <v>0</v>
      </c>
      <c r="BD18" s="275">
        <f t="shared" si="1"/>
        <v>0</v>
      </c>
      <c r="BE18" s="275"/>
      <c r="BF18" s="557">
        <f>IF($B16=0,1,IF(AND(BF17&gt;0,$B16&lt;='Input 4_RSV Season'!$AG$27-1),BF17+1,0))</f>
        <v>0</v>
      </c>
      <c r="BG18" s="549">
        <f>IF(AND($BF18&gt;0,$BF18&lt;='Input 6_Product Efficacy'!$Q$9/30),SUM($AS16:$BD16),0)</f>
        <v>0</v>
      </c>
      <c r="BH18" s="554">
        <f>IF(AND($BF18&gt;0,$BF18&gt;'Input 6_Product Efficacy'!$Q$9/30),SUM($AS16:$BD16),0)</f>
        <v>0</v>
      </c>
      <c r="BI18" s="593"/>
      <c r="BK18" s="549">
        <f>IF(AND($BF18&gt;0,$BF18&lt;='Input 6_Product Efficacy'!$Q$12/30),SUM($AS16:$BD16),0)</f>
        <v>0</v>
      </c>
      <c r="BL18" s="554">
        <f>IF(AND($BF18&gt;0,$BF18&gt;'Input 6_Product Efficacy'!$Q$12/30),SUM($AS16:$BD16),0)</f>
        <v>0</v>
      </c>
      <c r="BO18" s="276"/>
      <c r="BP18" s="13"/>
      <c r="BQ18" s="35">
        <f t="shared" si="5"/>
        <v>87.729710377252289</v>
      </c>
      <c r="BR18" s="35">
        <f t="shared" si="2"/>
        <v>254.30510982773129</v>
      </c>
      <c r="BS18" s="35">
        <f t="shared" si="2"/>
        <v>362.02386813904104</v>
      </c>
      <c r="BT18" s="35">
        <f t="shared" si="2"/>
        <v>242.08958053469615</v>
      </c>
      <c r="BU18" s="35">
        <f t="shared" si="2"/>
        <v>129.92881157137364</v>
      </c>
      <c r="BV18" s="35">
        <f t="shared" si="2"/>
        <v>34.425582553098991</v>
      </c>
      <c r="BW18" s="35">
        <f t="shared" si="2"/>
        <v>0</v>
      </c>
      <c r="BX18" s="35">
        <f t="shared" si="2"/>
        <v>0</v>
      </c>
      <c r="BY18" s="35">
        <f t="shared" si="2"/>
        <v>0</v>
      </c>
      <c r="BZ18" s="35">
        <f t="shared" si="2"/>
        <v>0</v>
      </c>
      <c r="CA18" s="35">
        <f t="shared" si="2"/>
        <v>0</v>
      </c>
      <c r="CB18" s="35">
        <f t="shared" si="2"/>
        <v>0</v>
      </c>
      <c r="CC18" s="35"/>
      <c r="CD18" s="557">
        <f>IF($B16=0,1,IF(AND(CD17&gt;0,$B16&lt;='Input 4_RSV Season'!$AG$27-1),CD17+1,0))</f>
        <v>0</v>
      </c>
      <c r="CE18" s="549">
        <f>IF(AND($CD18&gt;0,$CD18&lt;='Input 6_Product Efficacy'!$Q$12/30),SUM($BQ16:$CB16),0)</f>
        <v>0</v>
      </c>
      <c r="CF18" s="554">
        <f>IF(AND($CD18&gt;0,$CD18&gt;'Input 6_Product Efficacy'!$Q$12/30),SUM($BQ16:$CB16),0)</f>
        <v>0</v>
      </c>
      <c r="CH18" s="565">
        <f>IF(AND($CD18&gt;0,$CD18&gt;'Input 6_Product Efficacy'!$Q$15/30),SUM($BQ16:$CB16),0)</f>
        <v>0</v>
      </c>
    </row>
    <row r="19" spans="2:88" x14ac:dyDescent="0.3">
      <c r="B19" s="26">
        <v>11</v>
      </c>
      <c r="C19" s="245">
        <f>'Input 2_RSV Rates'!T21*'Input 3_Clinical Severity'!$S$11</f>
        <v>2.9</v>
      </c>
      <c r="E19" s="20">
        <f t="shared" si="3"/>
        <v>2.2638339920948614E-3</v>
      </c>
      <c r="F19" s="20">
        <f t="shared" si="3"/>
        <v>6.5622529644268762E-3</v>
      </c>
      <c r="G19" s="20">
        <f t="shared" si="3"/>
        <v>9.3418972332015814E-3</v>
      </c>
      <c r="H19" s="20">
        <f t="shared" si="3"/>
        <v>6.2470355731225292E-3</v>
      </c>
      <c r="I19" s="20">
        <f t="shared" si="3"/>
        <v>3.3527667984189721E-3</v>
      </c>
      <c r="J19" s="20">
        <f t="shared" si="3"/>
        <v>8.8833992094861656E-4</v>
      </c>
      <c r="K19" s="20">
        <f t="shared" si="3"/>
        <v>0</v>
      </c>
      <c r="L19" s="20">
        <f t="shared" si="3"/>
        <v>0</v>
      </c>
      <c r="M19" s="20">
        <f t="shared" si="3"/>
        <v>0</v>
      </c>
      <c r="N19" s="20">
        <f t="shared" si="3"/>
        <v>0</v>
      </c>
      <c r="O19" s="20">
        <f t="shared" si="3"/>
        <v>0</v>
      </c>
      <c r="P19" s="20">
        <f t="shared" si="3"/>
        <v>0</v>
      </c>
      <c r="S19" s="852">
        <f>IF('Input 5_Product Uptake'!$M$9=0,E19*Ratios!$N$10,E19*Ratios!$N$10*Ratios!$Z$10)</f>
        <v>10.111732464917393</v>
      </c>
      <c r="T19" s="852">
        <f>IF('Input 5_Product Uptake'!$M$9=0,F19*Ratios!$N$10,F19*Ratios!$N$10*Ratios!$Z$10)</f>
        <v>29.31122448691244</v>
      </c>
      <c r="U19" s="852">
        <f>IF('Input 5_Product Uptake'!$M$9=0,G19*Ratios!$N$10,G19*Ratios!$N$10*Ratios!$Z$10)</f>
        <v>41.726895994469245</v>
      </c>
      <c r="V19" s="852">
        <f>IF('Input 5_Product Uptake'!$M$9=0,H19*Ratios!$N$10,H19*Ratios!$N$10*Ratios!$Z$10)</f>
        <v>27.903261738632807</v>
      </c>
      <c r="W19" s="852">
        <f>IF('Input 5_Product Uptake'!$M$9=0,I19*Ratios!$N$10,I19*Ratios!$N$10*Ratios!$Z$10)</f>
        <v>14.97560377715614</v>
      </c>
      <c r="X19" s="852">
        <f>IF('Input 5_Product Uptake'!$M$9=0,J19*Ratios!$N$10,J19*Ratios!$N$10*Ratios!$Z$10)</f>
        <v>3.9678950178789769</v>
      </c>
      <c r="Y19" s="852">
        <f>IF('Input 5_Product Uptake'!$M$9=0,K19*Ratios!$N$10,K19*Ratios!$N$10*Ratios!$Z$10)</f>
        <v>0</v>
      </c>
      <c r="Z19" s="852">
        <f>IF('Input 5_Product Uptake'!$M$9=0,L19*Ratios!$N$10,L19*Ratios!$N$10*Ratios!$Z$10)</f>
        <v>0</v>
      </c>
      <c r="AA19" s="852">
        <f>IF('Input 5_Product Uptake'!$M$9=0,M19*Ratios!$N$10,M19*Ratios!$N$10*Ratios!$Z$10)</f>
        <v>0</v>
      </c>
      <c r="AB19" s="852">
        <f>IF('Input 5_Product Uptake'!$M$9=0,N19*Ratios!$N$10,N19*Ratios!$N$10*Ratios!$Z$10)</f>
        <v>0</v>
      </c>
      <c r="AC19" s="852">
        <f>IF('Input 5_Product Uptake'!$M$9=0,O19*Ratios!$N$10,O19*Ratios!$N$10*Ratios!$Z$10)</f>
        <v>0</v>
      </c>
      <c r="AD19" s="852">
        <f>IF('Input 5_Product Uptake'!$M$9=0,P19*Ratios!$N$10,P19*Ratios!$N$10*Ratios!$Z$10)</f>
        <v>0</v>
      </c>
      <c r="AF19" s="849">
        <f>Ratios!$P$10*E19</f>
        <v>68.761124349738253</v>
      </c>
      <c r="AG19" s="849">
        <f>Ratios!$P$10*F19</f>
        <v>199.32022121632986</v>
      </c>
      <c r="AH19" s="849">
        <f>Ratios!$P$10*G19</f>
        <v>283.74843719005918</v>
      </c>
      <c r="AI19" s="849">
        <f>Ratios!$P$10*H19</f>
        <v>189.74588744611319</v>
      </c>
      <c r="AJ19" s="849">
        <f>Ratios!$P$10*I19</f>
        <v>101.83609555594147</v>
      </c>
      <c r="AK19" s="849">
        <f>Ratios!$P$10*J19</f>
        <v>26.982213352428939</v>
      </c>
      <c r="AL19" s="849">
        <f>Ratios!$P$10*K19</f>
        <v>0</v>
      </c>
      <c r="AM19" s="849">
        <f>Ratios!$P$10*L19</f>
        <v>0</v>
      </c>
      <c r="AN19" s="849">
        <f>Ratios!$P$10*M19</f>
        <v>0</v>
      </c>
      <c r="AO19" s="849">
        <f>Ratios!$P$10*N19</f>
        <v>0</v>
      </c>
      <c r="AP19" s="849">
        <f>Ratios!$P$10*O19</f>
        <v>0</v>
      </c>
      <c r="AQ19" s="849">
        <f>Ratios!$P$10*P19</f>
        <v>0</v>
      </c>
      <c r="AS19" s="275">
        <f t="shared" si="4"/>
        <v>10.111732464917393</v>
      </c>
      <c r="AT19" s="275">
        <f t="shared" si="1"/>
        <v>29.31122448691244</v>
      </c>
      <c r="AU19" s="275">
        <f t="shared" si="1"/>
        <v>41.726895994469245</v>
      </c>
      <c r="AV19" s="275">
        <f t="shared" si="1"/>
        <v>27.903261738632807</v>
      </c>
      <c r="AW19" s="275">
        <f t="shared" si="1"/>
        <v>14.97560377715614</v>
      </c>
      <c r="AX19" s="275">
        <f t="shared" si="1"/>
        <v>3.9678950178789769</v>
      </c>
      <c r="AY19" s="275">
        <f t="shared" si="1"/>
        <v>0</v>
      </c>
      <c r="AZ19" s="275">
        <f t="shared" si="1"/>
        <v>0</v>
      </c>
      <c r="BA19" s="275">
        <f t="shared" si="1"/>
        <v>0</v>
      </c>
      <c r="BB19" s="275">
        <f t="shared" si="1"/>
        <v>0</v>
      </c>
      <c r="BC19" s="275">
        <f t="shared" si="1"/>
        <v>0</v>
      </c>
      <c r="BD19" s="275">
        <f t="shared" si="1"/>
        <v>0</v>
      </c>
      <c r="BE19" s="275"/>
      <c r="BF19" s="557">
        <f>IF($B17=0,1,IF(AND(BF18&gt;0,$B17&lt;='Input 4_RSV Season'!$AG$27-1),BF18+1,0))</f>
        <v>0</v>
      </c>
      <c r="BG19" s="549">
        <f>IF(AND($BF19&gt;0,$BF19&lt;='Input 6_Product Efficacy'!$Q$9/30),SUM($AS17:$BD17),0)</f>
        <v>0</v>
      </c>
      <c r="BH19" s="554">
        <f>IF(AND($BF19&gt;0,$BF19&gt;'Input 6_Product Efficacy'!$Q$9/30),SUM($AS17:$BD17),0)</f>
        <v>0</v>
      </c>
      <c r="BI19" s="593"/>
      <c r="BK19" s="549">
        <f>IF(AND($BF19&gt;0,$BF19&lt;='Input 6_Product Efficacy'!$Q$12/30),SUM($AS17:$BD17),0)</f>
        <v>0</v>
      </c>
      <c r="BL19" s="554">
        <f>IF(AND($BF19&gt;0,$BF19&gt;'Input 6_Product Efficacy'!$Q$12/30),SUM($AS17:$BD17),0)</f>
        <v>0</v>
      </c>
      <c r="BO19" s="280"/>
      <c r="BP19" s="10"/>
      <c r="BQ19" s="35">
        <f t="shared" si="5"/>
        <v>68.761124349738253</v>
      </c>
      <c r="BR19" s="35">
        <f t="shared" si="2"/>
        <v>199.32022121632986</v>
      </c>
      <c r="BS19" s="35">
        <f t="shared" si="2"/>
        <v>283.74843719005918</v>
      </c>
      <c r="BT19" s="35">
        <f t="shared" si="2"/>
        <v>189.74588744611319</v>
      </c>
      <c r="BU19" s="35">
        <f t="shared" si="2"/>
        <v>101.83609555594147</v>
      </c>
      <c r="BV19" s="35">
        <f t="shared" si="2"/>
        <v>26.982213352428939</v>
      </c>
      <c r="BW19" s="35">
        <f t="shared" si="2"/>
        <v>0</v>
      </c>
      <c r="BX19" s="35">
        <f t="shared" si="2"/>
        <v>0</v>
      </c>
      <c r="BY19" s="35">
        <f t="shared" si="2"/>
        <v>0</v>
      </c>
      <c r="BZ19" s="35">
        <f t="shared" si="2"/>
        <v>0</v>
      </c>
      <c r="CA19" s="35">
        <f t="shared" si="2"/>
        <v>0</v>
      </c>
      <c r="CB19" s="35">
        <f t="shared" si="2"/>
        <v>0</v>
      </c>
      <c r="CC19" s="46"/>
      <c r="CD19" s="557">
        <f>IF($B17=0,1,IF(AND(CD18&gt;0,$B17&lt;='Input 4_RSV Season'!$AG$27-1),CD18+1,0))</f>
        <v>0</v>
      </c>
      <c r="CE19" s="549">
        <f>IF(AND($CD19&gt;0,$CD19&lt;='Input 6_Product Efficacy'!$Q$12/30),SUM($BQ17:$CB17),0)</f>
        <v>0</v>
      </c>
      <c r="CF19" s="554">
        <f>IF(AND($CD19&gt;0,$CD19&gt;'Input 6_Product Efficacy'!$Q$12/30),SUM($BQ17:$CB17),0)</f>
        <v>0</v>
      </c>
      <c r="CH19" s="565">
        <f>IF(AND($CD19&gt;0,$CD19&gt;'Input 6_Product Efficacy'!$Q$15/30),SUM($BQ17:$CB17),0)</f>
        <v>0</v>
      </c>
    </row>
    <row r="20" spans="2:88" ht="15" thickBot="1" x14ac:dyDescent="0.35">
      <c r="B20" s="113"/>
      <c r="S20" s="848"/>
      <c r="T20" s="848"/>
      <c r="U20" s="848"/>
      <c r="V20" s="848"/>
      <c r="W20" s="848"/>
      <c r="X20" s="853"/>
      <c r="Y20" s="853"/>
      <c r="Z20" s="853"/>
      <c r="AA20" s="853"/>
      <c r="AB20" s="853"/>
      <c r="AC20" s="853"/>
      <c r="AD20" s="853"/>
      <c r="AS20" s="2" t="s">
        <v>275</v>
      </c>
      <c r="AT20" s="547">
        <f>BG25</f>
        <v>0.17737078858496569</v>
      </c>
      <c r="AW20" s="2" t="s">
        <v>22</v>
      </c>
      <c r="AX20" s="36">
        <f>SUM(AS8:BD19)</f>
        <v>4466.6404428181586</v>
      </c>
      <c r="AY20" s="36"/>
      <c r="AZ20" s="36"/>
      <c r="BA20" s="36"/>
      <c r="BB20" s="36"/>
      <c r="BC20" s="36"/>
      <c r="BD20" s="36"/>
      <c r="BE20" s="36"/>
      <c r="BF20" s="557">
        <f>IF($B18=0,1,IF(AND(BF19&gt;0,$B18&lt;='Input 4_RSV Season'!$AG$27-1),BF19+1,0))</f>
        <v>0</v>
      </c>
      <c r="BG20" s="549">
        <f>IF(AND($BF20&gt;0,$BF20&lt;='Input 6_Product Efficacy'!$Q$9/30),SUM($AS18:$BD18),0)</f>
        <v>0</v>
      </c>
      <c r="BH20" s="554">
        <f>IF(AND($BF20&gt;0,$BF20&gt;'Input 6_Product Efficacy'!$Q$9/30),SUM($AS18:$BD18),0)</f>
        <v>0</v>
      </c>
      <c r="BI20" s="593"/>
      <c r="BK20" s="549">
        <f>IF(AND($BF20&gt;0,$BF20&lt;='Input 6_Product Efficacy'!$Q$12/30),SUM($AS18:$BD18),0)</f>
        <v>0</v>
      </c>
      <c r="BL20" s="554">
        <f>IF(AND($BF20&gt;0,$BF20&gt;'Input 6_Product Efficacy'!$Q$12/30),SUM($AS18:$BD18),0)</f>
        <v>0</v>
      </c>
      <c r="BO20" s="36"/>
      <c r="BQ20" s="2" t="s">
        <v>290</v>
      </c>
      <c r="BR20" s="70">
        <f>SUM(BV21:BV22)</f>
        <v>1.1937204925982135E-2</v>
      </c>
      <c r="BU20" s="2" t="s">
        <v>23</v>
      </c>
      <c r="BV20" s="36">
        <f>SUM(BQ8:CB19)</f>
        <v>30373.748512411668</v>
      </c>
      <c r="BW20" s="70"/>
      <c r="BY20" s="510" t="s">
        <v>278</v>
      </c>
      <c r="BZ20" s="510" t="s">
        <v>279</v>
      </c>
      <c r="CA20" s="510" t="s">
        <v>280</v>
      </c>
      <c r="CB20" s="36"/>
      <c r="CC20" s="36"/>
      <c r="CD20" s="557">
        <f>IF($B18=0,1,IF(AND(CD19&gt;0,$B18&lt;='Input 4_RSV Season'!$AG$27-1),CD19+1,0))</f>
        <v>0</v>
      </c>
      <c r="CE20" s="549">
        <f>IF(AND($CD20&gt;0,$CD20&lt;='Input 6_Product Efficacy'!$Q$12/30),SUM($BQ18:$CB18),0)</f>
        <v>0</v>
      </c>
      <c r="CF20" s="554">
        <f>IF(AND($CD20&gt;0,$CD20&gt;'Input 6_Product Efficacy'!$Q$12/30),SUM($BQ18:$CB18),0)</f>
        <v>0</v>
      </c>
      <c r="CH20" s="565">
        <f>IF(AND($CD20&gt;0,$CD20&gt;'Input 6_Product Efficacy'!$Q$15/30),SUM($BQ18:$CB18),0)</f>
        <v>0</v>
      </c>
    </row>
    <row r="21" spans="2:88" x14ac:dyDescent="0.3">
      <c r="B21" s="115" t="s">
        <v>247</v>
      </c>
      <c r="C21" s="115" t="s">
        <v>250</v>
      </c>
      <c r="S21" s="848"/>
      <c r="T21" s="848"/>
      <c r="U21" s="848"/>
      <c r="V21" s="848"/>
      <c r="W21" s="848"/>
      <c r="X21" s="848"/>
      <c r="Y21" s="848"/>
      <c r="Z21" s="848"/>
      <c r="AA21" s="848"/>
      <c r="AB21" s="848"/>
      <c r="AC21" s="848"/>
      <c r="AD21" s="848"/>
      <c r="AT21" s="613" t="s">
        <v>117</v>
      </c>
      <c r="AW21" s="2" t="s">
        <v>291</v>
      </c>
      <c r="AX21" s="70">
        <f>BG24</f>
        <v>0.16641351979207206</v>
      </c>
      <c r="AY21" s="72"/>
      <c r="BD21" s="70"/>
      <c r="BE21" s="70"/>
      <c r="BF21" s="557">
        <f>IF($B19=0,1,IF(AND(BF20&gt;0,$B19&lt;='Input 4_RSV Season'!$AG$27-1),BF20+1,0))</f>
        <v>0</v>
      </c>
      <c r="BG21" s="550">
        <f>IF(AND($BF21&gt;0,$BF21&lt;='Input 6_Product Efficacy'!$Q$9/30),SUM($AS19:$BD19),0)</f>
        <v>0</v>
      </c>
      <c r="BH21" s="555">
        <f>IF(AND($BF21&gt;0,$BF21&gt;'Input 6_Product Efficacy'!$Q$9/30),SUM($AS19:$BD19),0)</f>
        <v>0</v>
      </c>
      <c r="BI21" s="593"/>
      <c r="BK21" s="550">
        <f>IF(AND($BF21&gt;0,$BF21&lt;='Input 6_Product Efficacy'!$Q$12/30),SUM($AS19:$BD19),0)</f>
        <v>0</v>
      </c>
      <c r="BL21" s="555">
        <f>IF(AND($BF21&gt;0,$BF21&gt;'Input 6_Product Efficacy'!$Q$12/30),SUM($AS19:$BD19),0)</f>
        <v>0</v>
      </c>
      <c r="BO21" s="70"/>
      <c r="BR21" s="613" t="s">
        <v>277</v>
      </c>
      <c r="BU21" s="2" t="s">
        <v>286</v>
      </c>
      <c r="BV21" s="617">
        <f>IF('Input 6_Product Efficacy'!$Q$15=120,'WiS percent RSV_base'!CA21,IF('Input 6_Product Efficacy'!$Q$15=60,'WiS percent RSV_base'!BZ21,'WiS percent RSV_base'!BY21))</f>
        <v>8.2500373812772285E-3</v>
      </c>
      <c r="BX21" s="510" t="s">
        <v>281</v>
      </c>
      <c r="BY21" s="70">
        <f>SUM(BQ8:CB10)/((1-'Input 1_Population'!$G$24)*'WiS percent RSV_base'!$BB$5)</f>
        <v>8.2500373812772285E-3</v>
      </c>
      <c r="BZ21" s="70">
        <f>SUM(BQ8:CB9)/((1-'Input 1_Population'!$G$24)*'WiS percent RSV_base'!$BB$5)</f>
        <v>6.0531000525572212E-3</v>
      </c>
      <c r="CA21" s="70">
        <f>SUM(BQ8:CB11)/((1-'Input 1_Population'!$G$24)*'WiS percent RSV_base'!$BB$5)</f>
        <v>9.8324467858797518E-3</v>
      </c>
      <c r="CB21" s="70"/>
      <c r="CD21" s="557">
        <f>IF($B19=0,1,IF(AND(CD20&gt;0,$B19&lt;='Input 4_RSV Season'!$AG$27-1),CD20+1,0))</f>
        <v>0</v>
      </c>
      <c r="CE21" s="550">
        <f>IF(AND($CD21&gt;0,$CD21&lt;='Input 6_Product Efficacy'!$Q$12/30),SUM($BQ19:$CB19),0)</f>
        <v>0</v>
      </c>
      <c r="CF21" s="555">
        <f>IF(AND($CD21&gt;0,$CD21&gt;'Input 6_Product Efficacy'!$Q$12/30),SUM($BQ19:$CB19),0)</f>
        <v>0</v>
      </c>
      <c r="CH21" s="566">
        <f>IF(AND($CD21&gt;0,$CD21&gt;'Input 6_Product Efficacy'!$Q$15/30),SUM($BQ19:$CB19),0)</f>
        <v>0</v>
      </c>
    </row>
    <row r="22" spans="2:88" ht="15" thickBot="1" x14ac:dyDescent="0.35">
      <c r="B22" s="24" t="s">
        <v>248</v>
      </c>
      <c r="C22" s="429">
        <f>SUM(C8:C13)/SUM(C8:C19)</f>
        <v>0.76778656126482214</v>
      </c>
      <c r="S22" s="848"/>
      <c r="T22" s="848"/>
      <c r="U22" s="848"/>
      <c r="V22" s="848"/>
      <c r="W22" s="848"/>
      <c r="X22" s="848"/>
      <c r="Y22" s="848"/>
      <c r="Z22" s="848"/>
      <c r="AA22" s="848"/>
      <c r="AB22" s="848"/>
      <c r="AC22" s="848"/>
      <c r="AD22" s="848"/>
      <c r="AS22" s="2"/>
      <c r="AT22" s="70"/>
      <c r="AU22" s="494"/>
      <c r="AV22" s="494"/>
      <c r="AW22" s="12" t="s">
        <v>292</v>
      </c>
      <c r="AX22" s="282">
        <f>BH24</f>
        <v>1.095726879289363E-2</v>
      </c>
      <c r="BD22" s="70"/>
      <c r="BE22" s="70"/>
      <c r="BF22" s="2"/>
      <c r="BG22" s="5">
        <f>SUM(BG10:BG21)</f>
        <v>3217.5700423067569</v>
      </c>
      <c r="BH22" s="5">
        <f t="shared" ref="BH22:BL22" si="6">SUM(BH10:BH21)</f>
        <v>211.85646369097984</v>
      </c>
      <c r="BI22" s="5"/>
      <c r="BJ22" s="5"/>
      <c r="BK22" s="5">
        <f t="shared" si="6"/>
        <v>3217.5700423067569</v>
      </c>
      <c r="BL22" s="5">
        <f t="shared" si="6"/>
        <v>211.85646369097984</v>
      </c>
      <c r="BO22" s="70"/>
      <c r="BQ22" s="12"/>
      <c r="BR22" s="282"/>
      <c r="BS22" s="494"/>
      <c r="BT22" s="494"/>
      <c r="BU22" s="12" t="s">
        <v>287</v>
      </c>
      <c r="BV22" s="618">
        <f>CH24</f>
        <v>3.6871675447049065E-3</v>
      </c>
      <c r="BW22" s="494"/>
      <c r="BX22" s="509"/>
      <c r="BY22" s="282"/>
      <c r="BZ22" s="282"/>
      <c r="CA22" s="282"/>
      <c r="CB22" s="70"/>
      <c r="CD22" s="2"/>
      <c r="CE22" s="5">
        <f t="shared" ref="CE22:CH22" si="7">SUM(CE10:CE21)</f>
        <v>21879.903819711562</v>
      </c>
      <c r="CF22" s="5">
        <f t="shared" si="7"/>
        <v>1440.6521033554939</v>
      </c>
      <c r="CH22" s="5">
        <f t="shared" si="7"/>
        <v>7203.26051677747</v>
      </c>
    </row>
    <row r="23" spans="2:88" ht="15" thickBot="1" x14ac:dyDescent="0.35">
      <c r="B23" s="24" t="s">
        <v>249</v>
      </c>
      <c r="C23" s="429">
        <f>SUM(C14:C19)/SUM(C8:C19)</f>
        <v>0.23221343873517783</v>
      </c>
      <c r="S23" s="848"/>
      <c r="T23" s="848"/>
      <c r="U23" s="848"/>
      <c r="V23" s="848"/>
      <c r="W23" s="848"/>
      <c r="X23" s="848"/>
      <c r="Y23" s="848"/>
      <c r="Z23" s="848"/>
      <c r="AA23" s="848"/>
      <c r="AB23" s="848"/>
      <c r="AC23" s="848"/>
      <c r="AD23" s="848"/>
      <c r="AS23" s="2"/>
      <c r="AT23" s="70"/>
      <c r="AV23" s="13"/>
      <c r="AW23" s="14"/>
      <c r="AX23" s="70"/>
      <c r="AY23" s="13"/>
      <c r="AZ23" s="510"/>
      <c r="BA23" s="510"/>
      <c r="BB23" s="510"/>
      <c r="BC23" s="510"/>
      <c r="BD23" s="70"/>
      <c r="BE23" s="70"/>
      <c r="BO23" s="70"/>
      <c r="BQ23" s="2"/>
      <c r="BR23" s="70"/>
      <c r="BT23" s="13"/>
      <c r="BU23" s="14"/>
      <c r="BV23" s="70"/>
      <c r="BW23" s="13"/>
      <c r="BX23" s="510"/>
      <c r="BY23" s="510"/>
      <c r="BZ23" s="510"/>
      <c r="CA23" s="510"/>
      <c r="CB23" s="70"/>
    </row>
    <row r="24" spans="2:88" ht="16.2" thickBot="1" x14ac:dyDescent="0.35">
      <c r="B24" s="26"/>
      <c r="C24" s="26"/>
      <c r="S24" s="848"/>
      <c r="T24" s="848"/>
      <c r="U24" s="848"/>
      <c r="V24" s="848"/>
      <c r="W24" s="848"/>
      <c r="X24" s="848"/>
      <c r="Y24" s="848"/>
      <c r="Z24" s="848"/>
      <c r="AA24" s="848"/>
      <c r="AB24" s="848"/>
      <c r="AC24" s="848"/>
      <c r="AD24" s="848"/>
      <c r="AS24" s="2"/>
      <c r="AT24" s="613" t="s">
        <v>216</v>
      </c>
      <c r="AW24" s="2" t="s">
        <v>291</v>
      </c>
      <c r="AX24" s="70">
        <f>BK24</f>
        <v>0.16641351979207206</v>
      </c>
      <c r="AZ24" s="510"/>
      <c r="BA24" s="70"/>
      <c r="BB24" s="70"/>
      <c r="BC24" s="70"/>
      <c r="BD24" s="70"/>
      <c r="BE24" s="70"/>
      <c r="BG24" s="567">
        <f>BG22/('Input 1_Population'!$G$24*$BB$5)</f>
        <v>0.16641351979207206</v>
      </c>
      <c r="BH24" s="568">
        <f>BH22/('Input 1_Population'!$G$24*$BB$5)</f>
        <v>1.095726879289363E-2</v>
      </c>
      <c r="BI24" s="568"/>
      <c r="BJ24" s="569"/>
      <c r="BK24" s="580">
        <f>BK22/('Input 1_Population'!$G$24*$BB$5)</f>
        <v>0.16641351979207206</v>
      </c>
      <c r="BL24" s="581">
        <f>BL22/('Input 1_Population'!$G$24*$BB$5)</f>
        <v>1.095726879289363E-2</v>
      </c>
      <c r="BN24" s="5"/>
      <c r="BO24" s="70"/>
      <c r="BQ24" s="2"/>
      <c r="BR24" s="613" t="s">
        <v>216</v>
      </c>
      <c r="BU24" s="2" t="s">
        <v>286</v>
      </c>
      <c r="BV24" s="70">
        <f>CE24</f>
        <v>1.1199771417041152E-2</v>
      </c>
      <c r="BX24" s="510"/>
      <c r="BY24" s="70"/>
      <c r="BZ24" s="70"/>
      <c r="CA24" s="70"/>
      <c r="CB24" s="70"/>
      <c r="CE24" s="580">
        <f>CE22/((1-'Input 1_Population'!$G$24)*$BB$5)</f>
        <v>1.1199771417041152E-2</v>
      </c>
      <c r="CF24" s="581">
        <f>CF22/((1-'Input 1_Population'!$G$24)*$BB$5)</f>
        <v>7.3743350894098128E-4</v>
      </c>
      <c r="CH24" s="580">
        <f>CH22/((1-'Input 1_Population'!$G$24)*$BB$5)</f>
        <v>3.6871675447049065E-3</v>
      </c>
      <c r="CJ24" s="5"/>
    </row>
    <row r="25" spans="2:88" ht="15" thickBot="1" x14ac:dyDescent="0.35">
      <c r="B25" s="26"/>
      <c r="C25" s="26"/>
      <c r="S25" s="848"/>
      <c r="T25" s="848"/>
      <c r="U25" s="848"/>
      <c r="V25" s="848"/>
      <c r="W25" s="848"/>
      <c r="X25" s="848"/>
      <c r="Y25" s="848"/>
      <c r="Z25" s="848"/>
      <c r="AA25" s="848"/>
      <c r="AB25" s="848"/>
      <c r="AC25" s="848"/>
      <c r="AD25" s="848"/>
      <c r="AS25" s="2"/>
      <c r="AT25" s="70"/>
      <c r="AU25" s="494"/>
      <c r="AV25" s="494"/>
      <c r="AW25" s="12" t="s">
        <v>292</v>
      </c>
      <c r="AX25" s="282">
        <f>BL24</f>
        <v>1.095726879289363E-2</v>
      </c>
      <c r="AY25" s="494"/>
      <c r="AZ25" s="509"/>
      <c r="BA25" s="282"/>
      <c r="BB25" s="282"/>
      <c r="BC25" s="282"/>
      <c r="BD25" s="70"/>
      <c r="BE25" s="70"/>
      <c r="BG25" s="1121">
        <f>SUM(BG24:BH24)</f>
        <v>0.17737078858496569</v>
      </c>
      <c r="BH25" s="1121"/>
      <c r="BI25" s="606"/>
      <c r="BK25" s="1121">
        <f>SUM(BK24:BL24)</f>
        <v>0.17737078858496569</v>
      </c>
      <c r="BL25" s="1121"/>
      <c r="BN25" s="5"/>
      <c r="BO25" s="70"/>
      <c r="BQ25" s="14"/>
      <c r="BR25" s="70"/>
      <c r="BS25" s="13"/>
      <c r="BT25" s="13"/>
      <c r="BU25" s="14" t="s">
        <v>287</v>
      </c>
      <c r="BV25" s="70">
        <f>CF24</f>
        <v>7.3743350894098128E-4</v>
      </c>
      <c r="BW25" s="13"/>
      <c r="BX25" s="510"/>
      <c r="BY25" s="70"/>
      <c r="BZ25" s="70"/>
      <c r="CA25" s="70"/>
      <c r="CB25" s="70"/>
      <c r="CE25" s="598" t="s">
        <v>326</v>
      </c>
      <c r="CF25" s="624">
        <f>SUM(CE24:CF24)</f>
        <v>1.1937204925982133E-2</v>
      </c>
    </row>
    <row r="26" spans="2:88" x14ac:dyDescent="0.3">
      <c r="B26" s="26"/>
      <c r="C26" s="26"/>
      <c r="K26" s="5"/>
      <c r="S26" s="848"/>
      <c r="T26" s="848"/>
      <c r="U26" s="848"/>
      <c r="V26" s="848"/>
      <c r="W26" s="848"/>
      <c r="X26" s="848"/>
      <c r="Y26" s="848"/>
      <c r="Z26" s="848"/>
      <c r="AA26" s="848"/>
      <c r="AB26" s="848"/>
      <c r="AC26" s="848"/>
      <c r="AD26" s="848"/>
      <c r="AS26" s="2"/>
      <c r="AT26" s="70"/>
      <c r="AU26" s="13"/>
      <c r="AV26" s="13"/>
      <c r="AW26" s="14"/>
      <c r="AX26" s="70"/>
      <c r="AY26" s="13"/>
      <c r="AZ26" s="510"/>
      <c r="BA26" s="70"/>
      <c r="BB26" s="70"/>
      <c r="BC26" s="70"/>
      <c r="BD26" s="70"/>
      <c r="BE26" s="70"/>
      <c r="BO26" s="70"/>
      <c r="BQ26" s="13"/>
      <c r="BR26" s="70"/>
      <c r="BS26" s="13"/>
      <c r="BT26" s="13"/>
      <c r="BU26" s="14"/>
      <c r="BV26" s="70"/>
      <c r="BW26" s="13"/>
      <c r="BX26" s="510"/>
      <c r="BY26" s="70"/>
      <c r="BZ26" s="70"/>
      <c r="CA26" s="70"/>
      <c r="CB26" s="70"/>
    </row>
    <row r="27" spans="2:88" x14ac:dyDescent="0.3">
      <c r="B27" s="26"/>
      <c r="C27" s="26"/>
      <c r="S27" s="848"/>
      <c r="T27" s="848"/>
      <c r="U27" s="848"/>
      <c r="V27" s="848"/>
      <c r="W27" s="848"/>
      <c r="X27" s="848"/>
      <c r="Y27" s="848"/>
      <c r="Z27" s="848"/>
      <c r="AA27" s="848"/>
      <c r="AB27" s="848"/>
      <c r="AC27" s="848"/>
      <c r="AD27" s="848"/>
      <c r="AS27" s="2"/>
      <c r="AT27" s="614"/>
      <c r="AU27" s="1"/>
      <c r="AZ27" s="510"/>
      <c r="BA27" s="70"/>
      <c r="BB27" s="70"/>
      <c r="BC27" s="70"/>
      <c r="BD27" s="70"/>
      <c r="BE27" s="70"/>
      <c r="BO27" s="70"/>
      <c r="BQ27" s="14"/>
      <c r="BR27" s="614"/>
      <c r="BS27" s="1"/>
      <c r="BW27" s="13"/>
      <c r="BX27" s="510"/>
      <c r="BY27" s="70"/>
      <c r="BZ27" s="70"/>
      <c r="CA27" s="70"/>
      <c r="CB27" s="70"/>
    </row>
    <row r="28" spans="2:88" x14ac:dyDescent="0.3">
      <c r="B28" s="26"/>
      <c r="C28" s="26"/>
      <c r="S28" s="848"/>
      <c r="T28" s="848"/>
      <c r="U28" s="848"/>
      <c r="V28" s="848"/>
      <c r="W28" s="848"/>
      <c r="X28" s="848"/>
      <c r="Y28" s="848"/>
      <c r="Z28" s="848"/>
      <c r="AA28" s="848"/>
      <c r="AB28" s="848"/>
      <c r="AC28" s="848"/>
      <c r="AD28" s="848"/>
      <c r="AS28" s="2"/>
      <c r="AT28" s="70"/>
      <c r="AU28" s="13"/>
      <c r="AV28" s="13"/>
      <c r="AW28" s="14"/>
      <c r="AX28" s="70"/>
      <c r="AY28" s="13"/>
      <c r="AZ28" s="510"/>
      <c r="BA28" s="70"/>
      <c r="BB28" s="70"/>
      <c r="BC28" s="70"/>
      <c r="BD28" s="70"/>
      <c r="BE28" s="70"/>
      <c r="BO28" s="70"/>
      <c r="BQ28" s="14"/>
      <c r="BR28" s="70"/>
      <c r="BS28" s="13"/>
      <c r="BT28" s="13"/>
      <c r="BU28" s="14"/>
      <c r="BV28" s="70"/>
      <c r="BW28" s="13"/>
      <c r="BX28" s="510"/>
      <c r="BY28" s="70"/>
      <c r="BZ28" s="70"/>
      <c r="CA28" s="70"/>
      <c r="CB28" s="70"/>
    </row>
    <row r="29" spans="2:88" x14ac:dyDescent="0.3">
      <c r="B29" s="26"/>
      <c r="C29" s="26"/>
      <c r="S29" s="848"/>
      <c r="T29" s="848"/>
      <c r="U29" s="848"/>
      <c r="V29" s="848"/>
      <c r="W29" s="848"/>
      <c r="X29" s="848"/>
      <c r="Y29" s="848"/>
      <c r="Z29" s="848"/>
      <c r="AA29" s="848"/>
      <c r="AB29" s="848"/>
      <c r="AC29" s="848"/>
      <c r="AD29" s="848"/>
      <c r="AS29" s="2"/>
      <c r="AT29" s="70"/>
      <c r="AU29" s="13"/>
      <c r="AV29" s="13"/>
      <c r="AW29" s="14"/>
      <c r="AX29" s="70"/>
      <c r="AY29" s="13"/>
      <c r="AZ29" s="510"/>
      <c r="BA29" s="70"/>
      <c r="BB29" s="70"/>
      <c r="BC29" s="70"/>
      <c r="BD29" s="70"/>
      <c r="BE29" s="70"/>
      <c r="BO29" s="70"/>
      <c r="BQ29" s="14"/>
      <c r="BR29" s="70"/>
      <c r="BS29" s="13"/>
      <c r="BT29" s="13"/>
      <c r="BU29" s="14"/>
      <c r="BV29" s="70"/>
      <c r="BW29" s="13"/>
      <c r="BX29" s="510"/>
      <c r="BY29" s="70"/>
      <c r="BZ29" s="70"/>
      <c r="CA29" s="70"/>
      <c r="CB29" s="70"/>
    </row>
    <row r="30" spans="2:88" x14ac:dyDescent="0.3">
      <c r="B30" s="26"/>
      <c r="C30" s="26"/>
      <c r="S30" s="848"/>
      <c r="T30" s="848"/>
      <c r="U30" s="848"/>
      <c r="V30" s="848"/>
      <c r="W30" s="848"/>
      <c r="X30" s="848"/>
      <c r="Y30" s="848"/>
      <c r="Z30" s="848"/>
      <c r="AA30" s="848"/>
      <c r="AB30" s="848"/>
      <c r="AC30" s="848"/>
      <c r="AD30" s="848"/>
      <c r="AS30" s="2"/>
      <c r="AT30" s="70"/>
      <c r="AU30" s="13"/>
      <c r="AV30" s="13"/>
      <c r="AW30" s="14"/>
      <c r="AX30" s="70"/>
      <c r="AY30" s="13"/>
      <c r="AZ30" s="510"/>
      <c r="BA30" s="70"/>
      <c r="BB30" s="70"/>
      <c r="BC30" s="70"/>
      <c r="BD30" s="70"/>
      <c r="BE30" s="70"/>
      <c r="BG30" s="1117" t="s">
        <v>311</v>
      </c>
      <c r="BH30" s="1117"/>
      <c r="BI30" s="1117"/>
      <c r="BJ30" s="1117"/>
      <c r="BK30" s="1117"/>
      <c r="BL30" s="1117"/>
      <c r="BO30" s="70"/>
      <c r="BQ30" s="14"/>
      <c r="BR30" s="70"/>
      <c r="BS30" s="13"/>
      <c r="BT30" s="13"/>
      <c r="BU30" s="14"/>
      <c r="BV30" s="70"/>
      <c r="BW30" s="13"/>
      <c r="BX30" s="510"/>
      <c r="BY30" s="70"/>
      <c r="BZ30" s="70"/>
      <c r="CA30" s="14"/>
      <c r="CB30" s="70"/>
      <c r="CE30" s="1117"/>
      <c r="CF30" s="1117"/>
    </row>
    <row r="31" spans="2:88" x14ac:dyDescent="0.3">
      <c r="B31" s="1135" t="s">
        <v>92</v>
      </c>
      <c r="C31" s="1135"/>
      <c r="D31" s="13"/>
      <c r="S31" s="848"/>
      <c r="T31" s="848"/>
      <c r="U31" s="848"/>
      <c r="V31" s="848"/>
      <c r="W31" s="848"/>
      <c r="X31" s="848"/>
      <c r="Y31" s="848"/>
      <c r="Z31" s="848"/>
      <c r="AA31" s="848"/>
      <c r="AB31" s="848"/>
      <c r="AC31" s="848"/>
      <c r="AD31" s="848"/>
      <c r="AR31" s="13"/>
      <c r="AS31" s="12"/>
      <c r="AT31" s="282"/>
      <c r="AU31" s="10"/>
      <c r="AV31" s="10"/>
      <c r="AW31" s="12"/>
      <c r="AX31" s="282"/>
      <c r="AY31" s="282"/>
      <c r="AZ31" s="282"/>
      <c r="BA31" s="282"/>
      <c r="BB31" s="282"/>
      <c r="BC31" s="282"/>
      <c r="BD31" s="282"/>
      <c r="BE31" s="70"/>
      <c r="BG31" s="1129" t="s">
        <v>117</v>
      </c>
      <c r="BH31" s="1129"/>
      <c r="BI31" s="527"/>
      <c r="BJ31" s="57"/>
      <c r="BK31" s="1122" t="s">
        <v>216</v>
      </c>
      <c r="BL31" s="1122"/>
      <c r="BM31" s="282"/>
      <c r="BN31" s="282"/>
      <c r="BO31" s="282"/>
      <c r="BP31" s="10"/>
      <c r="BQ31" s="12"/>
      <c r="BR31" s="282"/>
      <c r="BS31" s="10"/>
      <c r="BT31" s="494"/>
      <c r="BU31" s="494"/>
      <c r="BV31" s="494"/>
      <c r="BW31" s="494"/>
      <c r="BX31" s="494"/>
      <c r="BY31" s="494"/>
      <c r="BZ31" s="494"/>
      <c r="CA31" s="494"/>
      <c r="CB31" s="282"/>
      <c r="CC31" s="10"/>
      <c r="CE31" s="1122" t="s">
        <v>216</v>
      </c>
      <c r="CF31" s="1122"/>
      <c r="CH31" s="1122" t="s">
        <v>226</v>
      </c>
      <c r="CI31" s="1122"/>
    </row>
    <row r="32" spans="2:88" ht="15" customHeight="1" x14ac:dyDescent="0.3">
      <c r="B32" s="31" t="s">
        <v>14</v>
      </c>
      <c r="C32" s="31" t="s">
        <v>511</v>
      </c>
      <c r="D32" s="13"/>
      <c r="E32" s="246"/>
      <c r="F32" s="246"/>
      <c r="G32" s="246"/>
      <c r="H32" s="246"/>
      <c r="I32" s="246"/>
      <c r="J32" s="246"/>
      <c r="K32" s="43"/>
      <c r="L32" s="43"/>
      <c r="M32" s="43"/>
      <c r="N32" s="43"/>
      <c r="O32" s="43"/>
      <c r="P32" s="43"/>
      <c r="Q32" s="13"/>
      <c r="R32" s="13"/>
      <c r="S32" s="850"/>
      <c r="T32" s="850"/>
      <c r="U32" s="850"/>
      <c r="V32" s="850"/>
      <c r="W32" s="850"/>
      <c r="X32" s="850"/>
      <c r="Y32" s="850"/>
      <c r="Z32" s="850"/>
      <c r="AA32" s="850"/>
      <c r="AB32" s="850"/>
      <c r="AC32" s="850"/>
      <c r="AD32" s="850"/>
      <c r="AE32" s="13"/>
      <c r="AF32" s="850"/>
      <c r="AG32" s="850"/>
      <c r="AH32" s="850"/>
      <c r="AI32" s="850"/>
      <c r="AJ32" s="850"/>
      <c r="AK32" s="850"/>
      <c r="AL32" s="850"/>
      <c r="AM32" s="850"/>
      <c r="AN32" s="850"/>
      <c r="AO32" s="850"/>
      <c r="AP32" s="850"/>
      <c r="AQ32" s="850"/>
      <c r="AR32" s="13"/>
      <c r="BF32" s="561" t="s">
        <v>314</v>
      </c>
      <c r="BG32" s="1123" t="s">
        <v>312</v>
      </c>
      <c r="BH32" s="1126" t="s">
        <v>313</v>
      </c>
      <c r="BI32" s="725"/>
      <c r="BJ32" s="57"/>
      <c r="BK32" s="1123" t="s">
        <v>312</v>
      </c>
      <c r="BL32" s="1126" t="s">
        <v>313</v>
      </c>
      <c r="CD32" s="561" t="s">
        <v>314</v>
      </c>
      <c r="CE32" s="1123" t="s">
        <v>312</v>
      </c>
      <c r="CF32" s="1126" t="s">
        <v>313</v>
      </c>
      <c r="CH32" s="1140" t="s">
        <v>313</v>
      </c>
      <c r="CI32" s="1140"/>
    </row>
    <row r="33" spans="2:87" x14ac:dyDescent="0.3">
      <c r="B33" s="26">
        <v>0</v>
      </c>
      <c r="C33" s="245">
        <f>'Input 2_RSV Rates'!M10*'Input 3_Clinical Severity'!$N$9</f>
        <v>12.740000000000002</v>
      </c>
      <c r="D33" s="13"/>
      <c r="E33" s="20">
        <f>$C33/SUM($C$33:$C$44)*E$7</f>
        <v>2.1681369222649478E-3</v>
      </c>
      <c r="F33" s="20">
        <f t="shared" ref="F33:P33" si="8">$C33/SUM($C$33:$C$44)*F$7</f>
        <v>6.2848525974515566E-3</v>
      </c>
      <c r="G33" s="20">
        <f t="shared" si="8"/>
        <v>8.9469954007388979E-3</v>
      </c>
      <c r="H33" s="20">
        <f t="shared" si="8"/>
        <v>5.9829601146045392E-3</v>
      </c>
      <c r="I33" s="20">
        <f t="shared" si="8"/>
        <v>3.2110382266455554E-3</v>
      </c>
      <c r="J33" s="20">
        <f t="shared" si="8"/>
        <v>8.5078790620523258E-4</v>
      </c>
      <c r="K33" s="20">
        <f t="shared" si="8"/>
        <v>0</v>
      </c>
      <c r="L33" s="20">
        <f t="shared" si="8"/>
        <v>0</v>
      </c>
      <c r="M33" s="20">
        <f t="shared" si="8"/>
        <v>0</v>
      </c>
      <c r="N33" s="20">
        <f t="shared" si="8"/>
        <v>0</v>
      </c>
      <c r="O33" s="20">
        <f t="shared" si="8"/>
        <v>0</v>
      </c>
      <c r="P33" s="20">
        <f t="shared" si="8"/>
        <v>0</v>
      </c>
      <c r="Q33" s="13"/>
      <c r="R33" s="13"/>
      <c r="S33" s="852">
        <f>IF('Input 5_Product Uptake'!$M$9=0,E33*Ratios!$N$13,E33*Ratios!$N$13*Ratios!$Z$10)</f>
        <v>44.421886759671601</v>
      </c>
      <c r="T33" s="852">
        <f>IF('Input 5_Product Uptake'!$M$9=0,F33*Ratios!$N$13,F33*Ratios!$N$13*Ratios!$Z$10)</f>
        <v>128.76724136664296</v>
      </c>
      <c r="U33" s="852">
        <f>IF('Input 5_Product Uptake'!$M$9=0,G33*Ratios!$N$13,G33*Ratios!$N$13*Ratios!$Z$10)</f>
        <v>183.31057067915114</v>
      </c>
      <c r="V33" s="852">
        <f>IF('Input 5_Product Uptake'!$M$9=0,H33*Ratios!$N$13,H33*Ratios!$N$13*Ratios!$Z$10)</f>
        <v>122.58191536213175</v>
      </c>
      <c r="W33" s="852">
        <f>IF('Input 5_Product Uptake'!$M$9=0,I33*Ratios!$N$13,I33*Ratios!$N$13*Ratios!$Z$10)</f>
        <v>65.78937659343768</v>
      </c>
      <c r="X33" s="852">
        <f>IF('Input 5_Product Uptake'!$M$9=0,J33*Ratios!$N$13,J33*Ratios!$N$13*Ratios!$Z$10)</f>
        <v>17.431373285440753</v>
      </c>
      <c r="Y33" s="852">
        <f>IF('Input 5_Product Uptake'!$M$9=0,K33*Ratios!$N$13,K33*Ratios!$N$13*Ratios!$Z$10)</f>
        <v>0</v>
      </c>
      <c r="Z33" s="852">
        <f>IF('Input 5_Product Uptake'!$M$9=0,L33*Ratios!$N$13,L33*Ratios!$N$13*Ratios!$Z$10)</f>
        <v>0</v>
      </c>
      <c r="AA33" s="852">
        <f>IF('Input 5_Product Uptake'!$M$9=0,M33*Ratios!$N$13,M33*Ratios!$N$13*Ratios!$Z$10)</f>
        <v>0</v>
      </c>
      <c r="AB33" s="852">
        <f>IF('Input 5_Product Uptake'!$M$9=0,N33*Ratios!$N$13,N33*Ratios!$N$13*Ratios!$Z$10)</f>
        <v>0</v>
      </c>
      <c r="AC33" s="852">
        <f>IF('Input 5_Product Uptake'!$M$9=0,O33*Ratios!$N$13,O33*Ratios!$N$13*Ratios!$Z$10)</f>
        <v>0</v>
      </c>
      <c r="AD33" s="852">
        <f>IF('Input 5_Product Uptake'!$M$9=0,P33*Ratios!$N$13,P33*Ratios!$N$13*Ratios!$Z$10)</f>
        <v>0</v>
      </c>
      <c r="AE33" s="13"/>
      <c r="AF33" s="849">
        <f>Ratios!$P$13*E33</f>
        <v>302.07473248816058</v>
      </c>
      <c r="AG33" s="849">
        <f>Ratios!$P$13*F33</f>
        <v>875.63435113656658</v>
      </c>
      <c r="AH33" s="849">
        <f>Ratios!$P$13*G33</f>
        <v>1246.5362378625359</v>
      </c>
      <c r="AI33" s="849">
        <f>Ratios!$P$13*H33</f>
        <v>833.57331243568353</v>
      </c>
      <c r="AJ33" s="849">
        <f>Ratios!$P$13*I33</f>
        <v>447.37650254575675</v>
      </c>
      <c r="AK33" s="849">
        <f>Ratios!$P$13*J33</f>
        <v>118.53565452067059</v>
      </c>
      <c r="AL33" s="849">
        <f>Ratios!$P$13*K33</f>
        <v>0</v>
      </c>
      <c r="AM33" s="849">
        <f>Ratios!$P$13*L33</f>
        <v>0</v>
      </c>
      <c r="AN33" s="849">
        <f>Ratios!$P$13*M33</f>
        <v>0</v>
      </c>
      <c r="AO33" s="849">
        <f>Ratios!$P$13*N33</f>
        <v>0</v>
      </c>
      <c r="AP33" s="849">
        <f>Ratios!$P$13*O33</f>
        <v>0</v>
      </c>
      <c r="AQ33" s="849">
        <f>Ratios!$P$13*P33</f>
        <v>0</v>
      </c>
      <c r="AR33" s="13"/>
      <c r="AS33" s="275">
        <f>S33</f>
        <v>44.421886759671601</v>
      </c>
      <c r="AT33" s="275">
        <f t="shared" ref="AT33:BD44" si="9">T33</f>
        <v>128.76724136664296</v>
      </c>
      <c r="AU33" s="275">
        <f t="shared" si="9"/>
        <v>183.31057067915114</v>
      </c>
      <c r="AV33" s="275">
        <f t="shared" si="9"/>
        <v>122.58191536213175</v>
      </c>
      <c r="AW33" s="275">
        <f t="shared" si="9"/>
        <v>65.78937659343768</v>
      </c>
      <c r="AX33" s="275">
        <f t="shared" si="9"/>
        <v>17.431373285440753</v>
      </c>
      <c r="AY33" s="275">
        <f t="shared" si="9"/>
        <v>0</v>
      </c>
      <c r="AZ33" s="275">
        <f t="shared" si="9"/>
        <v>0</v>
      </c>
      <c r="BA33" s="275">
        <f t="shared" si="9"/>
        <v>0</v>
      </c>
      <c r="BB33" s="275">
        <f t="shared" si="9"/>
        <v>0</v>
      </c>
      <c r="BC33" s="275">
        <f t="shared" si="9"/>
        <v>0</v>
      </c>
      <c r="BD33" s="275">
        <f t="shared" si="9"/>
        <v>0</v>
      </c>
      <c r="BE33" s="275"/>
      <c r="BF33" s="573" t="s">
        <v>317</v>
      </c>
      <c r="BG33" s="1124"/>
      <c r="BH33" s="1127"/>
      <c r="BI33" s="725"/>
      <c r="BJ33" s="57"/>
      <c r="BK33" s="1124"/>
      <c r="BL33" s="1127"/>
      <c r="BM33" s="275"/>
      <c r="BN33" s="275"/>
      <c r="BO33" s="275"/>
      <c r="BP33" s="32"/>
      <c r="BQ33" s="35">
        <f>AF33</f>
        <v>302.07473248816058</v>
      </c>
      <c r="BR33" s="35">
        <f t="shared" ref="BR33:CB44" si="10">AG33</f>
        <v>875.63435113656658</v>
      </c>
      <c r="BS33" s="35">
        <f t="shared" si="10"/>
        <v>1246.5362378625359</v>
      </c>
      <c r="BT33" s="35">
        <f t="shared" si="10"/>
        <v>833.57331243568353</v>
      </c>
      <c r="BU33" s="35">
        <f t="shared" si="10"/>
        <v>447.37650254575675</v>
      </c>
      <c r="BV33" s="35">
        <f t="shared" si="10"/>
        <v>118.53565452067059</v>
      </c>
      <c r="BW33" s="35">
        <f t="shared" si="10"/>
        <v>0</v>
      </c>
      <c r="BX33" s="35">
        <f t="shared" si="10"/>
        <v>0</v>
      </c>
      <c r="BY33" s="35">
        <f t="shared" si="10"/>
        <v>0</v>
      </c>
      <c r="BZ33" s="35">
        <f t="shared" si="10"/>
        <v>0</v>
      </c>
      <c r="CA33" s="35">
        <f t="shared" si="10"/>
        <v>0</v>
      </c>
      <c r="CB33" s="35">
        <f t="shared" si="10"/>
        <v>0</v>
      </c>
      <c r="CC33" s="35"/>
      <c r="CD33" s="573" t="s">
        <v>317</v>
      </c>
      <c r="CE33" s="1124"/>
      <c r="CF33" s="1127"/>
      <c r="CH33" s="1139"/>
      <c r="CI33" s="1139"/>
    </row>
    <row r="34" spans="2:87" x14ac:dyDescent="0.3">
      <c r="B34" s="26">
        <v>1</v>
      </c>
      <c r="C34" s="245">
        <f>'Input 2_RSV Rates'!M11*'Input 3_Clinical Severity'!$N$9</f>
        <v>41.730000000000004</v>
      </c>
      <c r="D34" s="13"/>
      <c r="E34" s="20">
        <f t="shared" ref="E34:P44" si="11">$C34/SUM($C$33:$C$44)*E$7</f>
        <v>7.1017546127249819E-3</v>
      </c>
      <c r="F34" s="20">
        <f t="shared" si="11"/>
        <v>2.0586098814101526E-2</v>
      </c>
      <c r="G34" s="20">
        <f t="shared" si="11"/>
        <v>2.9305974730991696E-2</v>
      </c>
      <c r="H34" s="20">
        <f t="shared" si="11"/>
        <v>1.9597246906000582E-2</v>
      </c>
      <c r="I34" s="20">
        <f t="shared" si="11"/>
        <v>1.0517788477073707E-2</v>
      </c>
      <c r="J34" s="20">
        <f t="shared" si="11"/>
        <v>2.7867644682844864E-3</v>
      </c>
      <c r="K34" s="20">
        <f t="shared" si="11"/>
        <v>0</v>
      </c>
      <c r="L34" s="20">
        <f t="shared" si="11"/>
        <v>0</v>
      </c>
      <c r="M34" s="20">
        <f t="shared" si="11"/>
        <v>0</v>
      </c>
      <c r="N34" s="20">
        <f t="shared" si="11"/>
        <v>0</v>
      </c>
      <c r="O34" s="20">
        <f t="shared" si="11"/>
        <v>0</v>
      </c>
      <c r="P34" s="20">
        <f t="shared" si="11"/>
        <v>0</v>
      </c>
      <c r="Q34" s="13"/>
      <c r="R34" s="13"/>
      <c r="S34" s="852">
        <f>IF('Input 5_Product Uptake'!$M$9=0,E34*Ratios!$N$13,E34*Ratios!$N$13*Ratios!$Z$10)</f>
        <v>145.50434336586309</v>
      </c>
      <c r="T34" s="852">
        <f>IF('Input 5_Product Uptake'!$M$9=0,F34*Ratios!$N$13,F34*Ratios!$N$13*Ratios!$Z$10)</f>
        <v>421.77841304788154</v>
      </c>
      <c r="U34" s="852">
        <f>IF('Input 5_Product Uptake'!$M$9=0,G34*Ratios!$N$13,G34*Ratios!$N$13*Ratios!$Z$10)</f>
        <v>600.43564477558687</v>
      </c>
      <c r="V34" s="852">
        <f>IF('Input 5_Product Uptake'!$M$9=0,H34*Ratios!$N$13,H34*Ratios!$N$13*Ratios!$Z$10)</f>
        <v>401.5183146045336</v>
      </c>
      <c r="W34" s="852">
        <f>IF('Input 5_Product Uptake'!$M$9=0,I34*Ratios!$N$13,I34*Ratios!$N$13*Ratios!$Z$10)</f>
        <v>215.49377435197442</v>
      </c>
      <c r="X34" s="852">
        <f>IF('Input 5_Product Uptake'!$M$9=0,J34*Ratios!$N$13,J34*Ratios!$N$13*Ratios!$Z$10)</f>
        <v>57.096641067617156</v>
      </c>
      <c r="Y34" s="852">
        <f>IF('Input 5_Product Uptake'!$M$9=0,K34*Ratios!$N$13,K34*Ratios!$N$13*Ratios!$Z$10)</f>
        <v>0</v>
      </c>
      <c r="Z34" s="852">
        <f>IF('Input 5_Product Uptake'!$M$9=0,L34*Ratios!$N$13,L34*Ratios!$N$13*Ratios!$Z$10)</f>
        <v>0</v>
      </c>
      <c r="AA34" s="852">
        <f>IF('Input 5_Product Uptake'!$M$9=0,M34*Ratios!$N$13,M34*Ratios!$N$13*Ratios!$Z$10)</f>
        <v>0</v>
      </c>
      <c r="AB34" s="852">
        <f>IF('Input 5_Product Uptake'!$M$9=0,N34*Ratios!$N$13,N34*Ratios!$N$13*Ratios!$Z$10)</f>
        <v>0</v>
      </c>
      <c r="AC34" s="852">
        <f>IF('Input 5_Product Uptake'!$M$9=0,O34*Ratios!$N$13,O34*Ratios!$N$13*Ratios!$Z$10)</f>
        <v>0</v>
      </c>
      <c r="AD34" s="852">
        <f>IF('Input 5_Product Uptake'!$M$9=0,P34*Ratios!$N$13,P34*Ratios!$N$13*Ratios!$Z$10)</f>
        <v>0</v>
      </c>
      <c r="AE34" s="13"/>
      <c r="AF34" s="849">
        <f>Ratios!$P$13*E34</f>
        <v>989.44886866019942</v>
      </c>
      <c r="AG34" s="849">
        <f>Ratios!$P$13*F34</f>
        <v>2868.1492521922232</v>
      </c>
      <c r="AH34" s="849">
        <f>Ratios!$P$13*G34</f>
        <v>4083.0421668762656</v>
      </c>
      <c r="AI34" s="849">
        <f>Ratios!$P$13*H34</f>
        <v>2730.3778907332085</v>
      </c>
      <c r="AJ34" s="849">
        <f>Ratios!$P$13*I34</f>
        <v>1465.3862991549788</v>
      </c>
      <c r="AK34" s="849">
        <f>Ratios!$P$13*J34</f>
        <v>388.26474592995163</v>
      </c>
      <c r="AL34" s="849">
        <f>Ratios!$P$13*K34</f>
        <v>0</v>
      </c>
      <c r="AM34" s="849">
        <f>Ratios!$P$13*L34</f>
        <v>0</v>
      </c>
      <c r="AN34" s="849">
        <f>Ratios!$P$13*M34</f>
        <v>0</v>
      </c>
      <c r="AO34" s="849">
        <f>Ratios!$P$13*N34</f>
        <v>0</v>
      </c>
      <c r="AP34" s="849">
        <f>Ratios!$P$13*O34</f>
        <v>0</v>
      </c>
      <c r="AQ34" s="849">
        <f>Ratios!$P$13*P34</f>
        <v>0</v>
      </c>
      <c r="AR34" s="13"/>
      <c r="AS34" s="275">
        <f t="shared" ref="AS34:AS44" si="12">S34</f>
        <v>145.50434336586309</v>
      </c>
      <c r="AT34" s="275">
        <f t="shared" si="9"/>
        <v>421.77841304788154</v>
      </c>
      <c r="AU34" s="275">
        <f t="shared" si="9"/>
        <v>600.43564477558687</v>
      </c>
      <c r="AV34" s="275">
        <f t="shared" si="9"/>
        <v>401.5183146045336</v>
      </c>
      <c r="AW34" s="275">
        <f t="shared" si="9"/>
        <v>215.49377435197442</v>
      </c>
      <c r="AX34" s="275">
        <f t="shared" si="9"/>
        <v>57.096641067617156</v>
      </c>
      <c r="AY34" s="275">
        <f t="shared" si="9"/>
        <v>0</v>
      </c>
      <c r="AZ34" s="275">
        <f t="shared" si="9"/>
        <v>0</v>
      </c>
      <c r="BA34" s="275">
        <f t="shared" si="9"/>
        <v>0</v>
      </c>
      <c r="BB34" s="275">
        <f t="shared" si="9"/>
        <v>0</v>
      </c>
      <c r="BC34" s="275">
        <f t="shared" si="9"/>
        <v>0</v>
      </c>
      <c r="BD34" s="275">
        <f t="shared" si="9"/>
        <v>0</v>
      </c>
      <c r="BE34" s="275"/>
      <c r="BF34" s="518"/>
      <c r="BG34" s="1125"/>
      <c r="BH34" s="1128"/>
      <c r="BI34" s="725"/>
      <c r="BJ34" s="57"/>
      <c r="BK34" s="1125"/>
      <c r="BL34" s="1128"/>
      <c r="BM34" s="275"/>
      <c r="BN34" s="275"/>
      <c r="BO34" s="275"/>
      <c r="BP34" s="32"/>
      <c r="BQ34" s="35">
        <f t="shared" ref="BQ34:BQ44" si="13">AF34</f>
        <v>989.44886866019942</v>
      </c>
      <c r="BR34" s="35">
        <f t="shared" si="10"/>
        <v>2868.1492521922232</v>
      </c>
      <c r="BS34" s="35">
        <f t="shared" si="10"/>
        <v>4083.0421668762656</v>
      </c>
      <c r="BT34" s="35">
        <f t="shared" si="10"/>
        <v>2730.3778907332085</v>
      </c>
      <c r="BU34" s="35">
        <f t="shared" si="10"/>
        <v>1465.3862991549788</v>
      </c>
      <c r="BV34" s="35">
        <f t="shared" si="10"/>
        <v>388.26474592995163</v>
      </c>
      <c r="BW34" s="35">
        <f t="shared" si="10"/>
        <v>0</v>
      </c>
      <c r="BX34" s="35">
        <f t="shared" si="10"/>
        <v>0</v>
      </c>
      <c r="BY34" s="35">
        <f t="shared" si="10"/>
        <v>0</v>
      </c>
      <c r="BZ34" s="35">
        <f t="shared" si="10"/>
        <v>0</v>
      </c>
      <c r="CA34" s="35">
        <f t="shared" si="10"/>
        <v>0</v>
      </c>
      <c r="CB34" s="35">
        <f t="shared" si="10"/>
        <v>0</v>
      </c>
      <c r="CC34" s="35"/>
      <c r="CD34" s="518"/>
      <c r="CE34" s="1125"/>
      <c r="CF34" s="1128"/>
      <c r="CH34" s="1139"/>
      <c r="CI34" s="1139"/>
    </row>
    <row r="35" spans="2:87" x14ac:dyDescent="0.3">
      <c r="B35" s="26">
        <v>2</v>
      </c>
      <c r="C35" s="245">
        <f>'Input 2_RSV Rates'!M12*'Input 3_Clinical Severity'!$N$9</f>
        <v>47.06</v>
      </c>
      <c r="D35" s="13"/>
      <c r="E35" s="20">
        <f t="shared" si="11"/>
        <v>8.0088323046929692E-3</v>
      </c>
      <c r="F35" s="20">
        <f t="shared" si="11"/>
        <v>2.3215475921198606E-2</v>
      </c>
      <c r="G35" s="20">
        <f t="shared" si="11"/>
        <v>3.3049105459872254E-2</v>
      </c>
      <c r="H35" s="20">
        <f t="shared" si="11"/>
        <v>2.2100322055988195E-2</v>
      </c>
      <c r="I35" s="20">
        <f t="shared" si="11"/>
        <v>1.1861182020874399E-2</v>
      </c>
      <c r="J35" s="20">
        <f t="shared" si="11"/>
        <v>3.1427063474111653E-3</v>
      </c>
      <c r="K35" s="20">
        <f t="shared" si="11"/>
        <v>0</v>
      </c>
      <c r="L35" s="20">
        <f t="shared" si="11"/>
        <v>0</v>
      </c>
      <c r="M35" s="20">
        <f t="shared" si="11"/>
        <v>0</v>
      </c>
      <c r="N35" s="20">
        <f t="shared" si="11"/>
        <v>0</v>
      </c>
      <c r="O35" s="20">
        <f t="shared" si="11"/>
        <v>0</v>
      </c>
      <c r="P35" s="20">
        <f t="shared" si="11"/>
        <v>0</v>
      </c>
      <c r="Q35" s="13"/>
      <c r="R35" s="13"/>
      <c r="S35" s="852">
        <f>IF('Input 5_Product Uptake'!$M$9=0,E35*Ratios!$N$13,E35*Ratios!$N$13*Ratios!$Z$10)</f>
        <v>164.08901027552159</v>
      </c>
      <c r="T35" s="852">
        <f>IF('Input 5_Product Uptake'!$M$9=0,F35*Ratios!$N$13,F35*Ratios!$N$13*Ratios!$Z$10)</f>
        <v>475.65042219106891</v>
      </c>
      <c r="U35" s="852">
        <f>IF('Input 5_Product Uptake'!$M$9=0,G35*Ratios!$N$13,G35*Ratios!$N$13*Ratios!$Z$10)</f>
        <v>677.12680189645619</v>
      </c>
      <c r="V35" s="852">
        <f>IF('Input 5_Product Uptake'!$M$9=0,H35*Ratios!$N$13,H35*Ratios!$N$13*Ratios!$Z$10)</f>
        <v>452.80258531726219</v>
      </c>
      <c r="W35" s="852">
        <f>IF('Input 5_Product Uptake'!$M$9=0,I35*Ratios!$N$13,I35*Ratios!$N$13*Ratios!$Z$10)</f>
        <v>243.01790129412694</v>
      </c>
      <c r="X35" s="852">
        <f>IF('Input 5_Product Uptake'!$M$9=0,J35*Ratios!$N$13,J35*Ratios!$N$13*Ratios!$Z$10)</f>
        <v>64.389358462546454</v>
      </c>
      <c r="Y35" s="852">
        <f>IF('Input 5_Product Uptake'!$M$9=0,K35*Ratios!$N$13,K35*Ratios!$N$13*Ratios!$Z$10)</f>
        <v>0</v>
      </c>
      <c r="Z35" s="852">
        <f>IF('Input 5_Product Uptake'!$M$9=0,L35*Ratios!$N$13,L35*Ratios!$N$13*Ratios!$Z$10)</f>
        <v>0</v>
      </c>
      <c r="AA35" s="852">
        <f>IF('Input 5_Product Uptake'!$M$9=0,M35*Ratios!$N$13,M35*Ratios!$N$13*Ratios!$Z$10)</f>
        <v>0</v>
      </c>
      <c r="AB35" s="852">
        <f>IF('Input 5_Product Uptake'!$M$9=0,N35*Ratios!$N$13,N35*Ratios!$N$13*Ratios!$Z$10)</f>
        <v>0</v>
      </c>
      <c r="AC35" s="852">
        <f>IF('Input 5_Product Uptake'!$M$9=0,O35*Ratios!$N$13,O35*Ratios!$N$13*Ratios!$Z$10)</f>
        <v>0</v>
      </c>
      <c r="AD35" s="852">
        <f>IF('Input 5_Product Uptake'!$M$9=0,P35*Ratios!$N$13,P35*Ratios!$N$13*Ratios!$Z$10)</f>
        <v>0</v>
      </c>
      <c r="AE35" s="13"/>
      <c r="AF35" s="849">
        <f>Ratios!$P$13*E35</f>
        <v>1115.8270730685113</v>
      </c>
      <c r="AG35" s="849">
        <f>Ratios!$P$13*F35</f>
        <v>3234.4860725656845</v>
      </c>
      <c r="AH35" s="849">
        <f>Ratios!$P$13*G35</f>
        <v>4604.552225573857</v>
      </c>
      <c r="AI35" s="849">
        <f>Ratios!$P$13*H35</f>
        <v>3079.1177459358923</v>
      </c>
      <c r="AJ35" s="849">
        <f>Ratios!$P$13*I35</f>
        <v>1652.5540196077955</v>
      </c>
      <c r="AK35" s="849">
        <f>Ratios!$P$13*J35</f>
        <v>437.85619322941585</v>
      </c>
      <c r="AL35" s="849">
        <f>Ratios!$P$13*K35</f>
        <v>0</v>
      </c>
      <c r="AM35" s="849">
        <f>Ratios!$P$13*L35</f>
        <v>0</v>
      </c>
      <c r="AN35" s="849">
        <f>Ratios!$P$13*M35</f>
        <v>0</v>
      </c>
      <c r="AO35" s="849">
        <f>Ratios!$P$13*N35</f>
        <v>0</v>
      </c>
      <c r="AP35" s="849">
        <f>Ratios!$P$13*O35</f>
        <v>0</v>
      </c>
      <c r="AQ35" s="849">
        <f>Ratios!$P$13*P35</f>
        <v>0</v>
      </c>
      <c r="AR35" s="13"/>
      <c r="AS35" s="275">
        <f t="shared" si="12"/>
        <v>164.08901027552159</v>
      </c>
      <c r="AT35" s="275">
        <f t="shared" si="9"/>
        <v>475.65042219106891</v>
      </c>
      <c r="AU35" s="275">
        <f t="shared" si="9"/>
        <v>677.12680189645619</v>
      </c>
      <c r="AV35" s="275">
        <f t="shared" si="9"/>
        <v>452.80258531726219</v>
      </c>
      <c r="AW35" s="275">
        <f t="shared" si="9"/>
        <v>243.01790129412694</v>
      </c>
      <c r="AX35" s="275">
        <f t="shared" si="9"/>
        <v>64.389358462546454</v>
      </c>
      <c r="AY35" s="275">
        <f t="shared" si="9"/>
        <v>0</v>
      </c>
      <c r="AZ35" s="275">
        <f t="shared" si="9"/>
        <v>0</v>
      </c>
      <c r="BA35" s="275">
        <f t="shared" si="9"/>
        <v>0</v>
      </c>
      <c r="BB35" s="275">
        <f t="shared" si="9"/>
        <v>0</v>
      </c>
      <c r="BC35" s="275">
        <f t="shared" si="9"/>
        <v>0</v>
      </c>
      <c r="BD35" s="275">
        <f t="shared" si="9"/>
        <v>0</v>
      </c>
      <c r="BE35" s="275"/>
      <c r="BF35" s="557">
        <f>IF($B33=0,1,IF(AND(BF34&gt;0,$B33&lt;='Input 4_RSV Season'!$AG$27-1),BF34+1,0))</f>
        <v>1</v>
      </c>
      <c r="BG35" s="549">
        <f>IF(AND($BF35&gt;0,$BF35&lt;='Input 6_Product Efficacy'!$Q$9/30),SUM($AS33:$BD33),0)</f>
        <v>562.30236404647576</v>
      </c>
      <c r="BH35" s="554">
        <f>IF(AND($BF35&gt;0,$BF35&gt;'Input 6_Product Efficacy'!$Q$9/30),SUM($AS33:$BD33),0)</f>
        <v>0</v>
      </c>
      <c r="BI35" s="593"/>
      <c r="BK35" s="549">
        <f>IF(AND($BF35&gt;0,$BF35&lt;='Input 6_Product Efficacy'!$Q$12/30),SUM($AS33:$BD33),0)</f>
        <v>562.30236404647576</v>
      </c>
      <c r="BL35" s="554">
        <f>IF(AND($BF35&gt;0,$BF35&gt;'Input 6_Product Efficacy'!$Q$12/30),SUM($AS33:$BD33),0)</f>
        <v>0</v>
      </c>
      <c r="BM35" s="275"/>
      <c r="BN35" s="275"/>
      <c r="BO35" s="275"/>
      <c r="BP35" s="32"/>
      <c r="BQ35" s="35">
        <f t="shared" si="13"/>
        <v>1115.8270730685113</v>
      </c>
      <c r="BR35" s="35">
        <f t="shared" si="10"/>
        <v>3234.4860725656845</v>
      </c>
      <c r="BS35" s="35">
        <f t="shared" si="10"/>
        <v>4604.552225573857</v>
      </c>
      <c r="BT35" s="35">
        <f t="shared" si="10"/>
        <v>3079.1177459358923</v>
      </c>
      <c r="BU35" s="35">
        <f t="shared" si="10"/>
        <v>1652.5540196077955</v>
      </c>
      <c r="BV35" s="35">
        <f t="shared" si="10"/>
        <v>437.85619322941585</v>
      </c>
      <c r="BW35" s="35">
        <f t="shared" si="10"/>
        <v>0</v>
      </c>
      <c r="BX35" s="35">
        <f t="shared" si="10"/>
        <v>0</v>
      </c>
      <c r="BY35" s="35">
        <f t="shared" si="10"/>
        <v>0</v>
      </c>
      <c r="BZ35" s="35">
        <f t="shared" si="10"/>
        <v>0</v>
      </c>
      <c r="CA35" s="35">
        <f t="shared" si="10"/>
        <v>0</v>
      </c>
      <c r="CB35" s="35">
        <f t="shared" si="10"/>
        <v>0</v>
      </c>
      <c r="CC35" s="35"/>
      <c r="CD35" s="557">
        <f>IF($B33=0,1,IF(AND(CD34&gt;0,$B33&lt;='Input 4_RSV Season'!$AG$27-1),CD34+1,0))</f>
        <v>1</v>
      </c>
      <c r="CE35" s="549">
        <f>IF(AND($CD35&gt;0,$CD35&lt;='Input 6_Product Efficacy'!$Q$12/30),SUM($BQ33:$CB33),0)</f>
        <v>3823.7307909893739</v>
      </c>
      <c r="CF35" s="554">
        <f>IF(AND($CD35&gt;0,$CD35&gt;'Input 6_Product Efficacy'!$Q$12/30),SUM($BQ33:$CB33),0)</f>
        <v>0</v>
      </c>
      <c r="CH35" s="564">
        <f>IF(AND($CD35&gt;0,$CD35&gt;'Input 6_Product Efficacy'!$Q$15/30),SUM($BQ33:$CB33),0)</f>
        <v>0</v>
      </c>
    </row>
    <row r="36" spans="2:87" x14ac:dyDescent="0.3">
      <c r="B36" s="26">
        <v>3</v>
      </c>
      <c r="C36" s="245">
        <f>'Input 2_RSV Rates'!M13*'Input 3_Clinical Severity'!$N$9</f>
        <v>68.38000000000001</v>
      </c>
      <c r="D36" s="13"/>
      <c r="E36" s="20">
        <f t="shared" si="11"/>
        <v>1.1637143072564924E-2</v>
      </c>
      <c r="F36" s="20">
        <f t="shared" si="11"/>
        <v>3.3732984349586929E-2</v>
      </c>
      <c r="G36" s="20">
        <f t="shared" si="11"/>
        <v>4.8021628375394497E-2</v>
      </c>
      <c r="H36" s="20">
        <f t="shared" si="11"/>
        <v>3.2112622655938651E-2</v>
      </c>
      <c r="I36" s="20">
        <f t="shared" si="11"/>
        <v>1.7234756196077165E-2</v>
      </c>
      <c r="J36" s="20">
        <f t="shared" si="11"/>
        <v>4.5664738639178814E-3</v>
      </c>
      <c r="K36" s="20">
        <f t="shared" si="11"/>
        <v>0</v>
      </c>
      <c r="L36" s="20">
        <f t="shared" si="11"/>
        <v>0</v>
      </c>
      <c r="M36" s="20">
        <f t="shared" si="11"/>
        <v>0</v>
      </c>
      <c r="N36" s="20">
        <f t="shared" si="11"/>
        <v>0</v>
      </c>
      <c r="O36" s="20">
        <f t="shared" si="11"/>
        <v>0</v>
      </c>
      <c r="P36" s="20">
        <f t="shared" si="11"/>
        <v>0</v>
      </c>
      <c r="Q36" s="13"/>
      <c r="R36" s="13"/>
      <c r="S36" s="852">
        <f>IF('Input 5_Product Uptake'!$M$9=0,E36*Ratios!$N$13,E36*Ratios!$N$13*Ratios!$Z$10)</f>
        <v>238.42767791415571</v>
      </c>
      <c r="T36" s="852">
        <f>IF('Input 5_Product Uptake'!$M$9=0,F36*Ratios!$N$13,F36*Ratios!$N$13*Ratios!$Z$10)</f>
        <v>691.13845876381845</v>
      </c>
      <c r="U36" s="852">
        <f>IF('Input 5_Product Uptake'!$M$9=0,G36*Ratios!$N$13,G36*Ratios!$N$13*Ratios!$Z$10)</f>
        <v>983.89143037993369</v>
      </c>
      <c r="V36" s="852">
        <f>IF('Input 5_Product Uptake'!$M$9=0,H36*Ratios!$N$13,H36*Ratios!$N$13*Ratios!$Z$10)</f>
        <v>657.93966816817647</v>
      </c>
      <c r="W36" s="852">
        <f>IF('Input 5_Product Uptake'!$M$9=0,I36*Ratios!$N$13,I36*Ratios!$N$13*Ratios!$Z$10)</f>
        <v>353.11440906273691</v>
      </c>
      <c r="X36" s="852">
        <f>IF('Input 5_Product Uptake'!$M$9=0,J36*Ratios!$N$13,J36*Ratios!$N$13*Ratios!$Z$10)</f>
        <v>93.560228042263631</v>
      </c>
      <c r="Y36" s="852">
        <f>IF('Input 5_Product Uptake'!$M$9=0,K36*Ratios!$N$13,K36*Ratios!$N$13*Ratios!$Z$10)</f>
        <v>0</v>
      </c>
      <c r="Z36" s="852">
        <f>IF('Input 5_Product Uptake'!$M$9=0,L36*Ratios!$N$13,L36*Ratios!$N$13*Ratios!$Z$10)</f>
        <v>0</v>
      </c>
      <c r="AA36" s="852">
        <f>IF('Input 5_Product Uptake'!$M$9=0,M36*Ratios!$N$13,M36*Ratios!$N$13*Ratios!$Z$10)</f>
        <v>0</v>
      </c>
      <c r="AB36" s="852">
        <f>IF('Input 5_Product Uptake'!$M$9=0,N36*Ratios!$N$13,N36*Ratios!$N$13*Ratios!$Z$10)</f>
        <v>0</v>
      </c>
      <c r="AC36" s="852">
        <f>IF('Input 5_Product Uptake'!$M$9=0,O36*Ratios!$N$13,O36*Ratios!$N$13*Ratios!$Z$10)</f>
        <v>0</v>
      </c>
      <c r="AD36" s="852">
        <f>IF('Input 5_Product Uptake'!$M$9=0,P36*Ratios!$N$13,P36*Ratios!$N$13*Ratios!$Z$10)</f>
        <v>0</v>
      </c>
      <c r="AE36" s="13"/>
      <c r="AF36" s="849">
        <f>Ratios!$P$13*E36</f>
        <v>1621.3398907017597</v>
      </c>
      <c r="AG36" s="849">
        <f>Ratios!$P$13*F36</f>
        <v>4699.8333540595313</v>
      </c>
      <c r="AH36" s="849">
        <f>Ratios!$P$13*G36</f>
        <v>6690.5924603642243</v>
      </c>
      <c r="AI36" s="849">
        <f>Ratios!$P$13*H36</f>
        <v>4474.0771667466279</v>
      </c>
      <c r="AJ36" s="849">
        <f>Ratios!$P$13*I36</f>
        <v>2401.224901419062</v>
      </c>
      <c r="AK36" s="849">
        <f>Ratios!$P$13*J36</f>
        <v>636.22198242727279</v>
      </c>
      <c r="AL36" s="849">
        <f>Ratios!$P$13*K36</f>
        <v>0</v>
      </c>
      <c r="AM36" s="849">
        <f>Ratios!$P$13*L36</f>
        <v>0</v>
      </c>
      <c r="AN36" s="849">
        <f>Ratios!$P$13*M36</f>
        <v>0</v>
      </c>
      <c r="AO36" s="849">
        <f>Ratios!$P$13*N36</f>
        <v>0</v>
      </c>
      <c r="AP36" s="849">
        <f>Ratios!$P$13*O36</f>
        <v>0</v>
      </c>
      <c r="AQ36" s="849">
        <f>Ratios!$P$13*P36</f>
        <v>0</v>
      </c>
      <c r="AR36" s="13"/>
      <c r="AS36" s="275">
        <f t="shared" si="12"/>
        <v>238.42767791415571</v>
      </c>
      <c r="AT36" s="275">
        <f t="shared" si="9"/>
        <v>691.13845876381845</v>
      </c>
      <c r="AU36" s="275">
        <f t="shared" si="9"/>
        <v>983.89143037993369</v>
      </c>
      <c r="AV36" s="275">
        <f t="shared" si="9"/>
        <v>657.93966816817647</v>
      </c>
      <c r="AW36" s="275">
        <f t="shared" si="9"/>
        <v>353.11440906273691</v>
      </c>
      <c r="AX36" s="275">
        <f t="shared" si="9"/>
        <v>93.560228042263631</v>
      </c>
      <c r="AY36" s="275">
        <f t="shared" si="9"/>
        <v>0</v>
      </c>
      <c r="AZ36" s="275">
        <f t="shared" si="9"/>
        <v>0</v>
      </c>
      <c r="BA36" s="275">
        <f t="shared" si="9"/>
        <v>0</v>
      </c>
      <c r="BB36" s="275">
        <f t="shared" si="9"/>
        <v>0</v>
      </c>
      <c r="BC36" s="275">
        <f t="shared" si="9"/>
        <v>0</v>
      </c>
      <c r="BD36" s="275">
        <f t="shared" si="9"/>
        <v>0</v>
      </c>
      <c r="BE36" s="275"/>
      <c r="BF36" s="557">
        <f>IF($B34=0,1,IF(AND(BF35&gt;0,$B34&lt;='Input 4_RSV Season'!$AG$27-1),BF35+1,0))</f>
        <v>2</v>
      </c>
      <c r="BG36" s="549">
        <f>IF(AND($BF36&gt;0,$BF36&lt;='Input 6_Product Efficacy'!$Q$9/30),SUM($AS34:$BD34),0)</f>
        <v>1841.8271312134566</v>
      </c>
      <c r="BH36" s="554">
        <f>IF(AND($BF36&gt;0,$BF36&gt;'Input 6_Product Efficacy'!$Q$9/30),SUM($AS34:$BD34),0)</f>
        <v>0</v>
      </c>
      <c r="BI36" s="593"/>
      <c r="BK36" s="549">
        <f>IF(AND($BF36&gt;0,$BF36&lt;='Input 6_Product Efficacy'!$Q$12/30),SUM($AS34:$BD34),0)</f>
        <v>1841.8271312134566</v>
      </c>
      <c r="BL36" s="554">
        <f>IF(AND($BF36&gt;0,$BF36&gt;'Input 6_Product Efficacy'!$Q$12/30),SUM($AS34:$BD34),0)</f>
        <v>0</v>
      </c>
      <c r="BM36" s="275"/>
      <c r="BN36" s="275"/>
      <c r="BO36" s="275"/>
      <c r="BP36" s="32"/>
      <c r="BQ36" s="35">
        <f t="shared" si="13"/>
        <v>1621.3398907017597</v>
      </c>
      <c r="BR36" s="35">
        <f t="shared" si="10"/>
        <v>4699.8333540595313</v>
      </c>
      <c r="BS36" s="35">
        <f t="shared" si="10"/>
        <v>6690.5924603642243</v>
      </c>
      <c r="BT36" s="35">
        <f t="shared" si="10"/>
        <v>4474.0771667466279</v>
      </c>
      <c r="BU36" s="35">
        <f t="shared" si="10"/>
        <v>2401.224901419062</v>
      </c>
      <c r="BV36" s="35">
        <f t="shared" si="10"/>
        <v>636.22198242727279</v>
      </c>
      <c r="BW36" s="35">
        <f t="shared" si="10"/>
        <v>0</v>
      </c>
      <c r="BX36" s="35">
        <f t="shared" si="10"/>
        <v>0</v>
      </c>
      <c r="BY36" s="35">
        <f t="shared" si="10"/>
        <v>0</v>
      </c>
      <c r="BZ36" s="35">
        <f t="shared" si="10"/>
        <v>0</v>
      </c>
      <c r="CA36" s="35">
        <f t="shared" si="10"/>
        <v>0</v>
      </c>
      <c r="CB36" s="35">
        <f t="shared" si="10"/>
        <v>0</v>
      </c>
      <c r="CC36" s="35"/>
      <c r="CD36" s="557">
        <f>IF($B34=0,1,IF(AND(CD35&gt;0,$B34&lt;='Input 4_RSV Season'!$AG$27-1),CD35+1,0))</f>
        <v>2</v>
      </c>
      <c r="CE36" s="549">
        <f>IF(AND($CD36&gt;0,$CD36&lt;='Input 6_Product Efficacy'!$Q$12/30),SUM($BQ34:$CB34),0)</f>
        <v>12524.669223546827</v>
      </c>
      <c r="CF36" s="554">
        <f>IF(AND($CD36&gt;0,$CD36&gt;'Input 6_Product Efficacy'!$Q$12/30),SUM($BQ34:$CB34),0)</f>
        <v>0</v>
      </c>
      <c r="CH36" s="565">
        <f>IF(AND($CD36&gt;0,$CD36&gt;'Input 6_Product Efficacy'!$Q$15/30),SUM($BQ34:$CB34),0)</f>
        <v>0</v>
      </c>
    </row>
    <row r="37" spans="2:87" x14ac:dyDescent="0.3">
      <c r="B37" s="26">
        <v>4</v>
      </c>
      <c r="C37" s="245">
        <f>'Input 2_RSV Rates'!M14*'Input 3_Clinical Severity'!$N$9</f>
        <v>75.400000000000006</v>
      </c>
      <c r="D37" s="13"/>
      <c r="E37" s="20">
        <f t="shared" si="11"/>
        <v>1.2831830764425199E-2</v>
      </c>
      <c r="F37" s="20">
        <f t="shared" si="11"/>
        <v>3.7196066393080637E-2</v>
      </c>
      <c r="G37" s="20">
        <f t="shared" si="11"/>
        <v>5.2951605432944492E-2</v>
      </c>
      <c r="H37" s="20">
        <f t="shared" si="11"/>
        <v>3.5409355780312575E-2</v>
      </c>
      <c r="I37" s="20">
        <f t="shared" si="11"/>
        <v>1.9004103790351244E-2</v>
      </c>
      <c r="J37" s="20">
        <f t="shared" si="11"/>
        <v>5.0352753632554575E-3</v>
      </c>
      <c r="K37" s="20">
        <f t="shared" si="11"/>
        <v>0</v>
      </c>
      <c r="L37" s="20">
        <f t="shared" si="11"/>
        <v>0</v>
      </c>
      <c r="M37" s="20">
        <f t="shared" si="11"/>
        <v>0</v>
      </c>
      <c r="N37" s="20">
        <f t="shared" si="11"/>
        <v>0</v>
      </c>
      <c r="O37" s="20">
        <f t="shared" si="11"/>
        <v>0</v>
      </c>
      <c r="P37" s="20">
        <f t="shared" si="11"/>
        <v>0</v>
      </c>
      <c r="Q37" s="13"/>
      <c r="R37" s="13"/>
      <c r="S37" s="852">
        <f>IF('Input 5_Product Uptake'!$M$9=0,E37*Ratios!$N$13,E37*Ratios!$N$13*Ratios!$Z$10)</f>
        <v>262.90504408785227</v>
      </c>
      <c r="T37" s="852">
        <f>IF('Input 5_Product Uptake'!$M$9=0,F37*Ratios!$N$13,F37*Ratios!$N$13*Ratios!$Z$10)</f>
        <v>762.09183665972364</v>
      </c>
      <c r="U37" s="852">
        <f>IF('Input 5_Product Uptake'!$M$9=0,G37*Ratios!$N$13,G37*Ratios!$N$13*Ratios!$Z$10)</f>
        <v>1084.8992958562005</v>
      </c>
      <c r="V37" s="852">
        <f>IF('Input 5_Product Uptake'!$M$9=0,H37*Ratios!$N$13,H37*Ratios!$N$13*Ratios!$Z$10)</f>
        <v>725.48480520445321</v>
      </c>
      <c r="W37" s="852">
        <f>IF('Input 5_Product Uptake'!$M$9=0,I37*Ratios!$N$13,I37*Ratios!$N$13*Ratios!$Z$10)</f>
        <v>389.36569820605968</v>
      </c>
      <c r="X37" s="852">
        <f>IF('Input 5_Product Uptake'!$M$9=0,J37*Ratios!$N$13,J37*Ratios!$N$13*Ratios!$Z$10)</f>
        <v>103.16527046485342</v>
      </c>
      <c r="Y37" s="852">
        <f>IF('Input 5_Product Uptake'!$M$9=0,K37*Ratios!$N$13,K37*Ratios!$N$13*Ratios!$Z$10)</f>
        <v>0</v>
      </c>
      <c r="Z37" s="852">
        <f>IF('Input 5_Product Uptake'!$M$9=0,L37*Ratios!$N$13,L37*Ratios!$N$13*Ratios!$Z$10)</f>
        <v>0</v>
      </c>
      <c r="AA37" s="852">
        <f>IF('Input 5_Product Uptake'!$M$9=0,M37*Ratios!$N$13,M37*Ratios!$N$13*Ratios!$Z$10)</f>
        <v>0</v>
      </c>
      <c r="AB37" s="852">
        <f>IF('Input 5_Product Uptake'!$M$9=0,N37*Ratios!$N$13,N37*Ratios!$N$13*Ratios!$Z$10)</f>
        <v>0</v>
      </c>
      <c r="AC37" s="852">
        <f>IF('Input 5_Product Uptake'!$M$9=0,O37*Ratios!$N$13,O37*Ratios!$N$13*Ratios!$Z$10)</f>
        <v>0</v>
      </c>
      <c r="AD37" s="852">
        <f>IF('Input 5_Product Uptake'!$M$9=0,P37*Ratios!$N$13,P37*Ratios!$N$13*Ratios!$Z$10)</f>
        <v>0</v>
      </c>
      <c r="AE37" s="13"/>
      <c r="AF37" s="849">
        <f>Ratios!$P$13*E37</f>
        <v>1787.789233093195</v>
      </c>
      <c r="AG37" s="849">
        <f>Ratios!$P$13*F37</f>
        <v>5182.3257516245776</v>
      </c>
      <c r="AH37" s="849">
        <f>Ratios!$P$13*G37</f>
        <v>7377.4593669415381</v>
      </c>
      <c r="AI37" s="849">
        <f>Ratios!$P$13*H37</f>
        <v>4933.3930735989425</v>
      </c>
      <c r="AJ37" s="849">
        <f>Ratios!$P$13*I37</f>
        <v>2647.7384844544786</v>
      </c>
      <c r="AK37" s="849">
        <f>Ratios!$P$13*J37</f>
        <v>701.53754716315234</v>
      </c>
      <c r="AL37" s="849">
        <f>Ratios!$P$13*K37</f>
        <v>0</v>
      </c>
      <c r="AM37" s="849">
        <f>Ratios!$P$13*L37</f>
        <v>0</v>
      </c>
      <c r="AN37" s="849">
        <f>Ratios!$P$13*M37</f>
        <v>0</v>
      </c>
      <c r="AO37" s="849">
        <f>Ratios!$P$13*N37</f>
        <v>0</v>
      </c>
      <c r="AP37" s="849">
        <f>Ratios!$P$13*O37</f>
        <v>0</v>
      </c>
      <c r="AQ37" s="849">
        <f>Ratios!$P$13*P37</f>
        <v>0</v>
      </c>
      <c r="AR37" s="13"/>
      <c r="AS37" s="275">
        <f t="shared" si="12"/>
        <v>262.90504408785227</v>
      </c>
      <c r="AT37" s="275">
        <f t="shared" si="9"/>
        <v>762.09183665972364</v>
      </c>
      <c r="AU37" s="275">
        <f t="shared" si="9"/>
        <v>1084.8992958562005</v>
      </c>
      <c r="AV37" s="275">
        <f t="shared" si="9"/>
        <v>725.48480520445321</v>
      </c>
      <c r="AW37" s="275">
        <f t="shared" si="9"/>
        <v>389.36569820605968</v>
      </c>
      <c r="AX37" s="275">
        <f t="shared" si="9"/>
        <v>103.16527046485342</v>
      </c>
      <c r="AY37" s="275">
        <f t="shared" si="9"/>
        <v>0</v>
      </c>
      <c r="AZ37" s="275">
        <f t="shared" si="9"/>
        <v>0</v>
      </c>
      <c r="BA37" s="275">
        <f t="shared" si="9"/>
        <v>0</v>
      </c>
      <c r="BB37" s="275">
        <f t="shared" si="9"/>
        <v>0</v>
      </c>
      <c r="BC37" s="275">
        <f t="shared" si="9"/>
        <v>0</v>
      </c>
      <c r="BD37" s="275">
        <f t="shared" si="9"/>
        <v>0</v>
      </c>
      <c r="BE37" s="275"/>
      <c r="BF37" s="557">
        <f>IF($B35=0,1,IF(AND(BF36&gt;0,$B35&lt;='Input 4_RSV Season'!$AG$27-1),BF36+1,0))</f>
        <v>3</v>
      </c>
      <c r="BG37" s="549">
        <f>IF(AND($BF37&gt;0,$BF37&lt;='Input 6_Product Efficacy'!$Q$9/30),SUM($AS35:$BD35),0)</f>
        <v>2077.0760794369821</v>
      </c>
      <c r="BH37" s="554">
        <f>IF(AND($BF37&gt;0,$BF37&gt;'Input 6_Product Efficacy'!$Q$9/30),SUM($AS35:$BD35),0)</f>
        <v>0</v>
      </c>
      <c r="BI37" s="593"/>
      <c r="BK37" s="549">
        <f>IF(AND($BF37&gt;0,$BF37&lt;='Input 6_Product Efficacy'!$Q$12/30),SUM($AS35:$BD35),0)</f>
        <v>2077.0760794369821</v>
      </c>
      <c r="BL37" s="554">
        <f>IF(AND($BF37&gt;0,$BF37&gt;'Input 6_Product Efficacy'!$Q$12/30),SUM($AS35:$BD35),0)</f>
        <v>0</v>
      </c>
      <c r="BM37" s="275"/>
      <c r="BN37" s="275"/>
      <c r="BO37" s="275"/>
      <c r="BP37" s="32"/>
      <c r="BQ37" s="35">
        <f t="shared" si="13"/>
        <v>1787.789233093195</v>
      </c>
      <c r="BR37" s="35">
        <f t="shared" si="10"/>
        <v>5182.3257516245776</v>
      </c>
      <c r="BS37" s="35">
        <f t="shared" si="10"/>
        <v>7377.4593669415381</v>
      </c>
      <c r="BT37" s="35">
        <f t="shared" si="10"/>
        <v>4933.3930735989425</v>
      </c>
      <c r="BU37" s="35">
        <f t="shared" si="10"/>
        <v>2647.7384844544786</v>
      </c>
      <c r="BV37" s="35">
        <f t="shared" si="10"/>
        <v>701.53754716315234</v>
      </c>
      <c r="BW37" s="35">
        <f t="shared" si="10"/>
        <v>0</v>
      </c>
      <c r="BX37" s="35">
        <f t="shared" si="10"/>
        <v>0</v>
      </c>
      <c r="BY37" s="35">
        <f t="shared" si="10"/>
        <v>0</v>
      </c>
      <c r="BZ37" s="35">
        <f t="shared" si="10"/>
        <v>0</v>
      </c>
      <c r="CA37" s="35">
        <f t="shared" si="10"/>
        <v>0</v>
      </c>
      <c r="CB37" s="35">
        <f t="shared" si="10"/>
        <v>0</v>
      </c>
      <c r="CC37" s="35"/>
      <c r="CD37" s="557">
        <f>IF($B35=0,1,IF(AND(CD36&gt;0,$B35&lt;='Input 4_RSV Season'!$AG$27-1),CD36+1,0))</f>
        <v>3</v>
      </c>
      <c r="CE37" s="549">
        <f>IF(AND($CD37&gt;0,$CD37&lt;='Input 6_Product Efficacy'!$Q$12/30),SUM($BQ35:$CB35),0)</f>
        <v>14124.393329981156</v>
      </c>
      <c r="CF37" s="554">
        <f>IF(AND($CD37&gt;0,$CD37&gt;'Input 6_Product Efficacy'!$Q$12/30),SUM($BQ35:$CB35),0)</f>
        <v>0</v>
      </c>
      <c r="CH37" s="565">
        <f>IF(AND($CD37&gt;0,$CD37&gt;'Input 6_Product Efficacy'!$Q$15/30),SUM($BQ35:$CB35),0)</f>
        <v>0</v>
      </c>
    </row>
    <row r="38" spans="2:87" ht="15" thickBot="1" x14ac:dyDescent="0.35">
      <c r="B38" s="804">
        <v>5</v>
      </c>
      <c r="C38" s="805">
        <f>'Input 2_RSV Rates'!M15*'Input 3_Clinical Severity'!$N$9</f>
        <v>46.344999999999999</v>
      </c>
      <c r="D38" s="13"/>
      <c r="E38" s="20">
        <f t="shared" si="11"/>
        <v>7.8871511508923856E-3</v>
      </c>
      <c r="F38" s="20">
        <f t="shared" si="11"/>
        <v>2.2862754601953875E-2</v>
      </c>
      <c r="G38" s="20">
        <f t="shared" si="11"/>
        <v>3.254697816697364E-2</v>
      </c>
      <c r="H38" s="20">
        <f t="shared" si="11"/>
        <v>2.1764543682209366E-2</v>
      </c>
      <c r="I38" s="20">
        <f t="shared" si="11"/>
        <v>1.1680970691827964E-2</v>
      </c>
      <c r="J38" s="20">
        <f t="shared" si="11"/>
        <v>3.094958046552708E-3</v>
      </c>
      <c r="K38" s="20">
        <f t="shared" si="11"/>
        <v>0</v>
      </c>
      <c r="L38" s="20">
        <f t="shared" si="11"/>
        <v>0</v>
      </c>
      <c r="M38" s="20">
        <f t="shared" si="11"/>
        <v>0</v>
      </c>
      <c r="N38" s="20">
        <f t="shared" si="11"/>
        <v>0</v>
      </c>
      <c r="O38" s="20">
        <f t="shared" si="11"/>
        <v>0</v>
      </c>
      <c r="P38" s="20">
        <f t="shared" si="11"/>
        <v>0</v>
      </c>
      <c r="Q38" s="13"/>
      <c r="R38" s="13"/>
      <c r="S38" s="852">
        <f>IF('Input 5_Product Uptake'!$M$9=0,E38*Ratios!$N$13,E38*Ratios!$N$13*Ratios!$Z$10)</f>
        <v>161.59594520227472</v>
      </c>
      <c r="T38" s="852">
        <f>IF('Input 5_Product Uptake'!$M$9=0,F38*Ratios!$N$13,F38*Ratios!$N$13*Ratios!$Z$10)</f>
        <v>468.42368925722667</v>
      </c>
      <c r="U38" s="852">
        <f>IF('Input 5_Product Uptake'!$M$9=0,G38*Ratios!$N$13,G38*Ratios!$N$13*Ratios!$Z$10)</f>
        <v>666.8389637460956</v>
      </c>
      <c r="V38" s="852">
        <f>IF('Input 5_Product Uptake'!$M$9=0,H38*Ratios!$N$13,H38*Ratios!$N$13*Ratios!$Z$10)</f>
        <v>445.92298802653022</v>
      </c>
      <c r="W38" s="852">
        <f>IF('Input 5_Product Uptake'!$M$9=0,I38*Ratios!$N$13,I38*Ratios!$N$13*Ratios!$Z$10)</f>
        <v>239.32564036286254</v>
      </c>
      <c r="X38" s="852">
        <f>IF('Input 5_Product Uptake'!$M$9=0,J38*Ratios!$N$13,J38*Ratios!$N$13*Ratios!$Z$10)</f>
        <v>63.411067104690069</v>
      </c>
      <c r="Y38" s="852">
        <f>IF('Input 5_Product Uptake'!$M$9=0,K38*Ratios!$N$13,K38*Ratios!$N$13*Ratios!$Z$10)</f>
        <v>0</v>
      </c>
      <c r="Z38" s="852">
        <f>IF('Input 5_Product Uptake'!$M$9=0,L38*Ratios!$N$13,L38*Ratios!$N$13*Ratios!$Z$10)</f>
        <v>0</v>
      </c>
      <c r="AA38" s="852">
        <f>IF('Input 5_Product Uptake'!$M$9=0,M38*Ratios!$N$13,M38*Ratios!$N$13*Ratios!$Z$10)</f>
        <v>0</v>
      </c>
      <c r="AB38" s="852">
        <f>IF('Input 5_Product Uptake'!$M$9=0,N38*Ratios!$N$13,N38*Ratios!$N$13*Ratios!$Z$10)</f>
        <v>0</v>
      </c>
      <c r="AC38" s="852">
        <f>IF('Input 5_Product Uptake'!$M$9=0,O38*Ratios!$N$13,O38*Ratios!$N$13*Ratios!$Z$10)</f>
        <v>0</v>
      </c>
      <c r="AD38" s="852">
        <f>IF('Input 5_Product Uptake'!$M$9=0,P38*Ratios!$N$13,P38*Ratios!$N$13*Ratios!$Z$10)</f>
        <v>0</v>
      </c>
      <c r="AE38" s="13"/>
      <c r="AF38" s="849">
        <f>Ratios!$P$13*E38</f>
        <v>1098.8738993064208</v>
      </c>
      <c r="AG38" s="849">
        <f>Ratios!$P$13*F38</f>
        <v>3185.3433283692443</v>
      </c>
      <c r="AH38" s="849">
        <f>Ratios!$P$13*G38</f>
        <v>4534.5935591632042</v>
      </c>
      <c r="AI38" s="849">
        <f>Ratios!$P$13*H38</f>
        <v>3032.3355702379708</v>
      </c>
      <c r="AJ38" s="849">
        <f>Ratios!$P$13*I38</f>
        <v>1627.4461546690029</v>
      </c>
      <c r="AK38" s="849">
        <f>Ratios!$P$13*J38</f>
        <v>431.20368200631691</v>
      </c>
      <c r="AL38" s="849">
        <f>Ratios!$P$13*K38</f>
        <v>0</v>
      </c>
      <c r="AM38" s="849">
        <f>Ratios!$P$13*L38</f>
        <v>0</v>
      </c>
      <c r="AN38" s="849">
        <f>Ratios!$P$13*M38</f>
        <v>0</v>
      </c>
      <c r="AO38" s="849">
        <f>Ratios!$P$13*N38</f>
        <v>0</v>
      </c>
      <c r="AP38" s="849">
        <f>Ratios!$P$13*O38</f>
        <v>0</v>
      </c>
      <c r="AQ38" s="849">
        <f>Ratios!$P$13*P38</f>
        <v>0</v>
      </c>
      <c r="AR38" s="13"/>
      <c r="AS38" s="275">
        <f t="shared" si="12"/>
        <v>161.59594520227472</v>
      </c>
      <c r="AT38" s="275">
        <f t="shared" si="9"/>
        <v>468.42368925722667</v>
      </c>
      <c r="AU38" s="275">
        <f t="shared" si="9"/>
        <v>666.8389637460956</v>
      </c>
      <c r="AV38" s="275">
        <f t="shared" si="9"/>
        <v>445.92298802653022</v>
      </c>
      <c r="AW38" s="275">
        <f t="shared" si="9"/>
        <v>239.32564036286254</v>
      </c>
      <c r="AX38" s="275">
        <f t="shared" si="9"/>
        <v>63.411067104690069</v>
      </c>
      <c r="AY38" s="275">
        <f t="shared" si="9"/>
        <v>0</v>
      </c>
      <c r="AZ38" s="275">
        <f t="shared" si="9"/>
        <v>0</v>
      </c>
      <c r="BA38" s="275">
        <f t="shared" si="9"/>
        <v>0</v>
      </c>
      <c r="BB38" s="275">
        <f t="shared" si="9"/>
        <v>0</v>
      </c>
      <c r="BC38" s="275">
        <f t="shared" si="9"/>
        <v>0</v>
      </c>
      <c r="BD38" s="275">
        <f t="shared" si="9"/>
        <v>0</v>
      </c>
      <c r="BE38" s="276"/>
      <c r="BF38" s="557">
        <f>IF($B36=0,1,IF(AND(BF37&gt;0,$B36&lt;='Input 4_RSV Season'!$AG$27-1),BF37+1,0))</f>
        <v>4</v>
      </c>
      <c r="BG38" s="549">
        <f>IF(AND($BF38&gt;0,$BF38&lt;='Input 6_Product Efficacy'!$Q$9/30),SUM($AS36:$BD36),0)</f>
        <v>3018.0718723310847</v>
      </c>
      <c r="BH38" s="554">
        <f>IF(AND($BF38&gt;0,$BF38&gt;'Input 6_Product Efficacy'!$Q$9/30),SUM($AS36:$BD36),0)</f>
        <v>0</v>
      </c>
      <c r="BI38" s="593"/>
      <c r="BK38" s="549">
        <f>IF(AND($BF38&gt;0,$BF38&lt;='Input 6_Product Efficacy'!$Q$12/30),SUM($AS36:$BD36),0)</f>
        <v>3018.0718723310847</v>
      </c>
      <c r="BL38" s="554">
        <f>IF(AND($BF38&gt;0,$BF38&gt;'Input 6_Product Efficacy'!$Q$12/30),SUM($AS36:$BD36),0)</f>
        <v>0</v>
      </c>
      <c r="BM38" s="276"/>
      <c r="BN38" s="276"/>
      <c r="BO38" s="276"/>
      <c r="BP38" s="93"/>
      <c r="BQ38" s="35">
        <f t="shared" si="13"/>
        <v>1098.8738993064208</v>
      </c>
      <c r="BR38" s="35">
        <f t="shared" si="10"/>
        <v>3185.3433283692443</v>
      </c>
      <c r="BS38" s="35">
        <f t="shared" si="10"/>
        <v>4534.5935591632042</v>
      </c>
      <c r="BT38" s="35">
        <f t="shared" si="10"/>
        <v>3032.3355702379708</v>
      </c>
      <c r="BU38" s="35">
        <f t="shared" si="10"/>
        <v>1627.4461546690029</v>
      </c>
      <c r="BV38" s="35">
        <f t="shared" si="10"/>
        <v>431.20368200631691</v>
      </c>
      <c r="BW38" s="35">
        <f t="shared" si="10"/>
        <v>0</v>
      </c>
      <c r="BX38" s="35">
        <f t="shared" si="10"/>
        <v>0</v>
      </c>
      <c r="BY38" s="35">
        <f t="shared" si="10"/>
        <v>0</v>
      </c>
      <c r="BZ38" s="35">
        <f t="shared" si="10"/>
        <v>0</v>
      </c>
      <c r="CA38" s="35">
        <f t="shared" si="10"/>
        <v>0</v>
      </c>
      <c r="CB38" s="35">
        <f t="shared" si="10"/>
        <v>0</v>
      </c>
      <c r="CC38" s="244"/>
      <c r="CD38" s="557">
        <f>IF($B36=0,1,IF(AND(CD37&gt;0,$B36&lt;='Input 4_RSV Season'!$AG$27-1),CD37+1,0))</f>
        <v>4</v>
      </c>
      <c r="CE38" s="549">
        <f>IF(AND($CD38&gt;0,$CD38&lt;='Input 6_Product Efficacy'!$Q$12/30),SUM($BQ36:$CB36),0)</f>
        <v>20523.289755718481</v>
      </c>
      <c r="CF38" s="554">
        <f>IF(AND($CD38&gt;0,$CD38&gt;'Input 6_Product Efficacy'!$Q$12/30),SUM($BQ36:$CB36),0)</f>
        <v>0</v>
      </c>
      <c r="CH38" s="565">
        <f>IF(AND($CD38&gt;0,$CD38&gt;'Input 6_Product Efficacy'!$Q$15/30),SUM($BQ36:$CB36),0)</f>
        <v>20523.289755718481</v>
      </c>
    </row>
    <row r="39" spans="2:87" ht="15" thickTop="1" x14ac:dyDescent="0.3">
      <c r="B39" s="26">
        <v>6</v>
      </c>
      <c r="C39" s="245">
        <f>'Input 2_RSV Rates'!M16*'Input 3_Clinical Severity'!$N$11</f>
        <v>40.9</v>
      </c>
      <c r="D39" s="13"/>
      <c r="E39" s="20">
        <f t="shared" si="11"/>
        <v>6.9605023642571699E-3</v>
      </c>
      <c r="F39" s="20">
        <f t="shared" si="11"/>
        <v>2.0176646093859392E-2</v>
      </c>
      <c r="G39" s="20">
        <f t="shared" si="11"/>
        <v>2.8723085705668831E-2</v>
      </c>
      <c r="H39" s="20">
        <f t="shared" si="11"/>
        <v>1.9207462220355229E-2</v>
      </c>
      <c r="I39" s="20">
        <f t="shared" si="11"/>
        <v>1.0308592109089734E-2</v>
      </c>
      <c r="J39" s="20">
        <f t="shared" si="11"/>
        <v>2.7313363707844591E-3</v>
      </c>
      <c r="K39" s="20">
        <f t="shared" si="11"/>
        <v>0</v>
      </c>
      <c r="L39" s="20">
        <f t="shared" si="11"/>
        <v>0</v>
      </c>
      <c r="M39" s="20">
        <f t="shared" si="11"/>
        <v>0</v>
      </c>
      <c r="N39" s="20">
        <f t="shared" si="11"/>
        <v>0</v>
      </c>
      <c r="O39" s="20">
        <f t="shared" si="11"/>
        <v>0</v>
      </c>
      <c r="P39" s="20">
        <f t="shared" si="11"/>
        <v>0</v>
      </c>
      <c r="Q39" s="13"/>
      <c r="R39" s="13"/>
      <c r="S39" s="852">
        <f>IF('Input 5_Product Uptake'!$M$9=0,E39*Ratios!$N$13,E39*Ratios!$N$13*Ratios!$Z$10)</f>
        <v>142.61029579831774</v>
      </c>
      <c r="T39" s="852">
        <f>IF('Input 5_Product Uptake'!$M$9=0,F39*Ratios!$N$13,F39*Ratios!$N$13*Ratios!$Z$10)</f>
        <v>413.38933845335146</v>
      </c>
      <c r="U39" s="852">
        <f>IF('Input 5_Product Uptake'!$M$9=0,G39*Ratios!$N$13,G39*Ratios!$N$13*Ratios!$Z$10)</f>
        <v>588.49311937027323</v>
      </c>
      <c r="V39" s="852">
        <f>IF('Input 5_Product Uptake'!$M$9=0,H39*Ratios!$N$13,H39*Ratios!$N$13*Ratios!$Z$10)</f>
        <v>393.53220865864898</v>
      </c>
      <c r="W39" s="852">
        <f>IF('Input 5_Product Uptake'!$M$9=0,I39*Ratios!$N$13,I39*Ratios!$N$13*Ratios!$Z$10)</f>
        <v>211.20765327092627</v>
      </c>
      <c r="X39" s="852">
        <f>IF('Input 5_Product Uptake'!$M$9=0,J39*Ratios!$N$13,J39*Ratios!$N$13*Ratios!$Z$10)</f>
        <v>55.96100214870696</v>
      </c>
      <c r="Y39" s="852">
        <f>IF('Input 5_Product Uptake'!$M$9=0,K39*Ratios!$N$13,K39*Ratios!$N$13*Ratios!$Z$10)</f>
        <v>0</v>
      </c>
      <c r="Z39" s="852">
        <f>IF('Input 5_Product Uptake'!$M$9=0,L39*Ratios!$N$13,L39*Ratios!$N$13*Ratios!$Z$10)</f>
        <v>0</v>
      </c>
      <c r="AA39" s="852">
        <f>IF('Input 5_Product Uptake'!$M$9=0,M39*Ratios!$N$13,M39*Ratios!$N$13*Ratios!$Z$10)</f>
        <v>0</v>
      </c>
      <c r="AB39" s="852">
        <f>IF('Input 5_Product Uptake'!$M$9=0,N39*Ratios!$N$13,N39*Ratios!$N$13*Ratios!$Z$10)</f>
        <v>0</v>
      </c>
      <c r="AC39" s="852">
        <f>IF('Input 5_Product Uptake'!$M$9=0,O39*Ratios!$N$13,O39*Ratios!$N$13*Ratios!$Z$10)</f>
        <v>0</v>
      </c>
      <c r="AD39" s="852">
        <f>IF('Input 5_Product Uptake'!$M$9=0,P39*Ratios!$N$13,P39*Ratios!$N$13*Ratios!$Z$10)</f>
        <v>0</v>
      </c>
      <c r="AE39" s="13"/>
      <c r="AF39" s="849">
        <f>Ratios!$P$13*E39</f>
        <v>969.76896065665346</v>
      </c>
      <c r="AG39" s="849">
        <f>Ratios!$P$13*F39</f>
        <v>2811.102430257894</v>
      </c>
      <c r="AH39" s="849">
        <f>Ratios!$P$13*G39</f>
        <v>4001.8314072666967</v>
      </c>
      <c r="AI39" s="849">
        <f>Ratios!$P$13*H39</f>
        <v>2676.0713091538032</v>
      </c>
      <c r="AJ39" s="849">
        <f>Ratios!$P$13*I39</f>
        <v>1436.2401062889678</v>
      </c>
      <c r="AK39" s="849">
        <f>Ratios!$P$13*J39</f>
        <v>380.54225038425642</v>
      </c>
      <c r="AL39" s="849">
        <f>Ratios!$P$13*K39</f>
        <v>0</v>
      </c>
      <c r="AM39" s="849">
        <f>Ratios!$P$13*L39</f>
        <v>0</v>
      </c>
      <c r="AN39" s="849">
        <f>Ratios!$P$13*M39</f>
        <v>0</v>
      </c>
      <c r="AO39" s="849">
        <f>Ratios!$P$13*N39</f>
        <v>0</v>
      </c>
      <c r="AP39" s="849">
        <f>Ratios!$P$13*O39</f>
        <v>0</v>
      </c>
      <c r="AQ39" s="849">
        <f>Ratios!$P$13*P39</f>
        <v>0</v>
      </c>
      <c r="AR39" s="13"/>
      <c r="AS39" s="275">
        <f t="shared" si="12"/>
        <v>142.61029579831774</v>
      </c>
      <c r="AT39" s="275">
        <f t="shared" si="9"/>
        <v>413.38933845335146</v>
      </c>
      <c r="AU39" s="275">
        <f t="shared" si="9"/>
        <v>588.49311937027323</v>
      </c>
      <c r="AV39" s="275">
        <f t="shared" si="9"/>
        <v>393.53220865864898</v>
      </c>
      <c r="AW39" s="275">
        <f t="shared" si="9"/>
        <v>211.20765327092627</v>
      </c>
      <c r="AX39" s="275">
        <f t="shared" si="9"/>
        <v>55.96100214870696</v>
      </c>
      <c r="AY39" s="275">
        <f t="shared" si="9"/>
        <v>0</v>
      </c>
      <c r="AZ39" s="275">
        <f t="shared" si="9"/>
        <v>0</v>
      </c>
      <c r="BA39" s="275">
        <f t="shared" si="9"/>
        <v>0</v>
      </c>
      <c r="BB39" s="275">
        <f t="shared" si="9"/>
        <v>0</v>
      </c>
      <c r="BC39" s="275">
        <f t="shared" si="9"/>
        <v>0</v>
      </c>
      <c r="BD39" s="275">
        <f t="shared" si="9"/>
        <v>0</v>
      </c>
      <c r="BE39" s="276"/>
      <c r="BF39" s="557">
        <f>IF($B37=0,1,IF(AND(BF38&gt;0,$B37&lt;='Input 4_RSV Season'!$AG$27-1),BF38+1,0))</f>
        <v>5</v>
      </c>
      <c r="BG39" s="549">
        <f>IF(AND($BF39&gt;0,$BF39&lt;='Input 6_Product Efficacy'!$Q$9/30),SUM($AS37:$BD37),0)</f>
        <v>3327.9119504791429</v>
      </c>
      <c r="BH39" s="554">
        <f>IF(AND($BF39&gt;0,$BF39&gt;'Input 6_Product Efficacy'!$Q$9/30),SUM($AS37:$BD37),0)</f>
        <v>0</v>
      </c>
      <c r="BI39" s="593"/>
      <c r="BK39" s="549">
        <f>IF(AND($BF39&gt;0,$BF39&lt;='Input 6_Product Efficacy'!$Q$12/30),SUM($AS37:$BD37),0)</f>
        <v>3327.9119504791429</v>
      </c>
      <c r="BL39" s="554">
        <f>IF(AND($BF39&gt;0,$BF39&gt;'Input 6_Product Efficacy'!$Q$12/30),SUM($AS37:$BD37),0)</f>
        <v>0</v>
      </c>
      <c r="BM39" s="276"/>
      <c r="BN39" s="276"/>
      <c r="BO39" s="276"/>
      <c r="BP39" s="93"/>
      <c r="BQ39" s="35">
        <f t="shared" si="13"/>
        <v>969.76896065665346</v>
      </c>
      <c r="BR39" s="35">
        <f t="shared" si="10"/>
        <v>2811.102430257894</v>
      </c>
      <c r="BS39" s="35">
        <f t="shared" si="10"/>
        <v>4001.8314072666967</v>
      </c>
      <c r="BT39" s="35">
        <f t="shared" si="10"/>
        <v>2676.0713091538032</v>
      </c>
      <c r="BU39" s="35">
        <f t="shared" si="10"/>
        <v>1436.2401062889678</v>
      </c>
      <c r="BV39" s="35">
        <f t="shared" si="10"/>
        <v>380.54225038425642</v>
      </c>
      <c r="BW39" s="35">
        <f t="shared" si="10"/>
        <v>0</v>
      </c>
      <c r="BX39" s="35">
        <f t="shared" si="10"/>
        <v>0</v>
      </c>
      <c r="BY39" s="35">
        <f t="shared" si="10"/>
        <v>0</v>
      </c>
      <c r="BZ39" s="35">
        <f t="shared" si="10"/>
        <v>0</v>
      </c>
      <c r="CA39" s="35">
        <f t="shared" si="10"/>
        <v>0</v>
      </c>
      <c r="CB39" s="35">
        <f t="shared" si="10"/>
        <v>0</v>
      </c>
      <c r="CC39" s="244"/>
      <c r="CD39" s="557">
        <f>IF($B37=0,1,IF(AND(CD38&gt;0,$B37&lt;='Input 4_RSV Season'!$AG$27-1),CD38+1,0))</f>
        <v>5</v>
      </c>
      <c r="CE39" s="549">
        <f>IF(AND($CD39&gt;0,$CD39&lt;='Input 6_Product Efficacy'!$Q$12/30),SUM($BQ37:$CB37),0)</f>
        <v>22630.243456875884</v>
      </c>
      <c r="CF39" s="554">
        <f>IF(AND($CD39&gt;0,$CD39&gt;'Input 6_Product Efficacy'!$Q$12/30),SUM($BQ37:$CB37),0)</f>
        <v>0</v>
      </c>
      <c r="CH39" s="565">
        <f>IF(AND($CD39&gt;0,$CD39&gt;'Input 6_Product Efficacy'!$Q$15/30),SUM($BQ37:$CB37),0)</f>
        <v>22630.243456875884</v>
      </c>
    </row>
    <row r="40" spans="2:87" x14ac:dyDescent="0.3">
      <c r="B40" s="26">
        <v>7</v>
      </c>
      <c r="C40" s="245">
        <f>'Input 2_RSV Rates'!M17*'Input 3_Clinical Severity'!$N$11</f>
        <v>28.05</v>
      </c>
      <c r="D40" s="13"/>
      <c r="E40" s="20">
        <f t="shared" si="11"/>
        <v>4.7736452644844413E-3</v>
      </c>
      <c r="F40" s="20">
        <f t="shared" si="11"/>
        <v>1.3837528678062493E-2</v>
      </c>
      <c r="G40" s="20">
        <f t="shared" si="11"/>
        <v>1.9698839952176302E-2</v>
      </c>
      <c r="H40" s="20">
        <f t="shared" si="11"/>
        <v>1.3172843894400103E-2</v>
      </c>
      <c r="I40" s="20">
        <f t="shared" si="11"/>
        <v>7.0698290625908818E-3</v>
      </c>
      <c r="J40" s="20">
        <f t="shared" si="11"/>
        <v>1.8732025721394643E-3</v>
      </c>
      <c r="K40" s="20">
        <f t="shared" si="11"/>
        <v>0</v>
      </c>
      <c r="L40" s="20">
        <f t="shared" si="11"/>
        <v>0</v>
      </c>
      <c r="M40" s="20">
        <f t="shared" si="11"/>
        <v>0</v>
      </c>
      <c r="N40" s="20">
        <f t="shared" si="11"/>
        <v>0</v>
      </c>
      <c r="O40" s="20">
        <f t="shared" si="11"/>
        <v>0</v>
      </c>
      <c r="P40" s="20">
        <f t="shared" si="11"/>
        <v>0</v>
      </c>
      <c r="Q40" s="13"/>
      <c r="R40" s="13"/>
      <c r="S40" s="852">
        <f>IF('Input 5_Product Uptake'!$M$9=0,E40*Ratios!$N$13,E40*Ratios!$N$13*Ratios!$Z$10)</f>
        <v>97.80486056583895</v>
      </c>
      <c r="T40" s="852">
        <f>IF('Input 5_Product Uptake'!$M$9=0,F40*Ratios!$N$13,F40*Ratios!$N$13*Ratios!$Z$10)</f>
        <v>283.51029201996352</v>
      </c>
      <c r="U40" s="852">
        <f>IF('Input 5_Product Uptake'!$M$9=0,G40*Ratios!$N$13,G40*Ratios!$N$13*Ratios!$Z$10)</f>
        <v>403.59980436029741</v>
      </c>
      <c r="V40" s="852">
        <f>IF('Input 5_Product Uptake'!$M$9=0,H40*Ratios!$N$13,H40*Ratios!$N$13*Ratios!$Z$10)</f>
        <v>269.8918937133277</v>
      </c>
      <c r="W40" s="852">
        <f>IF('Input 5_Product Uptake'!$M$9=0,I40*Ratios!$N$13,I40*Ratios!$N$13*Ratios!$Z$10)</f>
        <v>144.8502365342172</v>
      </c>
      <c r="X40" s="852">
        <f>IF('Input 5_Product Uptake'!$M$9=0,J40*Ratios!$N$13,J40*Ratios!$N$13*Ratios!$Z$10)</f>
        <v>38.379122500519081</v>
      </c>
      <c r="Y40" s="852">
        <f>IF('Input 5_Product Uptake'!$M$9=0,K40*Ratios!$N$13,K40*Ratios!$N$13*Ratios!$Z$10)</f>
        <v>0</v>
      </c>
      <c r="Z40" s="852">
        <f>IF('Input 5_Product Uptake'!$M$9=0,L40*Ratios!$N$13,L40*Ratios!$N$13*Ratios!$Z$10)</f>
        <v>0</v>
      </c>
      <c r="AA40" s="852">
        <f>IF('Input 5_Product Uptake'!$M$9=0,M40*Ratios!$N$13,M40*Ratios!$N$13*Ratios!$Z$10)</f>
        <v>0</v>
      </c>
      <c r="AB40" s="852">
        <f>IF('Input 5_Product Uptake'!$M$9=0,N40*Ratios!$N$13,N40*Ratios!$N$13*Ratios!$Z$10)</f>
        <v>0</v>
      </c>
      <c r="AC40" s="852">
        <f>IF('Input 5_Product Uptake'!$M$9=0,O40*Ratios!$N$13,O40*Ratios!$N$13*Ratios!$Z$10)</f>
        <v>0</v>
      </c>
      <c r="AD40" s="852">
        <f>IF('Input 5_Product Uptake'!$M$9=0,P40*Ratios!$N$13,P40*Ratios!$N$13*Ratios!$Z$10)</f>
        <v>0</v>
      </c>
      <c r="AE40" s="13"/>
      <c r="AF40" s="849">
        <f>Ratios!$P$13*E40</f>
        <v>665.08604758970989</v>
      </c>
      <c r="AG40" s="849">
        <f>Ratios!$P$13*F40</f>
        <v>1927.9076569372601</v>
      </c>
      <c r="AH40" s="849">
        <f>Ratios!$P$13*G40</f>
        <v>2744.5322976486759</v>
      </c>
      <c r="AI40" s="849">
        <f>Ratios!$P$13*H40</f>
        <v>1835.3007389184397</v>
      </c>
      <c r="AJ40" s="849">
        <f>Ratios!$P$13*I40</f>
        <v>985.00085529108935</v>
      </c>
      <c r="AK40" s="849">
        <f>Ratios!$P$13*J40</f>
        <v>260.98313259849374</v>
      </c>
      <c r="AL40" s="849">
        <f>Ratios!$P$13*K40</f>
        <v>0</v>
      </c>
      <c r="AM40" s="849">
        <f>Ratios!$P$13*L40</f>
        <v>0</v>
      </c>
      <c r="AN40" s="849">
        <f>Ratios!$P$13*M40</f>
        <v>0</v>
      </c>
      <c r="AO40" s="849">
        <f>Ratios!$P$13*N40</f>
        <v>0</v>
      </c>
      <c r="AP40" s="849">
        <f>Ratios!$P$13*O40</f>
        <v>0</v>
      </c>
      <c r="AQ40" s="849">
        <f>Ratios!$P$13*P40</f>
        <v>0</v>
      </c>
      <c r="AR40" s="13"/>
      <c r="AS40" s="275">
        <f t="shared" si="12"/>
        <v>97.80486056583895</v>
      </c>
      <c r="AT40" s="275">
        <f t="shared" si="9"/>
        <v>283.51029201996352</v>
      </c>
      <c r="AU40" s="275">
        <f t="shared" si="9"/>
        <v>403.59980436029741</v>
      </c>
      <c r="AV40" s="275">
        <f t="shared" si="9"/>
        <v>269.8918937133277</v>
      </c>
      <c r="AW40" s="275">
        <f t="shared" si="9"/>
        <v>144.8502365342172</v>
      </c>
      <c r="AX40" s="275">
        <f t="shared" si="9"/>
        <v>38.379122500519081</v>
      </c>
      <c r="AY40" s="275">
        <f t="shared" si="9"/>
        <v>0</v>
      </c>
      <c r="AZ40" s="275">
        <f t="shared" si="9"/>
        <v>0</v>
      </c>
      <c r="BA40" s="275">
        <f t="shared" si="9"/>
        <v>0</v>
      </c>
      <c r="BB40" s="275">
        <f t="shared" si="9"/>
        <v>0</v>
      </c>
      <c r="BC40" s="275">
        <f t="shared" si="9"/>
        <v>0</v>
      </c>
      <c r="BD40" s="275">
        <f t="shared" si="9"/>
        <v>0</v>
      </c>
      <c r="BE40" s="276"/>
      <c r="BF40" s="557">
        <f>IF($B38=0,1,IF(AND(BF39&gt;0,$B38&lt;='Input 4_RSV Season'!$AG$27-1),BF39+1,0))</f>
        <v>6</v>
      </c>
      <c r="BG40" s="549">
        <f>IF(AND($BF40&gt;0,$BF40&lt;='Input 6_Product Efficacy'!$Q$9/30),SUM($AS38:$BD38),0)</f>
        <v>0</v>
      </c>
      <c r="BH40" s="554">
        <f>IF(AND($BF40&gt;0,$BF40&gt;'Input 6_Product Efficacy'!$Q$9/30),SUM($AS38:$BD38),0)</f>
        <v>2045.5182936996798</v>
      </c>
      <c r="BI40" s="593"/>
      <c r="BK40" s="549">
        <f>IF(AND($BF40&gt;0,$BF40&lt;='Input 6_Product Efficacy'!$Q$12/30),SUM($AS38:$BD38),0)</f>
        <v>0</v>
      </c>
      <c r="BL40" s="554">
        <f>IF(AND($BF40&gt;0,$BF40&gt;'Input 6_Product Efficacy'!$Q$12/30),SUM($AS38:$BD38),0)</f>
        <v>2045.5182936996798</v>
      </c>
      <c r="BM40" s="276"/>
      <c r="BN40" s="276"/>
      <c r="BO40" s="244"/>
      <c r="BP40" s="244"/>
      <c r="BQ40" s="35">
        <f t="shared" si="13"/>
        <v>665.08604758970989</v>
      </c>
      <c r="BR40" s="35">
        <f t="shared" si="10"/>
        <v>1927.9076569372601</v>
      </c>
      <c r="BS40" s="35">
        <f t="shared" si="10"/>
        <v>2744.5322976486759</v>
      </c>
      <c r="BT40" s="35">
        <f t="shared" si="10"/>
        <v>1835.3007389184397</v>
      </c>
      <c r="BU40" s="35">
        <f t="shared" si="10"/>
        <v>985.00085529108935</v>
      </c>
      <c r="BV40" s="35">
        <f t="shared" si="10"/>
        <v>260.98313259849374</v>
      </c>
      <c r="BW40" s="35">
        <f t="shared" si="10"/>
        <v>0</v>
      </c>
      <c r="BX40" s="35">
        <f t="shared" si="10"/>
        <v>0</v>
      </c>
      <c r="BY40" s="35">
        <f t="shared" si="10"/>
        <v>0</v>
      </c>
      <c r="BZ40" s="35">
        <f t="shared" si="10"/>
        <v>0</v>
      </c>
      <c r="CA40" s="35">
        <f t="shared" si="10"/>
        <v>0</v>
      </c>
      <c r="CB40" s="35">
        <f t="shared" si="10"/>
        <v>0</v>
      </c>
      <c r="CD40" s="557">
        <f>IF($B38=0,1,IF(AND(CD39&gt;0,$B38&lt;='Input 4_RSV Season'!$AG$27-1),CD39+1,0))</f>
        <v>6</v>
      </c>
      <c r="CE40" s="549">
        <f>IF(AND($CD40&gt;0,$CD40&lt;='Input 6_Product Efficacy'!$Q$12/30),SUM($BQ38:$CB38),0)</f>
        <v>0</v>
      </c>
      <c r="CF40" s="554">
        <f>IF(AND($CD40&gt;0,$CD40&gt;'Input 6_Product Efficacy'!$Q$12/30),SUM($BQ38:$CB38),0)</f>
        <v>13909.79619375216</v>
      </c>
      <c r="CH40" s="565">
        <f>IF(AND($CD40&gt;0,$CD40&gt;'Input 6_Product Efficacy'!$Q$15/30),SUM($BQ38:$CB38),0)</f>
        <v>13909.79619375216</v>
      </c>
    </row>
    <row r="41" spans="2:87" x14ac:dyDescent="0.3">
      <c r="B41" s="26">
        <v>8</v>
      </c>
      <c r="C41" s="245">
        <f>'Input 2_RSV Rates'!M18*'Input 3_Clinical Severity'!$N$11</f>
        <v>27.8</v>
      </c>
      <c r="D41" s="13"/>
      <c r="E41" s="20">
        <f t="shared" si="11"/>
        <v>4.7310994065122092E-3</v>
      </c>
      <c r="F41" s="20">
        <f t="shared" si="11"/>
        <v>1.371419954545944E-2</v>
      </c>
      <c r="G41" s="20">
        <f t="shared" si="11"/>
        <v>1.9523270968645319E-2</v>
      </c>
      <c r="H41" s="20">
        <f t="shared" si="11"/>
        <v>1.305543886860331E-2</v>
      </c>
      <c r="I41" s="20">
        <f t="shared" si="11"/>
        <v>7.0068181083788412E-3</v>
      </c>
      <c r="J41" s="20">
        <f t="shared" si="11"/>
        <v>1.8565073620490946E-3</v>
      </c>
      <c r="K41" s="20">
        <f t="shared" si="11"/>
        <v>0</v>
      </c>
      <c r="L41" s="20">
        <f t="shared" si="11"/>
        <v>0</v>
      </c>
      <c r="M41" s="20">
        <f t="shared" si="11"/>
        <v>0</v>
      </c>
      <c r="N41" s="20">
        <f t="shared" si="11"/>
        <v>0</v>
      </c>
      <c r="O41" s="20">
        <f t="shared" si="11"/>
        <v>0</v>
      </c>
      <c r="P41" s="20">
        <f t="shared" si="11"/>
        <v>0</v>
      </c>
      <c r="Q41" s="13"/>
      <c r="R41" s="13"/>
      <c r="S41" s="852">
        <f>IF('Input 5_Product Uptake'!$M$9=0,E41*Ratios!$N$13,E41*Ratios!$N$13*Ratios!$Z$10)</f>
        <v>96.93315949127711</v>
      </c>
      <c r="T41" s="852">
        <f>IF('Input 5_Product Uptake'!$M$9=0,F41*Ratios!$N$13,F41*Ratios!$N$13*Ratios!$Z$10)</f>
        <v>280.98346232281591</v>
      </c>
      <c r="U41" s="852">
        <f>IF('Input 5_Product Uptake'!$M$9=0,G41*Ratios!$N$13,G41*Ratios!$N$13*Ratios!$Z$10)</f>
        <v>400.00265815387775</v>
      </c>
      <c r="V41" s="852">
        <f>IF('Input 5_Product Uptake'!$M$9=0,H41*Ratios!$N$13,H41*Ratios!$N$13*Ratios!$Z$10)</f>
        <v>267.48644011516973</v>
      </c>
      <c r="W41" s="852">
        <f>IF('Input 5_Product Uptake'!$M$9=0,I41*Ratios!$N$13,I41*Ratios!$N$13*Ratios!$Z$10)</f>
        <v>143.55923620860028</v>
      </c>
      <c r="X41" s="852">
        <f>IF('Input 5_Product Uptake'!$M$9=0,J41*Ratios!$N$13,J41*Ratios!$N$13*Ratios!$Z$10)</f>
        <v>38.037062585184685</v>
      </c>
      <c r="Y41" s="852">
        <f>IF('Input 5_Product Uptake'!$M$9=0,K41*Ratios!$N$13,K41*Ratios!$N$13*Ratios!$Z$10)</f>
        <v>0</v>
      </c>
      <c r="Z41" s="852">
        <f>IF('Input 5_Product Uptake'!$M$9=0,L41*Ratios!$N$13,L41*Ratios!$N$13*Ratios!$Z$10)</f>
        <v>0</v>
      </c>
      <c r="AA41" s="852">
        <f>IF('Input 5_Product Uptake'!$M$9=0,M41*Ratios!$N$13,M41*Ratios!$N$13*Ratios!$Z$10)</f>
        <v>0</v>
      </c>
      <c r="AB41" s="852">
        <f>IF('Input 5_Product Uptake'!$M$9=0,N41*Ratios!$N$13,N41*Ratios!$N$13*Ratios!$Z$10)</f>
        <v>0</v>
      </c>
      <c r="AC41" s="852">
        <f>IF('Input 5_Product Uptake'!$M$9=0,O41*Ratios!$N$13,O41*Ratios!$N$13*Ratios!$Z$10)</f>
        <v>0</v>
      </c>
      <c r="AD41" s="852">
        <f>IF('Input 5_Product Uptake'!$M$9=0,P41*Ratios!$N$13,P41*Ratios!$N$13*Ratios!$Z$10)</f>
        <v>0</v>
      </c>
      <c r="AE41" s="13"/>
      <c r="AF41" s="849">
        <f>Ratios!$P$13*E41</f>
        <v>659.15836445611171</v>
      </c>
      <c r="AG41" s="849">
        <f>Ratios!$P$13*F41</f>
        <v>1910.7248792461969</v>
      </c>
      <c r="AH41" s="849">
        <f>Ratios!$P$13*G41</f>
        <v>2720.0712254771192</v>
      </c>
      <c r="AI41" s="849">
        <f>Ratios!$P$13*H41</f>
        <v>1818.9433348282573</v>
      </c>
      <c r="AJ41" s="849">
        <f>Ratios!$P$13*I41</f>
        <v>976.22188153626666</v>
      </c>
      <c r="AK41" s="849">
        <f>Ratios!$P$13*J41</f>
        <v>258.65707972328431</v>
      </c>
      <c r="AL41" s="849">
        <f>Ratios!$P$13*K41</f>
        <v>0</v>
      </c>
      <c r="AM41" s="849">
        <f>Ratios!$P$13*L41</f>
        <v>0</v>
      </c>
      <c r="AN41" s="849">
        <f>Ratios!$P$13*M41</f>
        <v>0</v>
      </c>
      <c r="AO41" s="849">
        <f>Ratios!$P$13*N41</f>
        <v>0</v>
      </c>
      <c r="AP41" s="849">
        <f>Ratios!$P$13*O41</f>
        <v>0</v>
      </c>
      <c r="AQ41" s="849">
        <f>Ratios!$P$13*P41</f>
        <v>0</v>
      </c>
      <c r="AR41" s="13"/>
      <c r="AS41" s="275">
        <f t="shared" si="12"/>
        <v>96.93315949127711</v>
      </c>
      <c r="AT41" s="275">
        <f t="shared" si="9"/>
        <v>280.98346232281591</v>
      </c>
      <c r="AU41" s="275">
        <f t="shared" si="9"/>
        <v>400.00265815387775</v>
      </c>
      <c r="AV41" s="275">
        <f t="shared" si="9"/>
        <v>267.48644011516973</v>
      </c>
      <c r="AW41" s="275">
        <f t="shared" si="9"/>
        <v>143.55923620860028</v>
      </c>
      <c r="AX41" s="275">
        <f t="shared" si="9"/>
        <v>38.037062585184685</v>
      </c>
      <c r="AY41" s="275">
        <f t="shared" si="9"/>
        <v>0</v>
      </c>
      <c r="AZ41" s="275">
        <f t="shared" si="9"/>
        <v>0</v>
      </c>
      <c r="BA41" s="275">
        <f t="shared" si="9"/>
        <v>0</v>
      </c>
      <c r="BB41" s="275">
        <f t="shared" si="9"/>
        <v>0</v>
      </c>
      <c r="BC41" s="275">
        <f t="shared" si="9"/>
        <v>0</v>
      </c>
      <c r="BD41" s="275">
        <f t="shared" si="9"/>
        <v>0</v>
      </c>
      <c r="BE41" s="276"/>
      <c r="BF41" s="557">
        <f>IF($B39=0,1,IF(AND(BF40&gt;0,$B39&lt;='Input 4_RSV Season'!$AG$27-1),BF40+1,0))</f>
        <v>0</v>
      </c>
      <c r="BG41" s="549">
        <f>IF(AND($BF41&gt;0,$BF41&lt;='Input 6_Product Efficacy'!$Q$9/30),SUM($AS39:$BD39),0)</f>
        <v>0</v>
      </c>
      <c r="BH41" s="554">
        <f>IF(AND($BF41&gt;0,$BF41&gt;'Input 6_Product Efficacy'!$Q$9/30),SUM($AS39:$BD39),0)</f>
        <v>0</v>
      </c>
      <c r="BI41" s="593"/>
      <c r="BK41" s="549">
        <f>IF(AND($BF41&gt;0,$BF41&lt;='Input 6_Product Efficacy'!$Q$12/30),SUM($AS39:$BD39),0)</f>
        <v>0</v>
      </c>
      <c r="BL41" s="554">
        <f>IF(AND($BF41&gt;0,$BF41&gt;'Input 6_Product Efficacy'!$Q$12/30),SUM($AS39:$BD39),0)</f>
        <v>0</v>
      </c>
      <c r="BM41" s="276"/>
      <c r="BN41" s="276"/>
      <c r="BO41" s="276"/>
      <c r="BP41" s="93"/>
      <c r="BQ41" s="35">
        <f t="shared" si="13"/>
        <v>659.15836445611171</v>
      </c>
      <c r="BR41" s="35">
        <f t="shared" si="10"/>
        <v>1910.7248792461969</v>
      </c>
      <c r="BS41" s="35">
        <f t="shared" si="10"/>
        <v>2720.0712254771192</v>
      </c>
      <c r="BT41" s="35">
        <f t="shared" si="10"/>
        <v>1818.9433348282573</v>
      </c>
      <c r="BU41" s="35">
        <f t="shared" si="10"/>
        <v>976.22188153626666</v>
      </c>
      <c r="BV41" s="35">
        <f t="shared" si="10"/>
        <v>258.65707972328431</v>
      </c>
      <c r="BW41" s="35">
        <f t="shared" si="10"/>
        <v>0</v>
      </c>
      <c r="BX41" s="35">
        <f t="shared" si="10"/>
        <v>0</v>
      </c>
      <c r="BY41" s="35">
        <f t="shared" si="10"/>
        <v>0</v>
      </c>
      <c r="BZ41" s="35">
        <f t="shared" si="10"/>
        <v>0</v>
      </c>
      <c r="CA41" s="35">
        <f t="shared" si="10"/>
        <v>0</v>
      </c>
      <c r="CB41" s="35">
        <f t="shared" si="10"/>
        <v>0</v>
      </c>
      <c r="CC41" s="244"/>
      <c r="CD41" s="557">
        <f>IF($B39=0,1,IF(AND(CD40&gt;0,$B39&lt;='Input 4_RSV Season'!$AG$27-1),CD40+1,0))</f>
        <v>0</v>
      </c>
      <c r="CE41" s="549">
        <f>IF(AND($CD41&gt;0,$CD41&lt;='Input 6_Product Efficacy'!$Q$12/30),SUM($BQ39:$CB39),0)</f>
        <v>0</v>
      </c>
      <c r="CF41" s="554">
        <f>IF(AND($CD41&gt;0,$CD41&gt;'Input 6_Product Efficacy'!$Q$12/30),SUM($BQ39:$CB39),0)</f>
        <v>0</v>
      </c>
      <c r="CH41" s="565">
        <f>IF(AND($CD41&gt;0,$CD41&gt;'Input 6_Product Efficacy'!$Q$15/30),SUM($BQ39:$CB39),0)</f>
        <v>0</v>
      </c>
    </row>
    <row r="42" spans="2:87" x14ac:dyDescent="0.3">
      <c r="B42" s="26">
        <v>9</v>
      </c>
      <c r="C42" s="245">
        <f>'Input 2_RSV Rates'!M19*'Input 3_Clinical Severity'!$N$11</f>
        <v>27.8</v>
      </c>
      <c r="D42" s="13"/>
      <c r="E42" s="20">
        <f t="shared" si="11"/>
        <v>4.7310994065122092E-3</v>
      </c>
      <c r="F42" s="20">
        <f t="shared" si="11"/>
        <v>1.371419954545944E-2</v>
      </c>
      <c r="G42" s="20">
        <f t="shared" si="11"/>
        <v>1.9523270968645319E-2</v>
      </c>
      <c r="H42" s="20">
        <f t="shared" si="11"/>
        <v>1.305543886860331E-2</v>
      </c>
      <c r="I42" s="20">
        <f t="shared" si="11"/>
        <v>7.0068181083788412E-3</v>
      </c>
      <c r="J42" s="20">
        <f t="shared" si="11"/>
        <v>1.8565073620490946E-3</v>
      </c>
      <c r="K42" s="20">
        <f t="shared" si="11"/>
        <v>0</v>
      </c>
      <c r="L42" s="20">
        <f t="shared" si="11"/>
        <v>0</v>
      </c>
      <c r="M42" s="20">
        <f t="shared" si="11"/>
        <v>0</v>
      </c>
      <c r="N42" s="20">
        <f t="shared" si="11"/>
        <v>0</v>
      </c>
      <c r="O42" s="20">
        <f t="shared" si="11"/>
        <v>0</v>
      </c>
      <c r="P42" s="20">
        <f t="shared" si="11"/>
        <v>0</v>
      </c>
      <c r="Q42" s="13"/>
      <c r="R42" s="13"/>
      <c r="S42" s="852">
        <f>IF('Input 5_Product Uptake'!$M$9=0,E42*Ratios!$N$13,E42*Ratios!$N$13*Ratios!$Z$10)</f>
        <v>96.93315949127711</v>
      </c>
      <c r="T42" s="852">
        <f>IF('Input 5_Product Uptake'!$M$9=0,F42*Ratios!$N$13,F42*Ratios!$N$13*Ratios!$Z$10)</f>
        <v>280.98346232281591</v>
      </c>
      <c r="U42" s="852">
        <f>IF('Input 5_Product Uptake'!$M$9=0,G42*Ratios!$N$13,G42*Ratios!$N$13*Ratios!$Z$10)</f>
        <v>400.00265815387775</v>
      </c>
      <c r="V42" s="852">
        <f>IF('Input 5_Product Uptake'!$M$9=0,H42*Ratios!$N$13,H42*Ratios!$N$13*Ratios!$Z$10)</f>
        <v>267.48644011516973</v>
      </c>
      <c r="W42" s="852">
        <f>IF('Input 5_Product Uptake'!$M$9=0,I42*Ratios!$N$13,I42*Ratios!$N$13*Ratios!$Z$10)</f>
        <v>143.55923620860028</v>
      </c>
      <c r="X42" s="852">
        <f>IF('Input 5_Product Uptake'!$M$9=0,J42*Ratios!$N$13,J42*Ratios!$N$13*Ratios!$Z$10)</f>
        <v>38.037062585184685</v>
      </c>
      <c r="Y42" s="852">
        <f>IF('Input 5_Product Uptake'!$M$9=0,K42*Ratios!$N$13,K42*Ratios!$N$13*Ratios!$Z$10)</f>
        <v>0</v>
      </c>
      <c r="Z42" s="852">
        <f>IF('Input 5_Product Uptake'!$M$9=0,L42*Ratios!$N$13,L42*Ratios!$N$13*Ratios!$Z$10)</f>
        <v>0</v>
      </c>
      <c r="AA42" s="852">
        <f>IF('Input 5_Product Uptake'!$M$9=0,M42*Ratios!$N$13,M42*Ratios!$N$13*Ratios!$Z$10)</f>
        <v>0</v>
      </c>
      <c r="AB42" s="852">
        <f>IF('Input 5_Product Uptake'!$M$9=0,N42*Ratios!$N$13,N42*Ratios!$N$13*Ratios!$Z$10)</f>
        <v>0</v>
      </c>
      <c r="AC42" s="852">
        <f>IF('Input 5_Product Uptake'!$M$9=0,O42*Ratios!$N$13,O42*Ratios!$N$13*Ratios!$Z$10)</f>
        <v>0</v>
      </c>
      <c r="AD42" s="852">
        <f>IF('Input 5_Product Uptake'!$M$9=0,P42*Ratios!$N$13,P42*Ratios!$N$13*Ratios!$Z$10)</f>
        <v>0</v>
      </c>
      <c r="AE42" s="13"/>
      <c r="AF42" s="849">
        <f>Ratios!$P$13*E42</f>
        <v>659.15836445611171</v>
      </c>
      <c r="AG42" s="849">
        <f>Ratios!$P$13*F42</f>
        <v>1910.7248792461969</v>
      </c>
      <c r="AH42" s="849">
        <f>Ratios!$P$13*G42</f>
        <v>2720.0712254771192</v>
      </c>
      <c r="AI42" s="849">
        <f>Ratios!$P$13*H42</f>
        <v>1818.9433348282573</v>
      </c>
      <c r="AJ42" s="849">
        <f>Ratios!$P$13*I42</f>
        <v>976.22188153626666</v>
      </c>
      <c r="AK42" s="849">
        <f>Ratios!$P$13*J42</f>
        <v>258.65707972328431</v>
      </c>
      <c r="AL42" s="849">
        <f>Ratios!$P$13*K42</f>
        <v>0</v>
      </c>
      <c r="AM42" s="849">
        <f>Ratios!$P$13*L42</f>
        <v>0</v>
      </c>
      <c r="AN42" s="849">
        <f>Ratios!$P$13*M42</f>
        <v>0</v>
      </c>
      <c r="AO42" s="849">
        <f>Ratios!$P$13*N42</f>
        <v>0</v>
      </c>
      <c r="AP42" s="849">
        <f>Ratios!$P$13*O42</f>
        <v>0</v>
      </c>
      <c r="AQ42" s="849">
        <f>Ratios!$P$13*P42</f>
        <v>0</v>
      </c>
      <c r="AR42" s="13"/>
      <c r="AS42" s="275">
        <f t="shared" si="12"/>
        <v>96.93315949127711</v>
      </c>
      <c r="AT42" s="275">
        <f t="shared" si="9"/>
        <v>280.98346232281591</v>
      </c>
      <c r="AU42" s="275">
        <f t="shared" si="9"/>
        <v>400.00265815387775</v>
      </c>
      <c r="AV42" s="275">
        <f t="shared" si="9"/>
        <v>267.48644011516973</v>
      </c>
      <c r="AW42" s="275">
        <f t="shared" si="9"/>
        <v>143.55923620860028</v>
      </c>
      <c r="AX42" s="275">
        <f t="shared" si="9"/>
        <v>38.037062585184685</v>
      </c>
      <c r="AY42" s="275">
        <f t="shared" si="9"/>
        <v>0</v>
      </c>
      <c r="AZ42" s="275">
        <f t="shared" si="9"/>
        <v>0</v>
      </c>
      <c r="BA42" s="275">
        <f t="shared" si="9"/>
        <v>0</v>
      </c>
      <c r="BB42" s="275">
        <f t="shared" si="9"/>
        <v>0</v>
      </c>
      <c r="BC42" s="275">
        <f t="shared" si="9"/>
        <v>0</v>
      </c>
      <c r="BD42" s="275">
        <f t="shared" si="9"/>
        <v>0</v>
      </c>
      <c r="BE42" s="276"/>
      <c r="BF42" s="557">
        <f>IF($B40=0,1,IF(AND(BF41&gt;0,$B40&lt;='Input 4_RSV Season'!$AG$27-1),BF41+1,0))</f>
        <v>0</v>
      </c>
      <c r="BG42" s="549">
        <f>IF(AND($BF42&gt;0,$BF42&lt;='Input 6_Product Efficacy'!$Q$9/30),SUM($AS40:$BD40),0)</f>
        <v>0</v>
      </c>
      <c r="BH42" s="554">
        <f>IF(AND($BF42&gt;0,$BF42&gt;'Input 6_Product Efficacy'!$Q$9/30),SUM($AS40:$BD40),0)</f>
        <v>0</v>
      </c>
      <c r="BI42" s="593"/>
      <c r="BK42" s="549">
        <f>IF(AND($BF42&gt;0,$BF42&lt;='Input 6_Product Efficacy'!$Q$12/30),SUM($AS40:$BD40),0)</f>
        <v>0</v>
      </c>
      <c r="BL42" s="554">
        <f>IF(AND($BF42&gt;0,$BF42&gt;'Input 6_Product Efficacy'!$Q$12/30),SUM($AS40:$BD40),0)</f>
        <v>0</v>
      </c>
      <c r="BM42" s="276"/>
      <c r="BN42" s="276"/>
      <c r="BO42" s="276"/>
      <c r="BP42" s="93"/>
      <c r="BQ42" s="35">
        <f t="shared" si="13"/>
        <v>659.15836445611171</v>
      </c>
      <c r="BR42" s="35">
        <f t="shared" si="10"/>
        <v>1910.7248792461969</v>
      </c>
      <c r="BS42" s="35">
        <f t="shared" si="10"/>
        <v>2720.0712254771192</v>
      </c>
      <c r="BT42" s="35">
        <f t="shared" si="10"/>
        <v>1818.9433348282573</v>
      </c>
      <c r="BU42" s="35">
        <f t="shared" si="10"/>
        <v>976.22188153626666</v>
      </c>
      <c r="BV42" s="35">
        <f t="shared" si="10"/>
        <v>258.65707972328431</v>
      </c>
      <c r="BW42" s="35">
        <f t="shared" si="10"/>
        <v>0</v>
      </c>
      <c r="BX42" s="35">
        <f t="shared" si="10"/>
        <v>0</v>
      </c>
      <c r="BY42" s="35">
        <f t="shared" si="10"/>
        <v>0</v>
      </c>
      <c r="BZ42" s="35">
        <f t="shared" si="10"/>
        <v>0</v>
      </c>
      <c r="CA42" s="35">
        <f t="shared" si="10"/>
        <v>0</v>
      </c>
      <c r="CB42" s="35">
        <f t="shared" si="10"/>
        <v>0</v>
      </c>
      <c r="CC42" s="244"/>
      <c r="CD42" s="557">
        <f>IF($B40=0,1,IF(AND(CD41&gt;0,$B40&lt;='Input 4_RSV Season'!$AG$27-1),CD41+1,0))</f>
        <v>0</v>
      </c>
      <c r="CE42" s="549">
        <f>IF(AND($CD42&gt;0,$CD42&lt;='Input 6_Product Efficacy'!$Q$12/30),SUM($BQ40:$CB40),0)</f>
        <v>0</v>
      </c>
      <c r="CF42" s="554">
        <f>IF(AND($CD42&gt;0,$CD42&gt;'Input 6_Product Efficacy'!$Q$12/30),SUM($BQ40:$CB40),0)</f>
        <v>0</v>
      </c>
      <c r="CH42" s="565">
        <f>IF(AND($CD42&gt;0,$CD42&gt;'Input 6_Product Efficacy'!$Q$15/30),SUM($BQ40:$CB40),0)</f>
        <v>0</v>
      </c>
    </row>
    <row r="43" spans="2:87" x14ac:dyDescent="0.3">
      <c r="B43" s="26">
        <v>10</v>
      </c>
      <c r="C43" s="245">
        <f>'Input 2_RSV Rates'!M20*'Input 3_Clinical Severity'!$N$11</f>
        <v>20.2</v>
      </c>
      <c r="D43" s="13"/>
      <c r="E43" s="20">
        <f t="shared" si="11"/>
        <v>3.4377053241563529E-3</v>
      </c>
      <c r="F43" s="20">
        <f t="shared" si="11"/>
        <v>9.9649939143266423E-3</v>
      </c>
      <c r="G43" s="20">
        <f t="shared" si="11"/>
        <v>1.4185973869303431E-2</v>
      </c>
      <c r="H43" s="20">
        <f t="shared" si="11"/>
        <v>9.4863260843808216E-3</v>
      </c>
      <c r="I43" s="20">
        <f t="shared" si="11"/>
        <v>5.0912851003328263E-3</v>
      </c>
      <c r="J43" s="20">
        <f t="shared" si="11"/>
        <v>1.34897297530186E-3</v>
      </c>
      <c r="K43" s="20">
        <f t="shared" si="11"/>
        <v>0</v>
      </c>
      <c r="L43" s="20">
        <f t="shared" si="11"/>
        <v>0</v>
      </c>
      <c r="M43" s="20">
        <f t="shared" si="11"/>
        <v>0</v>
      </c>
      <c r="N43" s="20">
        <f t="shared" si="11"/>
        <v>0</v>
      </c>
      <c r="O43" s="20">
        <f t="shared" si="11"/>
        <v>0</v>
      </c>
      <c r="P43" s="20">
        <f t="shared" si="11"/>
        <v>0</v>
      </c>
      <c r="Q43" s="13"/>
      <c r="R43" s="13"/>
      <c r="S43" s="852">
        <f>IF('Input 5_Product Uptake'!$M$9=0,E43*Ratios!$N$13,E43*Ratios!$N$13*Ratios!$Z$10)</f>
        <v>70.433446824597027</v>
      </c>
      <c r="T43" s="852">
        <f>IF('Input 5_Product Uptake'!$M$9=0,F43*Ratios!$N$13,F43*Ratios!$N$13*Ratios!$Z$10)</f>
        <v>204.16783952952807</v>
      </c>
      <c r="U43" s="852">
        <f>IF('Input 5_Product Uptake'!$M$9=0,G43*Ratios!$N$13,G43*Ratios!$N$13*Ratios!$Z$10)</f>
        <v>290.64941347871684</v>
      </c>
      <c r="V43" s="852">
        <f>IF('Input 5_Product Uptake'!$M$9=0,H43*Ratios!$N$13,H43*Ratios!$N$13*Ratios!$Z$10)</f>
        <v>194.36065073116649</v>
      </c>
      <c r="W43" s="852">
        <f>IF('Input 5_Product Uptake'!$M$9=0,I43*Ratios!$N$13,I43*Ratios!$N$13*Ratios!$Z$10)</f>
        <v>104.31282630984623</v>
      </c>
      <c r="X43" s="852">
        <f>IF('Input 5_Product Uptake'!$M$9=0,J43*Ratios!$N$13,J43*Ratios!$N$13*Ratios!$Z$10)</f>
        <v>27.638441159019084</v>
      </c>
      <c r="Y43" s="852">
        <f>IF('Input 5_Product Uptake'!$M$9=0,K43*Ratios!$N$13,K43*Ratios!$N$13*Ratios!$Z$10)</f>
        <v>0</v>
      </c>
      <c r="Z43" s="852">
        <f>IF('Input 5_Product Uptake'!$M$9=0,L43*Ratios!$N$13,L43*Ratios!$N$13*Ratios!$Z$10)</f>
        <v>0</v>
      </c>
      <c r="AA43" s="852">
        <f>IF('Input 5_Product Uptake'!$M$9=0,M43*Ratios!$N$13,M43*Ratios!$N$13*Ratios!$Z$10)</f>
        <v>0</v>
      </c>
      <c r="AB43" s="852">
        <f>IF('Input 5_Product Uptake'!$M$9=0,N43*Ratios!$N$13,N43*Ratios!$N$13*Ratios!$Z$10)</f>
        <v>0</v>
      </c>
      <c r="AC43" s="852">
        <f>IF('Input 5_Product Uptake'!$M$9=0,O43*Ratios!$N$13,O43*Ratios!$N$13*Ratios!$Z$10)</f>
        <v>0</v>
      </c>
      <c r="AD43" s="852">
        <f>IF('Input 5_Product Uptake'!$M$9=0,P43*Ratios!$N$13,P43*Ratios!$N$13*Ratios!$Z$10)</f>
        <v>0</v>
      </c>
      <c r="AE43" s="13"/>
      <c r="AF43" s="849">
        <f>Ratios!$P$13*E43</f>
        <v>478.95679719472861</v>
      </c>
      <c r="AG43" s="849">
        <f>Ratios!$P$13*F43</f>
        <v>1388.368437437884</v>
      </c>
      <c r="AH43" s="849">
        <f>Ratios!$P$13*G43</f>
        <v>1976.4546314617912</v>
      </c>
      <c r="AI43" s="849">
        <f>Ratios!$P$13*H43</f>
        <v>1321.6782504867194</v>
      </c>
      <c r="AJ43" s="849">
        <f>Ratios!$P$13*I43</f>
        <v>709.34107938966133</v>
      </c>
      <c r="AK43" s="849">
        <f>Ratios!$P$13*J43</f>
        <v>187.94507231691881</v>
      </c>
      <c r="AL43" s="849">
        <f>Ratios!$P$13*K43</f>
        <v>0</v>
      </c>
      <c r="AM43" s="849">
        <f>Ratios!$P$13*L43</f>
        <v>0</v>
      </c>
      <c r="AN43" s="849">
        <f>Ratios!$P$13*M43</f>
        <v>0</v>
      </c>
      <c r="AO43" s="849">
        <f>Ratios!$P$13*N43</f>
        <v>0</v>
      </c>
      <c r="AP43" s="849">
        <f>Ratios!$P$13*O43</f>
        <v>0</v>
      </c>
      <c r="AQ43" s="849">
        <f>Ratios!$P$13*P43</f>
        <v>0</v>
      </c>
      <c r="AR43" s="13"/>
      <c r="AS43" s="275">
        <f t="shared" si="12"/>
        <v>70.433446824597027</v>
      </c>
      <c r="AT43" s="275">
        <f t="shared" si="9"/>
        <v>204.16783952952807</v>
      </c>
      <c r="AU43" s="275">
        <f t="shared" si="9"/>
        <v>290.64941347871684</v>
      </c>
      <c r="AV43" s="275">
        <f t="shared" si="9"/>
        <v>194.36065073116649</v>
      </c>
      <c r="AW43" s="275">
        <f t="shared" si="9"/>
        <v>104.31282630984623</v>
      </c>
      <c r="AX43" s="275">
        <f t="shared" si="9"/>
        <v>27.638441159019084</v>
      </c>
      <c r="AY43" s="275">
        <f t="shared" si="9"/>
        <v>0</v>
      </c>
      <c r="AZ43" s="275">
        <f t="shared" si="9"/>
        <v>0</v>
      </c>
      <c r="BA43" s="275">
        <f t="shared" si="9"/>
        <v>0</v>
      </c>
      <c r="BB43" s="275">
        <f t="shared" si="9"/>
        <v>0</v>
      </c>
      <c r="BC43" s="275">
        <f t="shared" si="9"/>
        <v>0</v>
      </c>
      <c r="BD43" s="275">
        <f t="shared" si="9"/>
        <v>0</v>
      </c>
      <c r="BE43" s="276"/>
      <c r="BF43" s="557">
        <f>IF($B41=0,1,IF(AND(BF42&gt;0,$B41&lt;='Input 4_RSV Season'!$AG$27-1),BF42+1,0))</f>
        <v>0</v>
      </c>
      <c r="BG43" s="549">
        <f>IF(AND($BF43&gt;0,$BF43&lt;='Input 6_Product Efficacy'!$Q$9/30),SUM($AS41:$BD41),0)</f>
        <v>0</v>
      </c>
      <c r="BH43" s="554">
        <f>IF(AND($BF43&gt;0,$BF43&gt;'Input 6_Product Efficacy'!$Q$9/30),SUM($AS41:$BD41),0)</f>
        <v>0</v>
      </c>
      <c r="BI43" s="593"/>
      <c r="BK43" s="549">
        <f>IF(AND($BF43&gt;0,$BF43&lt;='Input 6_Product Efficacy'!$Q$12/30),SUM($AS41:$BD41),0)</f>
        <v>0</v>
      </c>
      <c r="BL43" s="554">
        <f>IF(AND($BF43&gt;0,$BF43&gt;'Input 6_Product Efficacy'!$Q$12/30),SUM($AS41:$BD41),0)</f>
        <v>0</v>
      </c>
      <c r="BM43" s="276"/>
      <c r="BN43" s="276"/>
      <c r="BO43" s="276"/>
      <c r="BP43" s="93"/>
      <c r="BQ43" s="35">
        <f t="shared" si="13"/>
        <v>478.95679719472861</v>
      </c>
      <c r="BR43" s="35">
        <f t="shared" si="10"/>
        <v>1388.368437437884</v>
      </c>
      <c r="BS43" s="35">
        <f t="shared" si="10"/>
        <v>1976.4546314617912</v>
      </c>
      <c r="BT43" s="35">
        <f t="shared" si="10"/>
        <v>1321.6782504867194</v>
      </c>
      <c r="BU43" s="35">
        <f t="shared" si="10"/>
        <v>709.34107938966133</v>
      </c>
      <c r="BV43" s="35">
        <f t="shared" si="10"/>
        <v>187.94507231691881</v>
      </c>
      <c r="BW43" s="35">
        <f t="shared" si="10"/>
        <v>0</v>
      </c>
      <c r="BX43" s="35">
        <f t="shared" si="10"/>
        <v>0</v>
      </c>
      <c r="BY43" s="35">
        <f t="shared" si="10"/>
        <v>0</v>
      </c>
      <c r="BZ43" s="35">
        <f t="shared" si="10"/>
        <v>0</v>
      </c>
      <c r="CA43" s="35">
        <f t="shared" si="10"/>
        <v>0</v>
      </c>
      <c r="CB43" s="35">
        <f t="shared" si="10"/>
        <v>0</v>
      </c>
      <c r="CC43" s="244"/>
      <c r="CD43" s="557">
        <f>IF($B41=0,1,IF(AND(CD42&gt;0,$B41&lt;='Input 4_RSV Season'!$AG$27-1),CD42+1,0))</f>
        <v>0</v>
      </c>
      <c r="CE43" s="549">
        <f>IF(AND($CD43&gt;0,$CD43&lt;='Input 6_Product Efficacy'!$Q$12/30),SUM($BQ41:$CB41),0)</f>
        <v>0</v>
      </c>
      <c r="CF43" s="554">
        <f>IF(AND($CD43&gt;0,$CD43&gt;'Input 6_Product Efficacy'!$Q$12/30),SUM($BQ41:$CB41),0)</f>
        <v>0</v>
      </c>
      <c r="CH43" s="565">
        <f>IF(AND($CD43&gt;0,$CD43&gt;'Input 6_Product Efficacy'!$Q$15/30),SUM($BQ41:$CB41),0)</f>
        <v>0</v>
      </c>
    </row>
    <row r="44" spans="2:87" x14ac:dyDescent="0.3">
      <c r="B44" s="26">
        <v>11</v>
      </c>
      <c r="C44" s="245">
        <f>'Input 2_RSV Rates'!M21*'Input 3_Clinical Severity'!$N$11</f>
        <v>27.8</v>
      </c>
      <c r="D44" s="13"/>
      <c r="E44" s="20">
        <f t="shared" si="11"/>
        <v>4.7310994065122092E-3</v>
      </c>
      <c r="F44" s="20">
        <f t="shared" si="11"/>
        <v>1.371419954545944E-2</v>
      </c>
      <c r="G44" s="20">
        <f t="shared" si="11"/>
        <v>1.9523270968645319E-2</v>
      </c>
      <c r="H44" s="20">
        <f t="shared" si="11"/>
        <v>1.305543886860331E-2</v>
      </c>
      <c r="I44" s="20">
        <f t="shared" si="11"/>
        <v>7.0068181083788412E-3</v>
      </c>
      <c r="J44" s="20">
        <f t="shared" si="11"/>
        <v>1.8565073620490946E-3</v>
      </c>
      <c r="K44" s="20">
        <f t="shared" si="11"/>
        <v>0</v>
      </c>
      <c r="L44" s="20">
        <f t="shared" si="11"/>
        <v>0</v>
      </c>
      <c r="M44" s="20">
        <f t="shared" si="11"/>
        <v>0</v>
      </c>
      <c r="N44" s="20">
        <f t="shared" si="11"/>
        <v>0</v>
      </c>
      <c r="O44" s="20">
        <f t="shared" si="11"/>
        <v>0</v>
      </c>
      <c r="P44" s="20">
        <f t="shared" si="11"/>
        <v>0</v>
      </c>
      <c r="Q44" s="13"/>
      <c r="R44" s="13"/>
      <c r="S44" s="852">
        <f>IF('Input 5_Product Uptake'!$M$9=0,E44*Ratios!$N$13,E44*Ratios!$N$13*Ratios!$Z$10)</f>
        <v>96.93315949127711</v>
      </c>
      <c r="T44" s="852">
        <f>IF('Input 5_Product Uptake'!$M$9=0,F44*Ratios!$N$13,F44*Ratios!$N$13*Ratios!$Z$10)</f>
        <v>280.98346232281591</v>
      </c>
      <c r="U44" s="852">
        <f>IF('Input 5_Product Uptake'!$M$9=0,G44*Ratios!$N$13,G44*Ratios!$N$13*Ratios!$Z$10)</f>
        <v>400.00265815387775</v>
      </c>
      <c r="V44" s="852">
        <f>IF('Input 5_Product Uptake'!$M$9=0,H44*Ratios!$N$13,H44*Ratios!$N$13*Ratios!$Z$10)</f>
        <v>267.48644011516973</v>
      </c>
      <c r="W44" s="852">
        <f>IF('Input 5_Product Uptake'!$M$9=0,I44*Ratios!$N$13,I44*Ratios!$N$13*Ratios!$Z$10)</f>
        <v>143.55923620860028</v>
      </c>
      <c r="X44" s="852">
        <f>IF('Input 5_Product Uptake'!$M$9=0,J44*Ratios!$N$13,J44*Ratios!$N$13*Ratios!$Z$10)</f>
        <v>38.037062585184685</v>
      </c>
      <c r="Y44" s="852">
        <f>IF('Input 5_Product Uptake'!$M$9=0,K44*Ratios!$N$13,K44*Ratios!$N$13*Ratios!$Z$10)</f>
        <v>0</v>
      </c>
      <c r="Z44" s="852">
        <f>IF('Input 5_Product Uptake'!$M$9=0,L44*Ratios!$N$13,L44*Ratios!$N$13*Ratios!$Z$10)</f>
        <v>0</v>
      </c>
      <c r="AA44" s="852">
        <f>IF('Input 5_Product Uptake'!$M$9=0,M44*Ratios!$N$13,M44*Ratios!$N$13*Ratios!$Z$10)</f>
        <v>0</v>
      </c>
      <c r="AB44" s="852">
        <f>IF('Input 5_Product Uptake'!$M$9=0,N44*Ratios!$N$13,N44*Ratios!$N$13*Ratios!$Z$10)</f>
        <v>0</v>
      </c>
      <c r="AC44" s="852">
        <f>IF('Input 5_Product Uptake'!$M$9=0,O44*Ratios!$N$13,O44*Ratios!$N$13*Ratios!$Z$10)</f>
        <v>0</v>
      </c>
      <c r="AD44" s="852">
        <f>IF('Input 5_Product Uptake'!$M$9=0,P44*Ratios!$N$13,P44*Ratios!$N$13*Ratios!$Z$10)</f>
        <v>0</v>
      </c>
      <c r="AE44" s="13"/>
      <c r="AF44" s="849">
        <f>Ratios!$P$13*E44</f>
        <v>659.15836445611171</v>
      </c>
      <c r="AG44" s="849">
        <f>Ratios!$P$13*F44</f>
        <v>1910.7248792461969</v>
      </c>
      <c r="AH44" s="849">
        <f>Ratios!$P$13*G44</f>
        <v>2720.0712254771192</v>
      </c>
      <c r="AI44" s="849">
        <f>Ratios!$P$13*H44</f>
        <v>1818.9433348282573</v>
      </c>
      <c r="AJ44" s="849">
        <f>Ratios!$P$13*I44</f>
        <v>976.22188153626666</v>
      </c>
      <c r="AK44" s="849">
        <f>Ratios!$P$13*J44</f>
        <v>258.65707972328431</v>
      </c>
      <c r="AL44" s="849">
        <f>Ratios!$P$13*K44</f>
        <v>0</v>
      </c>
      <c r="AM44" s="849">
        <f>Ratios!$P$13*L44</f>
        <v>0</v>
      </c>
      <c r="AN44" s="849">
        <f>Ratios!$P$13*M44</f>
        <v>0</v>
      </c>
      <c r="AO44" s="849">
        <f>Ratios!$P$13*N44</f>
        <v>0</v>
      </c>
      <c r="AP44" s="849">
        <f>Ratios!$P$13*O44</f>
        <v>0</v>
      </c>
      <c r="AQ44" s="849">
        <f>Ratios!$P$13*P44</f>
        <v>0</v>
      </c>
      <c r="AR44" s="13"/>
      <c r="AS44" s="275">
        <f t="shared" si="12"/>
        <v>96.93315949127711</v>
      </c>
      <c r="AT44" s="275">
        <f t="shared" si="9"/>
        <v>280.98346232281591</v>
      </c>
      <c r="AU44" s="275">
        <f t="shared" si="9"/>
        <v>400.00265815387775</v>
      </c>
      <c r="AV44" s="275">
        <f t="shared" si="9"/>
        <v>267.48644011516973</v>
      </c>
      <c r="AW44" s="275">
        <f t="shared" si="9"/>
        <v>143.55923620860028</v>
      </c>
      <c r="AX44" s="275">
        <f t="shared" si="9"/>
        <v>38.037062585184685</v>
      </c>
      <c r="AY44" s="275">
        <f t="shared" si="9"/>
        <v>0</v>
      </c>
      <c r="AZ44" s="275">
        <f t="shared" si="9"/>
        <v>0</v>
      </c>
      <c r="BA44" s="275">
        <f t="shared" si="9"/>
        <v>0</v>
      </c>
      <c r="BB44" s="275">
        <f t="shared" si="9"/>
        <v>0</v>
      </c>
      <c r="BC44" s="275">
        <f t="shared" si="9"/>
        <v>0</v>
      </c>
      <c r="BD44" s="275">
        <f t="shared" si="9"/>
        <v>0</v>
      </c>
      <c r="BE44" s="276"/>
      <c r="BF44" s="557">
        <f>IF($B42=0,1,IF(AND(BF43&gt;0,$B42&lt;='Input 4_RSV Season'!$AG$27-1),BF43+1,0))</f>
        <v>0</v>
      </c>
      <c r="BG44" s="549">
        <f>IF(AND($BF44&gt;0,$BF44&lt;='Input 6_Product Efficacy'!$Q$9/30),SUM($AS42:$BD42),0)</f>
        <v>0</v>
      </c>
      <c r="BH44" s="554">
        <f>IF(AND($BF44&gt;0,$BF44&gt;'Input 6_Product Efficacy'!$Q$9/30),SUM($AS42:$BD42),0)</f>
        <v>0</v>
      </c>
      <c r="BI44" s="593"/>
      <c r="BK44" s="549">
        <f>IF(AND($BF44&gt;0,$BF44&lt;='Input 6_Product Efficacy'!$Q$12/30),SUM($AS42:$BD42),0)</f>
        <v>0</v>
      </c>
      <c r="BL44" s="554">
        <f>IF(AND($BF44&gt;0,$BF44&gt;'Input 6_Product Efficacy'!$Q$12/30),SUM($AS42:$BD42),0)</f>
        <v>0</v>
      </c>
      <c r="BM44" s="280"/>
      <c r="BN44" s="280"/>
      <c r="BO44" s="280"/>
      <c r="BP44" s="34"/>
      <c r="BQ44" s="35">
        <f t="shared" si="13"/>
        <v>659.15836445611171</v>
      </c>
      <c r="BR44" s="35">
        <f t="shared" si="10"/>
        <v>1910.7248792461969</v>
      </c>
      <c r="BS44" s="35">
        <f t="shared" si="10"/>
        <v>2720.0712254771192</v>
      </c>
      <c r="BT44" s="35">
        <f t="shared" si="10"/>
        <v>1818.9433348282573</v>
      </c>
      <c r="BU44" s="35">
        <f t="shared" si="10"/>
        <v>976.22188153626666</v>
      </c>
      <c r="BV44" s="35">
        <f t="shared" si="10"/>
        <v>258.65707972328431</v>
      </c>
      <c r="BW44" s="35">
        <f t="shared" si="10"/>
        <v>0</v>
      </c>
      <c r="BX44" s="35">
        <f t="shared" si="10"/>
        <v>0</v>
      </c>
      <c r="BY44" s="35">
        <f t="shared" si="10"/>
        <v>0</v>
      </c>
      <c r="BZ44" s="35">
        <f t="shared" si="10"/>
        <v>0</v>
      </c>
      <c r="CA44" s="35">
        <f t="shared" si="10"/>
        <v>0</v>
      </c>
      <c r="CB44" s="35">
        <f t="shared" si="10"/>
        <v>0</v>
      </c>
      <c r="CC44" s="46"/>
      <c r="CD44" s="557">
        <f>IF($B42=0,1,IF(AND(CD43&gt;0,$B42&lt;='Input 4_RSV Season'!$AG$27-1),CD43+1,0))</f>
        <v>0</v>
      </c>
      <c r="CE44" s="549">
        <f>IF(AND($CD44&gt;0,$CD44&lt;='Input 6_Product Efficacy'!$Q$12/30),SUM($BQ42:$CB42),0)</f>
        <v>0</v>
      </c>
      <c r="CF44" s="554">
        <f>IF(AND($CD44&gt;0,$CD44&gt;'Input 6_Product Efficacy'!$Q$12/30),SUM($BQ42:$CB42),0)</f>
        <v>0</v>
      </c>
      <c r="CH44" s="565">
        <f>IF(AND($CD44&gt;0,$CD44&gt;'Input 6_Product Efficacy'!$Q$15/30),SUM($BQ42:$CB42),0)</f>
        <v>0</v>
      </c>
    </row>
    <row r="45" spans="2:87" ht="15" thickBot="1" x14ac:dyDescent="0.35">
      <c r="B45" s="114"/>
      <c r="C45" s="101"/>
      <c r="D45" s="13"/>
      <c r="E45" s="246"/>
      <c r="F45" s="246"/>
      <c r="G45" s="246"/>
      <c r="H45" s="246"/>
      <c r="I45" s="246"/>
      <c r="J45" s="246"/>
      <c r="K45" s="43"/>
      <c r="L45" s="43"/>
      <c r="M45" s="43"/>
      <c r="N45" s="43"/>
      <c r="O45" s="43"/>
      <c r="P45" s="43"/>
      <c r="Q45" s="13"/>
      <c r="R45" s="13"/>
      <c r="S45" s="850"/>
      <c r="T45" s="850"/>
      <c r="U45" s="850"/>
      <c r="V45" s="850"/>
      <c r="W45" s="850"/>
      <c r="X45" s="850"/>
      <c r="Y45" s="850"/>
      <c r="Z45" s="850"/>
      <c r="AA45" s="850"/>
      <c r="AB45" s="850"/>
      <c r="AC45" s="850"/>
      <c r="AD45" s="850"/>
      <c r="AE45" s="13"/>
      <c r="AF45" s="851"/>
      <c r="AG45" s="851"/>
      <c r="AH45" s="851"/>
      <c r="AI45" s="851"/>
      <c r="AJ45" s="851"/>
      <c r="AK45" s="851"/>
      <c r="AL45" s="851"/>
      <c r="AM45" s="851"/>
      <c r="AN45" s="851"/>
      <c r="AO45" s="851"/>
      <c r="AP45" s="851"/>
      <c r="AQ45" s="851"/>
      <c r="AR45" s="13"/>
      <c r="AS45" s="2" t="s">
        <v>275</v>
      </c>
      <c r="AT45" s="614">
        <f>BG50</f>
        <v>0.66577963120654016</v>
      </c>
      <c r="AU45" s="32"/>
      <c r="AV45" s="32"/>
      <c r="AW45" s="47" t="s">
        <v>22</v>
      </c>
      <c r="AX45" s="48">
        <f>SUM(AS33:BD44)</f>
        <v>20488.506193264846</v>
      </c>
      <c r="AY45" s="48"/>
      <c r="AZ45" s="48"/>
      <c r="BA45" s="48"/>
      <c r="BB45" s="48"/>
      <c r="BC45" s="48"/>
      <c r="BD45" s="48"/>
      <c r="BE45" s="48"/>
      <c r="BF45" s="557">
        <f>IF($B43=0,1,IF(AND(BF44&gt;0,$B43&lt;='Input 4_RSV Season'!$AG$27-1),BF44+1,0))</f>
        <v>0</v>
      </c>
      <c r="BG45" s="549">
        <f>IF(AND($BF45&gt;0,$BF45&lt;='Input 6_Product Efficacy'!$Q$9/30),SUM($AS43:$BD43),0)</f>
        <v>0</v>
      </c>
      <c r="BH45" s="554">
        <f>IF(AND($BF45&gt;0,$BF45&gt;'Input 6_Product Efficacy'!$Q$9/30),SUM($AS43:$BD43),0)</f>
        <v>0</v>
      </c>
      <c r="BI45" s="593"/>
      <c r="BK45" s="549">
        <f>IF(AND($BF45&gt;0,$BF45&lt;='Input 6_Product Efficacy'!$Q$12/30),SUM($AS43:$BD43),0)</f>
        <v>0</v>
      </c>
      <c r="BL45" s="554">
        <f>IF(AND($BF45&gt;0,$BF45&gt;'Input 6_Product Efficacy'!$Q$12/30),SUM($AS43:$BD43),0)</f>
        <v>0</v>
      </c>
      <c r="BM45" s="48"/>
      <c r="BN45" s="48"/>
      <c r="BO45" s="48"/>
      <c r="BP45" s="32"/>
      <c r="BQ45" s="47" t="s">
        <v>35</v>
      </c>
      <c r="BR45" s="614">
        <f>SUM(BV46:BV47)</f>
        <v>4.4807535427121237E-2</v>
      </c>
      <c r="BS45" s="32"/>
      <c r="BT45" s="32"/>
      <c r="BU45" s="47" t="s">
        <v>23</v>
      </c>
      <c r="BV45" s="48">
        <f>SUM(BQ33:CB44)</f>
        <v>139324.56450794524</v>
      </c>
      <c r="BW45" s="48"/>
      <c r="BX45" s="48"/>
      <c r="BY45" s="510" t="s">
        <v>278</v>
      </c>
      <c r="BZ45" s="510" t="s">
        <v>279</v>
      </c>
      <c r="CA45" s="510" t="s">
        <v>280</v>
      </c>
      <c r="CB45" s="48"/>
      <c r="CC45" s="36"/>
      <c r="CD45" s="557">
        <f>IF($B43=0,1,IF(AND(CD44&gt;0,$B43&lt;='Input 4_RSV Season'!$AG$27-1),CD44+1,0))</f>
        <v>0</v>
      </c>
      <c r="CE45" s="549">
        <f>IF(AND($CD45&gt;0,$CD45&lt;='Input 6_Product Efficacy'!$Q$12/30),SUM($BQ43:$CB43),0)</f>
        <v>0</v>
      </c>
      <c r="CF45" s="554">
        <f>IF(AND($CD45&gt;0,$CD45&gt;'Input 6_Product Efficacy'!$Q$12/30),SUM($BQ43:$CB43),0)</f>
        <v>0</v>
      </c>
      <c r="CH45" s="565">
        <f>IF(AND($CD45&gt;0,$CD45&gt;'Input 6_Product Efficacy'!$Q$15/30),SUM($BQ43:$CB43),0)</f>
        <v>0</v>
      </c>
    </row>
    <row r="46" spans="2:87" x14ac:dyDescent="0.3">
      <c r="B46" s="115" t="s">
        <v>247</v>
      </c>
      <c r="C46" s="115" t="s">
        <v>250</v>
      </c>
      <c r="D46" s="13"/>
      <c r="E46" s="246"/>
      <c r="F46" s="246"/>
      <c r="G46" s="246"/>
      <c r="H46" s="246"/>
      <c r="I46" s="246"/>
      <c r="J46" s="246"/>
      <c r="K46" s="43"/>
      <c r="L46" s="43"/>
      <c r="M46" s="43"/>
      <c r="N46" s="43"/>
      <c r="O46" s="43"/>
      <c r="P46" s="43"/>
      <c r="Q46" s="13"/>
      <c r="R46" s="13"/>
      <c r="S46" s="850"/>
      <c r="T46" s="850"/>
      <c r="U46" s="850"/>
      <c r="V46" s="850"/>
      <c r="W46" s="850"/>
      <c r="X46" s="850"/>
      <c r="Y46" s="850"/>
      <c r="Z46" s="850"/>
      <c r="AA46" s="850"/>
      <c r="AB46" s="850"/>
      <c r="AC46" s="850"/>
      <c r="AD46" s="850"/>
      <c r="AE46" s="13"/>
      <c r="AF46" s="851"/>
      <c r="AG46" s="851"/>
      <c r="AH46" s="851"/>
      <c r="AI46" s="851"/>
      <c r="AJ46" s="851"/>
      <c r="AK46" s="851"/>
      <c r="AL46" s="851"/>
      <c r="AM46" s="851"/>
      <c r="AN46" s="851"/>
      <c r="AO46" s="851"/>
      <c r="AP46" s="851"/>
      <c r="AQ46" s="851"/>
      <c r="AR46" s="13"/>
      <c r="AT46" s="613" t="s">
        <v>117</v>
      </c>
      <c r="AW46" s="2" t="s">
        <v>291</v>
      </c>
      <c r="AX46" s="70">
        <f>BG49</f>
        <v>0.55998491824682028</v>
      </c>
      <c r="AY46" s="72"/>
      <c r="BD46" s="70"/>
      <c r="BE46" s="70"/>
      <c r="BF46" s="557">
        <f>IF($B44=0,1,IF(AND(BF45&gt;0,$B44&lt;='Input 4_RSV Season'!$AG$27-1),BF45+1,0))</f>
        <v>0</v>
      </c>
      <c r="BG46" s="550">
        <f>IF(AND($BF46&gt;0,$BF46&lt;='Input 6_Product Efficacy'!$Q$9/30),SUM($AS44:$BD44),0)</f>
        <v>0</v>
      </c>
      <c r="BH46" s="555">
        <f>IF(AND($BF46&gt;0,$BF46&gt;'Input 6_Product Efficacy'!$Q$9/30),SUM($AS44:$BD44),0)</f>
        <v>0</v>
      </c>
      <c r="BI46" s="593"/>
      <c r="BK46" s="550">
        <f>IF(AND($BF46&gt;0,$BF46&lt;='Input 6_Product Efficacy'!$Q$12/30),SUM($AS44:$BD44),0)</f>
        <v>0</v>
      </c>
      <c r="BL46" s="555">
        <f>IF(AND($BF46&gt;0,$BF46&gt;'Input 6_Product Efficacy'!$Q$12/30),SUM($AS44:$BD44),0)</f>
        <v>0</v>
      </c>
      <c r="BM46" s="70"/>
      <c r="BN46" s="70"/>
      <c r="BO46" s="70"/>
      <c r="BR46" s="613" t="s">
        <v>277</v>
      </c>
      <c r="BU46" s="2" t="s">
        <v>286</v>
      </c>
      <c r="BV46" s="617">
        <f>IF('Input 6_Product Efficacy'!$Q$15=120,'WiS percent RSV_base'!CA46,IF('Input 6_Product Efficacy'!$Q$15=60,'WiS percent RSV_base'!BZ46,'WiS percent RSV_base'!BY46))</f>
        <v>1.5598255033912049E-2</v>
      </c>
      <c r="BX46" s="510" t="s">
        <v>281</v>
      </c>
      <c r="BY46" s="70">
        <f>SUM(BQ33:CB35)/((1-'Input 1_Population'!$G$24)*'WiS percent RSV_base'!$BB$5)</f>
        <v>1.5598255033912049E-2</v>
      </c>
      <c r="BZ46" s="70">
        <f>SUM(BQ33:CB34)/((1-'Input 1_Population'!$G$24)*'WiS percent RSV_base'!$BB$5)</f>
        <v>8.3683340066698451E-3</v>
      </c>
      <c r="CA46" s="70">
        <f>SUM(BQ33:CB36)/((1-'Input 1_Population'!$G$24)*'WiS percent RSV_base'!$BB$5)</f>
        <v>2.6103609896700446E-2</v>
      </c>
      <c r="CB46" s="70"/>
      <c r="CD46" s="557">
        <f>IF($B44=0,1,IF(AND(CD45&gt;0,$B44&lt;='Input 4_RSV Season'!$AG$27-1),CD45+1,0))</f>
        <v>0</v>
      </c>
      <c r="CE46" s="550">
        <f>IF(AND($CD46&gt;0,$CD46&lt;='Input 6_Product Efficacy'!$Q$12/30),SUM($BQ44:$CB44),0)</f>
        <v>0</v>
      </c>
      <c r="CF46" s="555">
        <f>IF(AND($CD46&gt;0,$CD46&gt;'Input 6_Product Efficacy'!$Q$12/30),SUM($BQ44:$CB44),0)</f>
        <v>0</v>
      </c>
      <c r="CH46" s="566">
        <f>IF(AND($CD46&gt;0,$CD46&gt;'Input 6_Product Efficacy'!$Q$15/30),SUM($BQ44:$CB44),0)</f>
        <v>0</v>
      </c>
    </row>
    <row r="47" spans="2:87" ht="15" thickBot="1" x14ac:dyDescent="0.35">
      <c r="B47" s="24" t="s">
        <v>248</v>
      </c>
      <c r="C47" s="429">
        <f>SUM(C33:C38)/SUM(C33:C44)</f>
        <v>0.62828922566538492</v>
      </c>
      <c r="D47" s="13"/>
      <c r="E47" s="246"/>
      <c r="F47" s="246"/>
      <c r="G47" s="246"/>
      <c r="H47" s="246"/>
      <c r="I47" s="246"/>
      <c r="J47" s="246"/>
      <c r="K47" s="43"/>
      <c r="L47" s="43"/>
      <c r="M47" s="43"/>
      <c r="N47" s="43"/>
      <c r="O47" s="43"/>
      <c r="P47" s="43"/>
      <c r="Q47" s="13"/>
      <c r="R47" s="13"/>
      <c r="S47" s="850"/>
      <c r="T47" s="850"/>
      <c r="U47" s="850"/>
      <c r="V47" s="850"/>
      <c r="W47" s="850"/>
      <c r="X47" s="850"/>
      <c r="Y47" s="850"/>
      <c r="Z47" s="850"/>
      <c r="AA47" s="850"/>
      <c r="AB47" s="850"/>
      <c r="AC47" s="850"/>
      <c r="AD47" s="850"/>
      <c r="AE47" s="13"/>
      <c r="AF47" s="851"/>
      <c r="AG47" s="851"/>
      <c r="AH47" s="851"/>
      <c r="AI47" s="851"/>
      <c r="AJ47" s="851"/>
      <c r="AK47" s="851"/>
      <c r="AL47" s="851"/>
      <c r="AM47" s="851"/>
      <c r="AN47" s="851"/>
      <c r="AO47" s="851"/>
      <c r="AP47" s="851"/>
      <c r="AQ47" s="851"/>
      <c r="AR47" s="13"/>
      <c r="AS47" s="2"/>
      <c r="AT47" s="70"/>
      <c r="AU47" s="494"/>
      <c r="AV47" s="494"/>
      <c r="AW47" s="12" t="s">
        <v>292</v>
      </c>
      <c r="AX47" s="282">
        <f>BH49</f>
        <v>0.10579471295971989</v>
      </c>
      <c r="BD47" s="70"/>
      <c r="BE47" s="70"/>
      <c r="BF47" s="2"/>
      <c r="BG47" s="5">
        <f>SUM(BG35:BG46)</f>
        <v>10827.189397507142</v>
      </c>
      <c r="BH47" s="5">
        <f t="shared" ref="BH47" si="14">SUM(BH35:BH46)</f>
        <v>2045.5182936996798</v>
      </c>
      <c r="BI47" s="5"/>
      <c r="BJ47" s="5"/>
      <c r="BK47" s="5">
        <f t="shared" ref="BK47:BL47" si="15">SUM(BK35:BK46)</f>
        <v>10827.189397507142</v>
      </c>
      <c r="BL47" s="5">
        <f t="shared" si="15"/>
        <v>2045.5182936996798</v>
      </c>
      <c r="BM47" s="70"/>
      <c r="BN47" s="70"/>
      <c r="BO47" s="70"/>
      <c r="BQ47" s="12"/>
      <c r="BR47" s="282"/>
      <c r="BS47" s="494"/>
      <c r="BT47" s="494"/>
      <c r="BU47" s="12" t="s">
        <v>287</v>
      </c>
      <c r="BV47" s="618">
        <f>CH49</f>
        <v>2.9209280393209185E-2</v>
      </c>
      <c r="BW47" s="494"/>
      <c r="BX47" s="509"/>
      <c r="BY47" s="282"/>
      <c r="BZ47" s="282"/>
      <c r="CA47" s="282"/>
      <c r="CB47" s="70"/>
      <c r="CD47" s="2"/>
      <c r="CE47" s="5">
        <f t="shared" ref="CE47:CF47" si="16">SUM(CE35:CE46)</f>
        <v>73626.326557111723</v>
      </c>
      <c r="CF47" s="5">
        <f t="shared" si="16"/>
        <v>13909.79619375216</v>
      </c>
      <c r="CH47" s="5">
        <f t="shared" ref="CH47" si="17">SUM(CH35:CH46)</f>
        <v>57063.329406346529</v>
      </c>
    </row>
    <row r="48" spans="2:87" ht="15" thickBot="1" x14ac:dyDescent="0.35">
      <c r="B48" s="24" t="s">
        <v>249</v>
      </c>
      <c r="C48" s="429">
        <f>SUM(C39:C44)/SUM(C33:C44)</f>
        <v>0.37171077433461508</v>
      </c>
      <c r="D48" s="13"/>
      <c r="E48" s="246"/>
      <c r="F48" s="246"/>
      <c r="G48" s="246"/>
      <c r="H48" s="246"/>
      <c r="I48" s="246"/>
      <c r="J48" s="246"/>
      <c r="K48" s="43"/>
      <c r="L48" s="43"/>
      <c r="M48" s="43"/>
      <c r="N48" s="43"/>
      <c r="O48" s="43"/>
      <c r="P48" s="43"/>
      <c r="Q48" s="13"/>
      <c r="R48" s="13"/>
      <c r="S48" s="850"/>
      <c r="T48" s="850"/>
      <c r="U48" s="850"/>
      <c r="V48" s="850"/>
      <c r="W48" s="850"/>
      <c r="X48" s="850"/>
      <c r="Y48" s="850"/>
      <c r="Z48" s="850"/>
      <c r="AA48" s="850"/>
      <c r="AB48" s="850"/>
      <c r="AC48" s="850"/>
      <c r="AD48" s="850"/>
      <c r="AE48" s="13"/>
      <c r="AF48" s="851"/>
      <c r="AG48" s="851"/>
      <c r="AH48" s="851"/>
      <c r="AI48" s="851"/>
      <c r="AJ48" s="851"/>
      <c r="AK48" s="851"/>
      <c r="AL48" s="851"/>
      <c r="AM48" s="851"/>
      <c r="AN48" s="851"/>
      <c r="AO48" s="851"/>
      <c r="AP48" s="851"/>
      <c r="AQ48" s="851"/>
      <c r="AR48" s="13"/>
      <c r="AS48" s="2"/>
      <c r="AT48" s="70"/>
      <c r="AV48" s="13"/>
      <c r="AW48" s="14"/>
      <c r="AX48" s="70"/>
      <c r="AY48" s="13"/>
      <c r="AZ48" s="510"/>
      <c r="BA48" s="510"/>
      <c r="BB48" s="510"/>
      <c r="BC48" s="510"/>
      <c r="BD48" s="70"/>
      <c r="BE48" s="70"/>
      <c r="BM48" s="70"/>
      <c r="BN48" s="70"/>
      <c r="BO48" s="70"/>
      <c r="BQ48" s="2"/>
      <c r="BR48" s="70"/>
      <c r="BT48" s="13"/>
      <c r="BU48" s="14"/>
      <c r="BV48" s="70"/>
      <c r="BW48" s="13"/>
      <c r="BX48" s="510"/>
      <c r="BY48" s="510"/>
      <c r="BZ48" s="510"/>
      <c r="CA48" s="510"/>
      <c r="CB48" s="70"/>
    </row>
    <row r="49" spans="2:87" ht="16.2" thickBot="1" x14ac:dyDescent="0.35">
      <c r="B49" s="26"/>
      <c r="C49" s="26"/>
      <c r="D49" s="13"/>
      <c r="E49" s="246"/>
      <c r="F49" s="246"/>
      <c r="G49" s="246"/>
      <c r="H49" s="246"/>
      <c r="I49" s="246"/>
      <c r="J49" s="246"/>
      <c r="K49" s="43"/>
      <c r="L49" s="43"/>
      <c r="M49" s="43"/>
      <c r="N49" s="43"/>
      <c r="O49" s="43"/>
      <c r="P49" s="43"/>
      <c r="Q49" s="13"/>
      <c r="R49" s="13"/>
      <c r="S49" s="850"/>
      <c r="T49" s="850"/>
      <c r="U49" s="850"/>
      <c r="V49" s="850"/>
      <c r="W49" s="850"/>
      <c r="X49" s="850"/>
      <c r="Y49" s="850"/>
      <c r="Z49" s="850"/>
      <c r="AA49" s="850"/>
      <c r="AB49" s="850"/>
      <c r="AC49" s="850"/>
      <c r="AD49" s="850"/>
      <c r="AE49" s="13"/>
      <c r="AF49" s="851"/>
      <c r="AG49" s="851"/>
      <c r="AH49" s="851"/>
      <c r="AI49" s="851"/>
      <c r="AJ49" s="851"/>
      <c r="AK49" s="851"/>
      <c r="AL49" s="851"/>
      <c r="AM49" s="851"/>
      <c r="AN49" s="851"/>
      <c r="AO49" s="851"/>
      <c r="AP49" s="851"/>
      <c r="AQ49" s="851"/>
      <c r="AR49" s="13"/>
      <c r="AS49" s="2"/>
      <c r="AT49" s="613" t="s">
        <v>216</v>
      </c>
      <c r="AW49" s="2" t="s">
        <v>291</v>
      </c>
      <c r="AX49" s="70">
        <f>BK49</f>
        <v>0.55998491824682028</v>
      </c>
      <c r="AZ49" s="510"/>
      <c r="BA49" s="70"/>
      <c r="BB49" s="70"/>
      <c r="BC49" s="70"/>
      <c r="BD49" s="70"/>
      <c r="BE49" s="70"/>
      <c r="BG49" s="567">
        <f>BG47/('Input 1_Population'!$G$24*$BB$5)</f>
        <v>0.55998491824682028</v>
      </c>
      <c r="BH49" s="568">
        <f>BH47/('Input 1_Population'!$G$24*$BB$5)</f>
        <v>0.10579471295971989</v>
      </c>
      <c r="BI49" s="568"/>
      <c r="BJ49" s="569"/>
      <c r="BK49" s="580">
        <f>BK47/('Input 1_Population'!$G$24*$BB$5)</f>
        <v>0.55998491824682028</v>
      </c>
      <c r="BL49" s="581">
        <f>BL47/('Input 1_Population'!$G$24*$BB$5)</f>
        <v>0.10579471295971989</v>
      </c>
      <c r="BM49" s="70"/>
      <c r="BN49" s="70"/>
      <c r="BO49" s="70"/>
      <c r="BQ49" s="2"/>
      <c r="BR49" s="613" t="s">
        <v>216</v>
      </c>
      <c r="BU49" s="2" t="s">
        <v>286</v>
      </c>
      <c r="BV49" s="70">
        <f>CE49</f>
        <v>3.7687461266315031E-2</v>
      </c>
      <c r="BX49" s="510"/>
      <c r="BY49" s="70"/>
      <c r="BZ49" s="70"/>
      <c r="CA49" s="70"/>
      <c r="CB49" s="70"/>
      <c r="CE49" s="580">
        <f>CE47/((1-'Input 1_Population'!$G$24)*$BB$5)</f>
        <v>3.7687461266315031E-2</v>
      </c>
      <c r="CF49" s="581">
        <f>CF47/((1-'Input 1_Population'!$G$24)*$BB$5)</f>
        <v>7.1200741608062031E-3</v>
      </c>
      <c r="CH49" s="580">
        <f>CH47/((1-'Input 1_Population'!$G$24)*$BB$5)</f>
        <v>2.9209280393209185E-2</v>
      </c>
    </row>
    <row r="50" spans="2:87" ht="15" thickBot="1" x14ac:dyDescent="0.35">
      <c r="B50" s="26"/>
      <c r="C50" s="26"/>
      <c r="D50" s="13"/>
      <c r="E50" s="246"/>
      <c r="F50" s="246"/>
      <c r="G50" s="246"/>
      <c r="H50" s="246"/>
      <c r="I50" s="246"/>
      <c r="J50" s="246"/>
      <c r="K50" s="43"/>
      <c r="L50" s="43"/>
      <c r="M50" s="43"/>
      <c r="N50" s="43"/>
      <c r="O50" s="43"/>
      <c r="P50" s="43"/>
      <c r="Q50" s="13"/>
      <c r="R50" s="13"/>
      <c r="S50" s="850"/>
      <c r="T50" s="850"/>
      <c r="U50" s="850"/>
      <c r="V50" s="850"/>
      <c r="W50" s="850"/>
      <c r="X50" s="850"/>
      <c r="Y50" s="850"/>
      <c r="Z50" s="850"/>
      <c r="AA50" s="850"/>
      <c r="AB50" s="850"/>
      <c r="AC50" s="850"/>
      <c r="AD50" s="850"/>
      <c r="AE50" s="13"/>
      <c r="AF50" s="851"/>
      <c r="AG50" s="851"/>
      <c r="AH50" s="851"/>
      <c r="AI50" s="851"/>
      <c r="AJ50" s="851"/>
      <c r="AK50" s="851"/>
      <c r="AL50" s="851"/>
      <c r="AM50" s="851"/>
      <c r="AN50" s="851"/>
      <c r="AO50" s="851"/>
      <c r="AP50" s="851"/>
      <c r="AQ50" s="851"/>
      <c r="AR50" s="13"/>
      <c r="AS50" s="2"/>
      <c r="AT50" s="70"/>
      <c r="AU50" s="13"/>
      <c r="AV50" s="13"/>
      <c r="AW50" s="14" t="s">
        <v>292</v>
      </c>
      <c r="AX50" s="282">
        <f>BL49</f>
        <v>0.10579471295971989</v>
      </c>
      <c r="AY50" s="500"/>
      <c r="AZ50" s="510"/>
      <c r="BA50" s="70"/>
      <c r="BB50" s="70"/>
      <c r="BC50" s="70"/>
      <c r="BD50" s="70"/>
      <c r="BE50" s="70"/>
      <c r="BG50" s="1121">
        <f>SUM(BG49:BH49)</f>
        <v>0.66577963120654016</v>
      </c>
      <c r="BH50" s="1121"/>
      <c r="BI50" s="606"/>
      <c r="BK50" s="1121">
        <f>SUM(BK49:BL49)</f>
        <v>0.66577963120654016</v>
      </c>
      <c r="BL50" s="1121"/>
      <c r="BM50" s="70"/>
      <c r="BN50" s="70"/>
      <c r="BO50" s="70"/>
      <c r="BQ50" s="14"/>
      <c r="BR50" s="70"/>
      <c r="BS50" s="13"/>
      <c r="BT50" s="13"/>
      <c r="BU50" s="14" t="s">
        <v>287</v>
      </c>
      <c r="BV50" s="70">
        <f>CF49</f>
        <v>7.1200741608062031E-3</v>
      </c>
      <c r="BW50" s="13"/>
      <c r="BX50" s="510"/>
      <c r="BY50" s="70"/>
      <c r="BZ50" s="70"/>
      <c r="CA50" s="70"/>
      <c r="CB50" s="70"/>
      <c r="CE50" s="598" t="s">
        <v>326</v>
      </c>
      <c r="CF50" s="624">
        <f>SUM(CE49:CF49)</f>
        <v>4.4807535427121237E-2</v>
      </c>
    </row>
    <row r="51" spans="2:87" x14ac:dyDescent="0.3">
      <c r="B51" s="26"/>
      <c r="C51" s="26"/>
      <c r="D51" s="13"/>
      <c r="E51" s="246"/>
      <c r="F51" s="246"/>
      <c r="G51" s="246"/>
      <c r="H51" s="246"/>
      <c r="I51" s="246"/>
      <c r="J51" s="246"/>
      <c r="K51" s="43"/>
      <c r="L51" s="43"/>
      <c r="M51" s="43"/>
      <c r="N51" s="43"/>
      <c r="O51" s="43"/>
      <c r="P51" s="43"/>
      <c r="Q51" s="13"/>
      <c r="R51" s="13"/>
      <c r="S51" s="850"/>
      <c r="T51" s="850"/>
      <c r="U51" s="850"/>
      <c r="V51" s="850"/>
      <c r="W51" s="850"/>
      <c r="X51" s="850"/>
      <c r="Y51" s="850"/>
      <c r="Z51" s="850"/>
      <c r="AA51" s="850"/>
      <c r="AB51" s="850"/>
      <c r="AC51" s="850"/>
      <c r="AD51" s="850"/>
      <c r="AE51" s="13"/>
      <c r="AF51" s="851"/>
      <c r="AG51" s="851"/>
      <c r="AH51" s="851"/>
      <c r="AI51" s="851"/>
      <c r="AJ51" s="851"/>
      <c r="AK51" s="851"/>
      <c r="AL51" s="851"/>
      <c r="AM51" s="851"/>
      <c r="AN51" s="851"/>
      <c r="AO51" s="851"/>
      <c r="AP51" s="851"/>
      <c r="AQ51" s="851"/>
      <c r="AR51" s="13"/>
      <c r="AS51" s="2"/>
      <c r="AT51" s="70"/>
      <c r="AU51" s="13"/>
      <c r="AV51" s="13"/>
      <c r="AW51" s="14"/>
      <c r="AX51" s="70"/>
      <c r="AY51" s="13"/>
      <c r="AZ51" s="510"/>
      <c r="BA51" s="70"/>
      <c r="BB51" s="70"/>
      <c r="BC51" s="70"/>
      <c r="BD51" s="70"/>
      <c r="BE51" s="70"/>
      <c r="BF51" s="13"/>
      <c r="BG51" s="13"/>
      <c r="BH51" s="13"/>
      <c r="BI51" s="13"/>
      <c r="BJ51" s="13"/>
      <c r="BK51" s="13"/>
      <c r="BL51" s="13"/>
      <c r="BM51" s="70"/>
      <c r="BN51" s="70"/>
      <c r="BO51" s="70"/>
      <c r="BP51" s="13"/>
      <c r="BQ51" s="14"/>
      <c r="BR51" s="70"/>
      <c r="BS51" s="13"/>
      <c r="BT51" s="13"/>
      <c r="BU51" s="14"/>
      <c r="BV51" s="70"/>
      <c r="BW51" s="13"/>
      <c r="BX51" s="510"/>
      <c r="BY51" s="70"/>
      <c r="BZ51" s="70"/>
      <c r="CA51" s="70"/>
      <c r="CB51" s="70"/>
      <c r="CD51" s="13"/>
      <c r="CE51" s="13"/>
      <c r="CF51" s="13"/>
    </row>
    <row r="52" spans="2:87" x14ac:dyDescent="0.3">
      <c r="B52" s="26"/>
      <c r="C52" s="26"/>
      <c r="D52" s="13"/>
      <c r="E52" s="246"/>
      <c r="F52" s="246"/>
      <c r="G52" s="246"/>
      <c r="H52" s="246"/>
      <c r="I52" s="246"/>
      <c r="J52" s="246"/>
      <c r="K52" s="43"/>
      <c r="L52" s="43"/>
      <c r="M52" s="43"/>
      <c r="N52" s="43"/>
      <c r="O52" s="43"/>
      <c r="P52" s="43"/>
      <c r="Q52" s="13"/>
      <c r="R52" s="13"/>
      <c r="S52" s="850"/>
      <c r="T52" s="850"/>
      <c r="U52" s="850"/>
      <c r="V52" s="850"/>
      <c r="W52" s="850"/>
      <c r="X52" s="850"/>
      <c r="Y52" s="850"/>
      <c r="Z52" s="850"/>
      <c r="AA52" s="850"/>
      <c r="AB52" s="850"/>
      <c r="AC52" s="850"/>
      <c r="AD52" s="850"/>
      <c r="AE52" s="13"/>
      <c r="AF52" s="851"/>
      <c r="AG52" s="851"/>
      <c r="AH52" s="851"/>
      <c r="AI52" s="851"/>
      <c r="AJ52" s="851"/>
      <c r="AK52" s="851"/>
      <c r="AL52" s="851"/>
      <c r="AM52" s="851"/>
      <c r="AN52" s="851"/>
      <c r="AO52" s="851"/>
      <c r="AP52" s="851"/>
      <c r="AQ52" s="851"/>
      <c r="AR52" s="13"/>
      <c r="AS52" s="2"/>
      <c r="AT52" s="614"/>
      <c r="AU52" s="1"/>
      <c r="AZ52" s="510"/>
      <c r="BA52" s="70"/>
      <c r="BB52" s="70"/>
      <c r="BC52" s="70"/>
      <c r="BD52" s="70"/>
      <c r="BE52" s="70"/>
      <c r="BF52" s="13"/>
      <c r="BG52" s="13"/>
      <c r="BH52" s="13"/>
      <c r="BI52" s="13"/>
      <c r="BJ52" s="13"/>
      <c r="BK52" s="13"/>
      <c r="BL52" s="13"/>
      <c r="BM52" s="70"/>
      <c r="BN52" s="70"/>
      <c r="BO52" s="70"/>
      <c r="BP52" s="13"/>
      <c r="BQ52" s="14"/>
      <c r="BR52" s="614"/>
      <c r="BS52" s="1"/>
      <c r="BU52" s="14"/>
      <c r="BV52" s="70"/>
      <c r="BW52" s="13"/>
      <c r="BX52" s="510"/>
      <c r="BY52" s="70"/>
      <c r="BZ52" s="70"/>
      <c r="CA52" s="70"/>
      <c r="CB52" s="70"/>
      <c r="CD52" s="13"/>
      <c r="CE52" s="13"/>
      <c r="CF52" s="13"/>
    </row>
    <row r="53" spans="2:87" x14ac:dyDescent="0.3">
      <c r="B53" s="26"/>
      <c r="C53" s="26"/>
      <c r="D53" s="13"/>
      <c r="E53" s="246"/>
      <c r="F53" s="246"/>
      <c r="G53" s="246"/>
      <c r="H53" s="246"/>
      <c r="I53" s="246"/>
      <c r="J53" s="246"/>
      <c r="K53" s="43"/>
      <c r="L53" s="43"/>
      <c r="M53" s="43"/>
      <c r="N53" s="43"/>
      <c r="O53" s="43"/>
      <c r="P53" s="43"/>
      <c r="Q53" s="13"/>
      <c r="R53" s="13"/>
      <c r="S53" s="850"/>
      <c r="T53" s="850"/>
      <c r="U53" s="850"/>
      <c r="V53" s="850"/>
      <c r="W53" s="850"/>
      <c r="X53" s="850"/>
      <c r="Y53" s="850"/>
      <c r="Z53" s="850"/>
      <c r="AA53" s="850"/>
      <c r="AB53" s="850"/>
      <c r="AC53" s="850"/>
      <c r="AD53" s="850"/>
      <c r="AE53" s="13"/>
      <c r="AF53" s="851"/>
      <c r="AG53" s="851"/>
      <c r="AH53" s="851"/>
      <c r="AI53" s="851"/>
      <c r="AJ53" s="851"/>
      <c r="AK53" s="851"/>
      <c r="AL53" s="851"/>
      <c r="AM53" s="851"/>
      <c r="AN53" s="851"/>
      <c r="AO53" s="851"/>
      <c r="AP53" s="851"/>
      <c r="AQ53" s="851"/>
      <c r="AR53" s="13"/>
      <c r="AS53" s="2"/>
      <c r="AT53" s="70"/>
      <c r="AU53" s="13"/>
      <c r="AV53" s="13"/>
      <c r="AW53" s="14"/>
      <c r="AX53" s="70"/>
      <c r="AY53" s="13"/>
      <c r="AZ53" s="510"/>
      <c r="BA53" s="70"/>
      <c r="BB53" s="70"/>
      <c r="BC53" s="70"/>
      <c r="BD53" s="70"/>
      <c r="BE53" s="70"/>
      <c r="BF53" s="13"/>
      <c r="BG53" s="13"/>
      <c r="BH53" s="13"/>
      <c r="BI53" s="13"/>
      <c r="BJ53" s="13"/>
      <c r="BK53" s="13"/>
      <c r="BL53" s="13"/>
      <c r="BM53" s="70"/>
      <c r="BN53" s="70"/>
      <c r="BO53" s="70"/>
      <c r="BP53" s="13"/>
      <c r="BQ53" s="14"/>
      <c r="BR53" s="70"/>
      <c r="BS53" s="13"/>
      <c r="BT53" s="13"/>
      <c r="BU53" s="14"/>
      <c r="BV53" s="70"/>
      <c r="BW53" s="13"/>
      <c r="BX53" s="510"/>
      <c r="BY53" s="70"/>
      <c r="BZ53" s="70"/>
      <c r="CA53" s="70"/>
      <c r="CB53" s="70"/>
      <c r="CD53" s="13"/>
      <c r="CE53" s="13"/>
      <c r="CF53" s="13"/>
    </row>
    <row r="54" spans="2:87" x14ac:dyDescent="0.3">
      <c r="B54" s="26"/>
      <c r="C54" s="26"/>
      <c r="D54" s="13"/>
      <c r="E54" s="246"/>
      <c r="F54" s="246"/>
      <c r="G54" s="246"/>
      <c r="H54" s="246"/>
      <c r="I54" s="246"/>
      <c r="J54" s="246"/>
      <c r="K54" s="43"/>
      <c r="L54" s="43"/>
      <c r="M54" s="43"/>
      <c r="N54" s="43"/>
      <c r="O54" s="43"/>
      <c r="P54" s="43"/>
      <c r="Q54" s="13"/>
      <c r="R54" s="13"/>
      <c r="S54" s="850"/>
      <c r="T54" s="850"/>
      <c r="U54" s="850"/>
      <c r="V54" s="850"/>
      <c r="W54" s="850"/>
      <c r="X54" s="850"/>
      <c r="Y54" s="850"/>
      <c r="Z54" s="850"/>
      <c r="AA54" s="850"/>
      <c r="AB54" s="850"/>
      <c r="AC54" s="850"/>
      <c r="AD54" s="850"/>
      <c r="AE54" s="13"/>
      <c r="AF54" s="851"/>
      <c r="AG54" s="851"/>
      <c r="AH54" s="851"/>
      <c r="AI54" s="851"/>
      <c r="AJ54" s="851"/>
      <c r="AK54" s="851"/>
      <c r="AL54" s="851"/>
      <c r="AM54" s="851"/>
      <c r="AN54" s="851"/>
      <c r="AO54" s="851"/>
      <c r="AP54" s="851"/>
      <c r="AQ54" s="851"/>
      <c r="AR54" s="13"/>
      <c r="AS54" s="2"/>
      <c r="AT54" s="70"/>
      <c r="AU54" s="13"/>
      <c r="AV54" s="13"/>
      <c r="AW54" s="14"/>
      <c r="AX54" s="70"/>
      <c r="AY54" s="13"/>
      <c r="AZ54" s="510"/>
      <c r="BA54" s="70"/>
      <c r="BB54" s="70"/>
      <c r="BC54" s="70"/>
      <c r="BD54" s="70"/>
      <c r="BE54" s="70"/>
      <c r="BG54" s="1117" t="s">
        <v>311</v>
      </c>
      <c r="BH54" s="1117"/>
      <c r="BI54" s="1117"/>
      <c r="BJ54" s="1117"/>
      <c r="BK54" s="1117"/>
      <c r="BL54" s="1117"/>
      <c r="BM54" s="70"/>
      <c r="BN54" s="70"/>
      <c r="BO54" s="70"/>
      <c r="BP54" s="13"/>
      <c r="BQ54" s="14"/>
      <c r="BR54" s="70"/>
      <c r="BS54" s="13"/>
      <c r="BT54" s="13"/>
      <c r="BU54" s="14"/>
      <c r="BV54" s="70"/>
      <c r="BW54" s="13"/>
      <c r="BX54" s="510"/>
      <c r="BY54" s="70"/>
      <c r="BZ54" s="70"/>
      <c r="CA54" s="70"/>
      <c r="CB54" s="70"/>
      <c r="CE54" s="1117"/>
      <c r="CF54" s="1117"/>
    </row>
    <row r="55" spans="2:87" x14ac:dyDescent="0.3">
      <c r="B55" s="1135" t="s">
        <v>93</v>
      </c>
      <c r="C55" s="1135"/>
      <c r="D55" s="13"/>
      <c r="E55" s="246"/>
      <c r="F55" s="246"/>
      <c r="G55" s="246"/>
      <c r="H55" s="246"/>
      <c r="I55" s="246"/>
      <c r="J55" s="246"/>
      <c r="K55" s="43"/>
      <c r="L55" s="43"/>
      <c r="M55" s="43"/>
      <c r="N55" s="43"/>
      <c r="O55" s="43"/>
      <c r="P55" s="43"/>
      <c r="Q55" s="13"/>
      <c r="R55" s="13"/>
      <c r="S55" s="850"/>
      <c r="T55" s="850"/>
      <c r="U55" s="850"/>
      <c r="V55" s="850"/>
      <c r="W55" s="850"/>
      <c r="X55" s="850"/>
      <c r="Y55" s="850"/>
      <c r="Z55" s="850"/>
      <c r="AA55" s="850"/>
      <c r="AB55" s="850"/>
      <c r="AC55" s="850"/>
      <c r="AD55" s="850"/>
      <c r="AE55" s="13"/>
      <c r="AF55" s="851"/>
      <c r="AG55" s="851"/>
      <c r="AH55" s="851"/>
      <c r="AI55" s="851"/>
      <c r="AJ55" s="851"/>
      <c r="AK55" s="851"/>
      <c r="AL55" s="851"/>
      <c r="AM55" s="851"/>
      <c r="AN55" s="851"/>
      <c r="AO55" s="851"/>
      <c r="AP55" s="851"/>
      <c r="AQ55" s="851"/>
      <c r="AR55" s="13"/>
      <c r="AS55" s="12"/>
      <c r="AT55" s="616"/>
      <c r="AU55" s="34"/>
      <c r="AV55" s="34"/>
      <c r="AW55" s="12"/>
      <c r="AX55" s="282"/>
      <c r="AY55" s="282"/>
      <c r="AZ55" s="282"/>
      <c r="BA55" s="282"/>
      <c r="BB55" s="282"/>
      <c r="BC55" s="282"/>
      <c r="BD55" s="282"/>
      <c r="BE55" s="70"/>
      <c r="BG55" s="1129" t="s">
        <v>117</v>
      </c>
      <c r="BH55" s="1129"/>
      <c r="BI55" s="527"/>
      <c r="BJ55" s="57"/>
      <c r="BK55" s="1122" t="s">
        <v>216</v>
      </c>
      <c r="BL55" s="1122"/>
      <c r="BM55" s="282"/>
      <c r="BN55" s="282"/>
      <c r="BO55" s="282"/>
      <c r="BP55" s="34"/>
      <c r="BQ55" s="283"/>
      <c r="BR55" s="616"/>
      <c r="BS55" s="494"/>
      <c r="BT55" s="494"/>
      <c r="BU55" s="494"/>
      <c r="BV55" s="494"/>
      <c r="BW55" s="494"/>
      <c r="BX55" s="494"/>
      <c r="BY55" s="494"/>
      <c r="BZ55" s="494"/>
      <c r="CA55" s="494"/>
      <c r="CB55" s="282"/>
      <c r="CC55" s="10"/>
      <c r="CE55" s="1122" t="s">
        <v>216</v>
      </c>
      <c r="CF55" s="1122"/>
      <c r="CH55" s="1122" t="s">
        <v>226</v>
      </c>
      <c r="CI55" s="1122"/>
    </row>
    <row r="56" spans="2:87" ht="15" customHeight="1" x14ac:dyDescent="0.3">
      <c r="B56" s="31" t="s">
        <v>14</v>
      </c>
      <c r="C56" s="31" t="s">
        <v>511</v>
      </c>
      <c r="D56" s="13"/>
      <c r="E56" s="246"/>
      <c r="F56" s="246"/>
      <c r="G56" s="246"/>
      <c r="H56" s="246"/>
      <c r="I56" s="246"/>
      <c r="J56" s="246"/>
      <c r="K56" s="43"/>
      <c r="L56" s="43"/>
      <c r="M56" s="43"/>
      <c r="N56" s="43"/>
      <c r="O56" s="43"/>
      <c r="P56" s="43"/>
      <c r="Q56" s="13"/>
      <c r="R56" s="13"/>
      <c r="S56" s="850"/>
      <c r="T56" s="850"/>
      <c r="U56" s="850"/>
      <c r="V56" s="850"/>
      <c r="W56" s="850"/>
      <c r="X56" s="850"/>
      <c r="Y56" s="850"/>
      <c r="Z56" s="850"/>
      <c r="AA56" s="850"/>
      <c r="AB56" s="850"/>
      <c r="AC56" s="850"/>
      <c r="AD56" s="850"/>
      <c r="AE56" s="13"/>
      <c r="AF56" s="851"/>
      <c r="AG56" s="851"/>
      <c r="AH56" s="851"/>
      <c r="AI56" s="851"/>
      <c r="AJ56" s="851"/>
      <c r="AK56" s="851"/>
      <c r="AL56" s="851"/>
      <c r="AM56" s="851"/>
      <c r="AN56" s="851"/>
      <c r="AO56" s="851"/>
      <c r="AP56" s="851"/>
      <c r="AQ56" s="851"/>
      <c r="AR56" s="13"/>
      <c r="BF56" s="561" t="s">
        <v>314</v>
      </c>
      <c r="BG56" s="1123" t="s">
        <v>312</v>
      </c>
      <c r="BH56" s="1126" t="s">
        <v>313</v>
      </c>
      <c r="BI56" s="725"/>
      <c r="BJ56" s="57"/>
      <c r="BK56" s="1123" t="s">
        <v>312</v>
      </c>
      <c r="BL56" s="1126" t="s">
        <v>313</v>
      </c>
      <c r="CD56" s="561" t="s">
        <v>314</v>
      </c>
      <c r="CE56" s="1123" t="s">
        <v>312</v>
      </c>
      <c r="CF56" s="1126" t="s">
        <v>313</v>
      </c>
      <c r="CH56" s="1140" t="s">
        <v>313</v>
      </c>
      <c r="CI56" s="1140"/>
    </row>
    <row r="57" spans="2:87" x14ac:dyDescent="0.3">
      <c r="B57" s="26">
        <v>0</v>
      </c>
      <c r="C57" s="245">
        <f>'Input 2_RSV Rates'!E10*'Input 3_Clinical Severity'!$H$9</f>
        <v>55.38</v>
      </c>
      <c r="D57" s="13"/>
      <c r="E57" s="20">
        <f>$C57/SUM($C$57:$C$68)*E$7</f>
        <v>3.4068721163392842E-3</v>
      </c>
      <c r="F57" s="20">
        <f t="shared" ref="F57:P57" si="18">$C57/SUM($C$57:$C$68)*F$7</f>
        <v>9.8756166410341271E-3</v>
      </c>
      <c r="G57" s="20">
        <f t="shared" si="18"/>
        <v>1.4058738100336794E-2</v>
      </c>
      <c r="H57" s="20">
        <f t="shared" si="18"/>
        <v>9.4012420425565058E-3</v>
      </c>
      <c r="I57" s="20">
        <f t="shared" si="18"/>
        <v>5.0456207292619779E-3</v>
      </c>
      <c r="J57" s="20">
        <f t="shared" si="18"/>
        <v>1.3368738684369343E-3</v>
      </c>
      <c r="K57" s="20">
        <f t="shared" si="18"/>
        <v>0</v>
      </c>
      <c r="L57" s="20">
        <f t="shared" si="18"/>
        <v>0</v>
      </c>
      <c r="M57" s="20">
        <f t="shared" si="18"/>
        <v>0</v>
      </c>
      <c r="N57" s="20">
        <f t="shared" si="18"/>
        <v>0</v>
      </c>
      <c r="O57" s="20">
        <f t="shared" si="18"/>
        <v>0</v>
      </c>
      <c r="P57" s="20">
        <f t="shared" si="18"/>
        <v>0</v>
      </c>
      <c r="Q57" s="13"/>
      <c r="R57" s="13"/>
      <c r="S57" s="852">
        <f>IF('Input 5_Product Uptake'!$M$9=0,E57*Ratios!$N$16,E57*Ratios!$N$16*Ratios!$Z$10)</f>
        <v>193.09922203693978</v>
      </c>
      <c r="T57" s="852">
        <f>IF('Input 5_Product Uptake'!$M$9=0,F57*Ratios!$N$16,F57*Ratios!$N$16*Ratios!$Z$10)</f>
        <v>559.74331451214186</v>
      </c>
      <c r="U57" s="852">
        <f>IF('Input 5_Product Uptake'!$M$9=0,G57*Ratios!$N$16,G57*Ratios!$N$16*Ratios!$Z$10)</f>
        <v>796.83982764610596</v>
      </c>
      <c r="V57" s="852">
        <f>IF('Input 5_Product Uptake'!$M$9=0,H57*Ratios!$N$16,H57*Ratios!$N$16*Ratios!$Z$10)</f>
        <v>532.85608106396035</v>
      </c>
      <c r="W57" s="852">
        <f>IF('Input 5_Product Uptake'!$M$9=0,I57*Ratios!$N$16,I57*Ratios!$N$16*Ratios!$Z$10)</f>
        <v>285.98239213065762</v>
      </c>
      <c r="X57" s="852">
        <f>IF('Input 5_Product Uptake'!$M$9=0,J57*Ratios!$N$16,J57*Ratios!$N$16*Ratios!$Z$10)</f>
        <v>75.773112444875096</v>
      </c>
      <c r="Y57" s="852">
        <f>IF('Input 5_Product Uptake'!$M$9=0,K57*Ratios!$N$16,K57*Ratios!$N$16*Ratios!$Z$10)</f>
        <v>0</v>
      </c>
      <c r="Z57" s="852">
        <f>IF('Input 5_Product Uptake'!$M$9=0,L57*Ratios!$N$16,L57*Ratios!$N$16*Ratios!$Z$10)</f>
        <v>0</v>
      </c>
      <c r="AA57" s="852">
        <f>IF('Input 5_Product Uptake'!$M$9=0,M57*Ratios!$N$16,M57*Ratios!$N$16*Ratios!$Z$10)</f>
        <v>0</v>
      </c>
      <c r="AB57" s="852">
        <f>IF('Input 5_Product Uptake'!$M$9=0,N57*Ratios!$N$16,N57*Ratios!$N$16*Ratios!$Z$10)</f>
        <v>0</v>
      </c>
      <c r="AC57" s="852">
        <f>IF('Input 5_Product Uptake'!$M$9=0,O57*Ratios!$N$16,O57*Ratios!$N$16*Ratios!$Z$10)</f>
        <v>0</v>
      </c>
      <c r="AD57" s="852">
        <f>IF('Input 5_Product Uptake'!$M$9=0,P57*Ratios!$N$16,P57*Ratios!$N$16*Ratios!$Z$10)</f>
        <v>0</v>
      </c>
      <c r="AE57" s="45"/>
      <c r="AF57" s="849">
        <f>Ratios!$P$16*E57</f>
        <v>1313.1003677546569</v>
      </c>
      <c r="AG57" s="849">
        <f>Ratios!$P$16*F57</f>
        <v>3806.3289141242585</v>
      </c>
      <c r="AH57" s="849">
        <f>Ratios!$P$16*G57</f>
        <v>5418.6167074432678</v>
      </c>
      <c r="AI57" s="849">
        <f>Ratios!$P$16*H57</f>
        <v>3623.4921540571545</v>
      </c>
      <c r="AJ57" s="849">
        <f>Ratios!$P$16*I57</f>
        <v>1944.7182661682893</v>
      </c>
      <c r="AK57" s="849">
        <f>Ratios!$P$16*J57</f>
        <v>515.26723291638439</v>
      </c>
      <c r="AL57" s="849">
        <f>Ratios!$P$16*K57</f>
        <v>0</v>
      </c>
      <c r="AM57" s="849">
        <f>Ratios!$P$16*L57</f>
        <v>0</v>
      </c>
      <c r="AN57" s="849">
        <f>Ratios!$P$16*M57</f>
        <v>0</v>
      </c>
      <c r="AO57" s="849">
        <f>Ratios!$P$16*N57</f>
        <v>0</v>
      </c>
      <c r="AP57" s="849">
        <f>Ratios!$P$16*O57</f>
        <v>0</v>
      </c>
      <c r="AQ57" s="849">
        <f>Ratios!$P$16*P57</f>
        <v>0</v>
      </c>
      <c r="AR57" s="13"/>
      <c r="AS57" s="275">
        <f>S57</f>
        <v>193.09922203693978</v>
      </c>
      <c r="AT57" s="275">
        <f t="shared" ref="AT57:BD68" si="19">T57</f>
        <v>559.74331451214186</v>
      </c>
      <c r="AU57" s="275">
        <f t="shared" si="19"/>
        <v>796.83982764610596</v>
      </c>
      <c r="AV57" s="275">
        <f t="shared" si="19"/>
        <v>532.85608106396035</v>
      </c>
      <c r="AW57" s="275">
        <f t="shared" si="19"/>
        <v>285.98239213065762</v>
      </c>
      <c r="AX57" s="275">
        <f t="shared" si="19"/>
        <v>75.773112444875096</v>
      </c>
      <c r="AY57" s="275">
        <f t="shared" si="19"/>
        <v>0</v>
      </c>
      <c r="AZ57" s="275">
        <f t="shared" si="19"/>
        <v>0</v>
      </c>
      <c r="BA57" s="275">
        <f t="shared" si="19"/>
        <v>0</v>
      </c>
      <c r="BB57" s="275">
        <f t="shared" si="19"/>
        <v>0</v>
      </c>
      <c r="BC57" s="275">
        <f t="shared" si="19"/>
        <v>0</v>
      </c>
      <c r="BD57" s="275">
        <f t="shared" si="19"/>
        <v>0</v>
      </c>
      <c r="BE57" s="275"/>
      <c r="BF57" s="573" t="s">
        <v>317</v>
      </c>
      <c r="BG57" s="1124"/>
      <c r="BH57" s="1127"/>
      <c r="BI57" s="725"/>
      <c r="BJ57" s="57"/>
      <c r="BK57" s="1124"/>
      <c r="BL57" s="1127"/>
      <c r="BM57" s="275"/>
      <c r="BN57" s="275"/>
      <c r="BO57" s="275"/>
      <c r="BP57" s="32"/>
      <c r="BQ57" s="35">
        <f>AF57</f>
        <v>1313.1003677546569</v>
      </c>
      <c r="BR57" s="35">
        <f t="shared" ref="BR57:CB68" si="20">AG57</f>
        <v>3806.3289141242585</v>
      </c>
      <c r="BS57" s="35">
        <f t="shared" si="20"/>
        <v>5418.6167074432678</v>
      </c>
      <c r="BT57" s="35">
        <f t="shared" si="20"/>
        <v>3623.4921540571545</v>
      </c>
      <c r="BU57" s="35">
        <f t="shared" si="20"/>
        <v>1944.7182661682893</v>
      </c>
      <c r="BV57" s="35">
        <f t="shared" si="20"/>
        <v>515.26723291638439</v>
      </c>
      <c r="BW57" s="35">
        <f t="shared" si="20"/>
        <v>0</v>
      </c>
      <c r="BX57" s="35">
        <f t="shared" si="20"/>
        <v>0</v>
      </c>
      <c r="BY57" s="35">
        <f t="shared" si="20"/>
        <v>0</v>
      </c>
      <c r="BZ57" s="35">
        <f t="shared" si="20"/>
        <v>0</v>
      </c>
      <c r="CA57" s="35">
        <f t="shared" si="20"/>
        <v>0</v>
      </c>
      <c r="CB57" s="35">
        <f t="shared" si="20"/>
        <v>0</v>
      </c>
      <c r="CC57" s="35"/>
      <c r="CD57" s="573" t="s">
        <v>317</v>
      </c>
      <c r="CE57" s="1124"/>
      <c r="CF57" s="1127"/>
      <c r="CH57" s="1139"/>
      <c r="CI57" s="1139"/>
    </row>
    <row r="58" spans="2:87" x14ac:dyDescent="0.3">
      <c r="B58" s="26">
        <v>1</v>
      </c>
      <c r="C58" s="245">
        <f>'Input 2_RSV Rates'!E11*'Input 3_Clinical Severity'!$H$9</f>
        <v>122.13500000000001</v>
      </c>
      <c r="D58" s="13"/>
      <c r="E58" s="20">
        <f t="shared" ref="E58:P68" si="21">$C58/SUM($C$57:$C$68)*E$7</f>
        <v>7.5135125664337037E-3</v>
      </c>
      <c r="F58" s="20">
        <f t="shared" si="21"/>
        <v>2.1779675667257189E-2</v>
      </c>
      <c r="G58" s="20">
        <f t="shared" si="21"/>
        <v>3.1005127805789713E-2</v>
      </c>
      <c r="H58" s="20">
        <f t="shared" si="21"/>
        <v>2.07334903731968E-2</v>
      </c>
      <c r="I58" s="20">
        <f t="shared" si="21"/>
        <v>1.1127607218642321E-2</v>
      </c>
      <c r="J58" s="20">
        <f t="shared" si="21"/>
        <v>2.9483403741701873E-3</v>
      </c>
      <c r="K58" s="20">
        <f t="shared" si="21"/>
        <v>0</v>
      </c>
      <c r="L58" s="20">
        <f t="shared" si="21"/>
        <v>0</v>
      </c>
      <c r="M58" s="20">
        <f t="shared" si="21"/>
        <v>0</v>
      </c>
      <c r="N58" s="20">
        <f t="shared" si="21"/>
        <v>0</v>
      </c>
      <c r="O58" s="20">
        <f t="shared" si="21"/>
        <v>0</v>
      </c>
      <c r="P58" s="20">
        <f t="shared" si="21"/>
        <v>0</v>
      </c>
      <c r="Q58" s="13"/>
      <c r="R58" s="13"/>
      <c r="S58" s="852">
        <f>IF('Input 5_Product Uptake'!$M$9=0,E58*Ratios!$N$16,E58*Ratios!$N$16*Ratios!$Z$10)</f>
        <v>425.8608429664435</v>
      </c>
      <c r="T58" s="852">
        <f>IF('Input 5_Product Uptake'!$M$9=0,F58*Ratios!$N$16,F58*Ratios!$N$16*Ratios!$Z$10)</f>
        <v>1234.4573802445007</v>
      </c>
      <c r="U58" s="852">
        <f>IF('Input 5_Product Uptake'!$M$9=0,G58*Ratios!$N$16,G58*Ratios!$N$16*Ratios!$Z$10)</f>
        <v>1757.3498076843111</v>
      </c>
      <c r="V58" s="852">
        <f>IF('Input 5_Product Uptake'!$M$9=0,H58*Ratios!$N$16,H58*Ratios!$N$16*Ratios!$Z$10)</f>
        <v>1175.1603008441098</v>
      </c>
      <c r="W58" s="852">
        <f>IF('Input 5_Product Uptake'!$M$9=0,I58*Ratios!$N$16,I58*Ratios!$N$16*Ratios!$Z$10)</f>
        <v>630.70529907688467</v>
      </c>
      <c r="X58" s="852">
        <f>IF('Input 5_Product Uptake'!$M$9=0,J58*Ratios!$N$16,J58*Ratios!$N$16*Ratios!$Z$10)</f>
        <v>167.10995103746515</v>
      </c>
      <c r="Y58" s="852">
        <f>IF('Input 5_Product Uptake'!$M$9=0,K58*Ratios!$N$16,K58*Ratios!$N$16*Ratios!$Z$10)</f>
        <v>0</v>
      </c>
      <c r="Z58" s="852">
        <f>IF('Input 5_Product Uptake'!$M$9=0,L58*Ratios!$N$16,L58*Ratios!$N$16*Ratios!$Z$10)</f>
        <v>0</v>
      </c>
      <c r="AA58" s="852">
        <f>IF('Input 5_Product Uptake'!$M$9=0,M58*Ratios!$N$16,M58*Ratios!$N$16*Ratios!$Z$10)</f>
        <v>0</v>
      </c>
      <c r="AB58" s="852">
        <f>IF('Input 5_Product Uptake'!$M$9=0,N58*Ratios!$N$16,N58*Ratios!$N$16*Ratios!$Z$10)</f>
        <v>0</v>
      </c>
      <c r="AC58" s="852">
        <f>IF('Input 5_Product Uptake'!$M$9=0,O58*Ratios!$N$16,O58*Ratios!$N$16*Ratios!$Z$10)</f>
        <v>0</v>
      </c>
      <c r="AD58" s="852">
        <f>IF('Input 5_Product Uptake'!$M$9=0,P58*Ratios!$N$16,P58*Ratios!$N$16*Ratios!$Z$10)</f>
        <v>0</v>
      </c>
      <c r="AE58" s="45"/>
      <c r="AF58" s="849">
        <f>Ratios!$P$16*E58</f>
        <v>2895.9103180880288</v>
      </c>
      <c r="AG58" s="849">
        <f>Ratios!$P$16*F58</f>
        <v>8394.4742131918792</v>
      </c>
      <c r="AH58" s="849">
        <f>Ratios!$P$16*G58</f>
        <v>11950.212198692372</v>
      </c>
      <c r="AI58" s="849">
        <f>Ratios!$P$16*H58</f>
        <v>7991.2461942175978</v>
      </c>
      <c r="AJ58" s="849">
        <f>Ratios!$P$16*I58</f>
        <v>4288.8798381810047</v>
      </c>
      <c r="AK58" s="849">
        <f>Ratios!$P$16*J58</f>
        <v>1136.369871654796</v>
      </c>
      <c r="AL58" s="849">
        <f>Ratios!$P$16*K58</f>
        <v>0</v>
      </c>
      <c r="AM58" s="849">
        <f>Ratios!$P$16*L58</f>
        <v>0</v>
      </c>
      <c r="AN58" s="849">
        <f>Ratios!$P$16*M58</f>
        <v>0</v>
      </c>
      <c r="AO58" s="849">
        <f>Ratios!$P$16*N58</f>
        <v>0</v>
      </c>
      <c r="AP58" s="849">
        <f>Ratios!$P$16*O58</f>
        <v>0</v>
      </c>
      <c r="AQ58" s="849">
        <f>Ratios!$P$16*P58</f>
        <v>0</v>
      </c>
      <c r="AR58" s="13"/>
      <c r="AS58" s="275">
        <f t="shared" ref="AS58:AS68" si="22">S58</f>
        <v>425.8608429664435</v>
      </c>
      <c r="AT58" s="275">
        <f t="shared" si="19"/>
        <v>1234.4573802445007</v>
      </c>
      <c r="AU58" s="275">
        <f t="shared" si="19"/>
        <v>1757.3498076843111</v>
      </c>
      <c r="AV58" s="275">
        <f t="shared" si="19"/>
        <v>1175.1603008441098</v>
      </c>
      <c r="AW58" s="275">
        <f t="shared" si="19"/>
        <v>630.70529907688467</v>
      </c>
      <c r="AX58" s="275">
        <f t="shared" si="19"/>
        <v>167.10995103746515</v>
      </c>
      <c r="AY58" s="275">
        <f t="shared" si="19"/>
        <v>0</v>
      </c>
      <c r="AZ58" s="275">
        <f t="shared" si="19"/>
        <v>0</v>
      </c>
      <c r="BA58" s="275">
        <f t="shared" si="19"/>
        <v>0</v>
      </c>
      <c r="BB58" s="275">
        <f t="shared" si="19"/>
        <v>0</v>
      </c>
      <c r="BC58" s="275">
        <f t="shared" si="19"/>
        <v>0</v>
      </c>
      <c r="BD58" s="275">
        <f t="shared" si="19"/>
        <v>0</v>
      </c>
      <c r="BE58" s="275"/>
      <c r="BF58" s="518"/>
      <c r="BG58" s="1125"/>
      <c r="BH58" s="1128"/>
      <c r="BI58" s="725"/>
      <c r="BJ58" s="57"/>
      <c r="BK58" s="1125"/>
      <c r="BL58" s="1128"/>
      <c r="BM58" s="275"/>
      <c r="BN58" s="275"/>
      <c r="BO58" s="275"/>
      <c r="BP58" s="32"/>
      <c r="BQ58" s="35">
        <f t="shared" ref="BQ58:BQ68" si="23">AF58</f>
        <v>2895.9103180880288</v>
      </c>
      <c r="BR58" s="35">
        <f t="shared" si="20"/>
        <v>8394.4742131918792</v>
      </c>
      <c r="BS58" s="35">
        <f t="shared" si="20"/>
        <v>11950.212198692372</v>
      </c>
      <c r="BT58" s="35">
        <f t="shared" si="20"/>
        <v>7991.2461942175978</v>
      </c>
      <c r="BU58" s="35">
        <f t="shared" si="20"/>
        <v>4288.8798381810047</v>
      </c>
      <c r="BV58" s="35">
        <f t="shared" si="20"/>
        <v>1136.369871654796</v>
      </c>
      <c r="BW58" s="35">
        <f t="shared" si="20"/>
        <v>0</v>
      </c>
      <c r="BX58" s="35">
        <f t="shared" si="20"/>
        <v>0</v>
      </c>
      <c r="BY58" s="35">
        <f t="shared" si="20"/>
        <v>0</v>
      </c>
      <c r="BZ58" s="35">
        <f t="shared" si="20"/>
        <v>0</v>
      </c>
      <c r="CA58" s="35">
        <f t="shared" si="20"/>
        <v>0</v>
      </c>
      <c r="CB58" s="35">
        <f t="shared" si="20"/>
        <v>0</v>
      </c>
      <c r="CC58" s="35"/>
      <c r="CD58" s="518"/>
      <c r="CE58" s="1125"/>
      <c r="CF58" s="1128"/>
      <c r="CH58" s="1139"/>
      <c r="CI58" s="1139"/>
    </row>
    <row r="59" spans="2:87" x14ac:dyDescent="0.3">
      <c r="B59" s="26">
        <v>2</v>
      </c>
      <c r="C59" s="245">
        <f>'Input 2_RSV Rates'!E12*'Input 3_Clinical Severity'!$H$9</f>
        <v>152.22999999999999</v>
      </c>
      <c r="D59" s="13"/>
      <c r="E59" s="20">
        <f t="shared" si="21"/>
        <v>9.364899643740144E-3</v>
      </c>
      <c r="F59" s="20">
        <f t="shared" si="21"/>
        <v>2.7146354663499909E-2</v>
      </c>
      <c r="G59" s="20">
        <f t="shared" si="21"/>
        <v>3.8645028909611231E-2</v>
      </c>
      <c r="H59" s="20">
        <f t="shared" si="21"/>
        <v>2.5842381295384194E-2</v>
      </c>
      <c r="I59" s="20">
        <f t="shared" si="21"/>
        <v>1.386953491541262E-2</v>
      </c>
      <c r="J59" s="20">
        <f t="shared" si="21"/>
        <v>3.6748340374170188E-3</v>
      </c>
      <c r="K59" s="20">
        <f t="shared" si="21"/>
        <v>0</v>
      </c>
      <c r="L59" s="20">
        <f t="shared" si="21"/>
        <v>0</v>
      </c>
      <c r="M59" s="20">
        <f t="shared" si="21"/>
        <v>0</v>
      </c>
      <c r="N59" s="20">
        <f t="shared" si="21"/>
        <v>0</v>
      </c>
      <c r="O59" s="20">
        <f t="shared" si="21"/>
        <v>0</v>
      </c>
      <c r="P59" s="20">
        <f t="shared" si="21"/>
        <v>0</v>
      </c>
      <c r="Q59" s="13"/>
      <c r="R59" s="13"/>
      <c r="S59" s="852">
        <f>IF('Input 5_Product Uptake'!$M$9=0,E59*Ratios!$N$16,E59*Ratios!$N$16*Ratios!$Z$10)</f>
        <v>530.79621832219823</v>
      </c>
      <c r="T59" s="852">
        <f>IF('Input 5_Product Uptake'!$M$9=0,F59*Ratios!$N$16,F59*Ratios!$N$16*Ratios!$Z$10)</f>
        <v>1538.6371391871314</v>
      </c>
      <c r="U59" s="852">
        <f>IF('Input 5_Product Uptake'!$M$9=0,G59*Ratios!$N$16,G59*Ratios!$N$16*Ratios!$Z$10)</f>
        <v>2190.3742680131222</v>
      </c>
      <c r="V59" s="852">
        <f>IF('Input 5_Product Uptake'!$M$9=0,H59*Ratios!$N$16,H59*Ratios!$N$16*Ratios!$Z$10)</f>
        <v>1464.7288049903698</v>
      </c>
      <c r="W59" s="852">
        <f>IF('Input 5_Product Uptake'!$M$9=0,I59*Ratios!$N$16,I59*Ratios!$N$16*Ratios!$Z$10)</f>
        <v>786.11591827464815</v>
      </c>
      <c r="X59" s="852">
        <f>IF('Input 5_Product Uptake'!$M$9=0,J59*Ratios!$N$16,J59*Ratios!$N$16*Ratios!$Z$10)</f>
        <v>208.28712364541957</v>
      </c>
      <c r="Y59" s="852">
        <f>IF('Input 5_Product Uptake'!$M$9=0,K59*Ratios!$N$16,K59*Ratios!$N$16*Ratios!$Z$10)</f>
        <v>0</v>
      </c>
      <c r="Z59" s="852">
        <f>IF('Input 5_Product Uptake'!$M$9=0,L59*Ratios!$N$16,L59*Ratios!$N$16*Ratios!$Z$10)</f>
        <v>0</v>
      </c>
      <c r="AA59" s="852">
        <f>IF('Input 5_Product Uptake'!$M$9=0,M59*Ratios!$N$16,M59*Ratios!$N$16*Ratios!$Z$10)</f>
        <v>0</v>
      </c>
      <c r="AB59" s="852">
        <f>IF('Input 5_Product Uptake'!$M$9=0,N59*Ratios!$N$16,N59*Ratios!$N$16*Ratios!$Z$10)</f>
        <v>0</v>
      </c>
      <c r="AC59" s="852">
        <f>IF('Input 5_Product Uptake'!$M$9=0,O59*Ratios!$N$16,O59*Ratios!$N$16*Ratios!$Z$10)</f>
        <v>0</v>
      </c>
      <c r="AD59" s="852">
        <f>IF('Input 5_Product Uptake'!$M$9=0,P59*Ratios!$N$16,P59*Ratios!$N$16*Ratios!$Z$10)</f>
        <v>0</v>
      </c>
      <c r="AE59" s="45"/>
      <c r="AF59" s="849">
        <f>Ratios!$P$16*E59</f>
        <v>3609.4848137105705</v>
      </c>
      <c r="AG59" s="849">
        <f>Ratios!$P$16*F59</f>
        <v>10462.936991642033</v>
      </c>
      <c r="AH59" s="849">
        <f>Ratios!$P$16*G59</f>
        <v>14894.836066704382</v>
      </c>
      <c r="AI59" s="849">
        <f>Ratios!$P$16*H59</f>
        <v>9960.350498593727</v>
      </c>
      <c r="AJ59" s="849">
        <f>Ratios!$P$16*I59</f>
        <v>5345.6926987865418</v>
      </c>
      <c r="AK59" s="849">
        <f>Ratios!$P$16*J59</f>
        <v>1416.3801167725026</v>
      </c>
      <c r="AL59" s="849">
        <f>Ratios!$P$16*K59</f>
        <v>0</v>
      </c>
      <c r="AM59" s="849">
        <f>Ratios!$P$16*L59</f>
        <v>0</v>
      </c>
      <c r="AN59" s="849">
        <f>Ratios!$P$16*M59</f>
        <v>0</v>
      </c>
      <c r="AO59" s="849">
        <f>Ratios!$P$16*N59</f>
        <v>0</v>
      </c>
      <c r="AP59" s="849">
        <f>Ratios!$P$16*O59</f>
        <v>0</v>
      </c>
      <c r="AQ59" s="849">
        <f>Ratios!$P$16*P59</f>
        <v>0</v>
      </c>
      <c r="AR59" s="13"/>
      <c r="AS59" s="275">
        <f t="shared" si="22"/>
        <v>530.79621832219823</v>
      </c>
      <c r="AT59" s="275">
        <f t="shared" si="19"/>
        <v>1538.6371391871314</v>
      </c>
      <c r="AU59" s="275">
        <f t="shared" si="19"/>
        <v>2190.3742680131222</v>
      </c>
      <c r="AV59" s="275">
        <f t="shared" si="19"/>
        <v>1464.7288049903698</v>
      </c>
      <c r="AW59" s="275">
        <f t="shared" si="19"/>
        <v>786.11591827464815</v>
      </c>
      <c r="AX59" s="275">
        <f t="shared" si="19"/>
        <v>208.28712364541957</v>
      </c>
      <c r="AY59" s="275">
        <f t="shared" si="19"/>
        <v>0</v>
      </c>
      <c r="AZ59" s="275">
        <f t="shared" si="19"/>
        <v>0</v>
      </c>
      <c r="BA59" s="275">
        <f t="shared" si="19"/>
        <v>0</v>
      </c>
      <c r="BB59" s="275">
        <f t="shared" si="19"/>
        <v>0</v>
      </c>
      <c r="BC59" s="275">
        <f t="shared" si="19"/>
        <v>0</v>
      </c>
      <c r="BD59" s="275">
        <f t="shared" si="19"/>
        <v>0</v>
      </c>
      <c r="BE59" s="275"/>
      <c r="BF59" s="557">
        <f>IF($B57=0,1,IF(AND(BF58&gt;0,$B57&lt;='Input 4_RSV Season'!$AG$27-1),BF58+1,0))</f>
        <v>1</v>
      </c>
      <c r="BG59" s="549">
        <f>IF(AND($BF59&gt;0,$BF59&lt;='Input 6_Product Efficacy'!$Q$9/30),SUM($AS57:$BD57),0)</f>
        <v>2444.2939498346805</v>
      </c>
      <c r="BH59" s="554">
        <f>IF(AND($BF59&gt;0,$BF59&gt;'Input 6_Product Efficacy'!$Q$9/30),SUM($AS57:$BD57),0)</f>
        <v>0</v>
      </c>
      <c r="BI59" s="593"/>
      <c r="BK59" s="549">
        <f>IF(AND($BF59&gt;0,$BF59&lt;='Input 6_Product Efficacy'!$Q$12/30),SUM($AS57:$BD57),0)</f>
        <v>2444.2939498346805</v>
      </c>
      <c r="BL59" s="554">
        <f>IF(AND($BF59&gt;0,$BF59&gt;'Input 6_Product Efficacy'!$Q$12/30),SUM($AS57:$BD57),0)</f>
        <v>0</v>
      </c>
      <c r="BM59" s="275"/>
      <c r="BN59" s="275"/>
      <c r="BO59" s="275"/>
      <c r="BP59" s="32"/>
      <c r="BQ59" s="35">
        <f t="shared" si="23"/>
        <v>3609.4848137105705</v>
      </c>
      <c r="BR59" s="35">
        <f t="shared" si="20"/>
        <v>10462.936991642033</v>
      </c>
      <c r="BS59" s="35">
        <f t="shared" si="20"/>
        <v>14894.836066704382</v>
      </c>
      <c r="BT59" s="35">
        <f t="shared" si="20"/>
        <v>9960.350498593727</v>
      </c>
      <c r="BU59" s="35">
        <f t="shared" si="20"/>
        <v>5345.6926987865418</v>
      </c>
      <c r="BV59" s="35">
        <f t="shared" si="20"/>
        <v>1416.3801167725026</v>
      </c>
      <c r="BW59" s="35">
        <f t="shared" si="20"/>
        <v>0</v>
      </c>
      <c r="BX59" s="35">
        <f t="shared" si="20"/>
        <v>0</v>
      </c>
      <c r="BY59" s="35">
        <f t="shared" si="20"/>
        <v>0</v>
      </c>
      <c r="BZ59" s="35">
        <f t="shared" si="20"/>
        <v>0</v>
      </c>
      <c r="CA59" s="35">
        <f t="shared" si="20"/>
        <v>0</v>
      </c>
      <c r="CB59" s="35">
        <f t="shared" si="20"/>
        <v>0</v>
      </c>
      <c r="CC59" s="35"/>
      <c r="CD59" s="557">
        <f>IF($B57=0,1,IF(AND(CD58&gt;0,$B57&lt;='Input 4_RSV Season'!$AG$27-1),CD58+1,0))</f>
        <v>1</v>
      </c>
      <c r="CE59" s="549">
        <f>IF(AND($CD59&gt;0,$CD59&lt;='Input 6_Product Efficacy'!$Q$12/30),SUM($BQ57:$CB57),0)</f>
        <v>16621.52364246401</v>
      </c>
      <c r="CF59" s="554">
        <f>IF(AND($CD59&gt;0,$CD59&gt;'Input 6_Product Efficacy'!$Q$12/30),SUM($BQ57:$CB57),0)</f>
        <v>0</v>
      </c>
      <c r="CH59" s="564">
        <f>IF(AND($CD59&gt;0,$CD59&gt;'Input 6_Product Efficacy'!$Q$15/30),SUM($BQ57:$CB57),0)</f>
        <v>0</v>
      </c>
    </row>
    <row r="60" spans="2:87" x14ac:dyDescent="0.3">
      <c r="B60" s="26">
        <v>3</v>
      </c>
      <c r="C60" s="245">
        <f>'Input 2_RSV Rates'!E13*'Input 3_Clinical Severity'!$H$9</f>
        <v>151.19</v>
      </c>
      <c r="D60" s="13"/>
      <c r="E60" s="20">
        <f t="shared" si="21"/>
        <v>9.3009208246539622E-3</v>
      </c>
      <c r="F60" s="20">
        <f t="shared" si="21"/>
        <v>2.6960897073996924E-2</v>
      </c>
      <c r="G60" s="20">
        <f t="shared" si="21"/>
        <v>3.8381015048572047E-2</v>
      </c>
      <c r="H60" s="20">
        <f t="shared" si="21"/>
        <v>2.5665832149045109E-2</v>
      </c>
      <c r="I60" s="20">
        <f t="shared" si="21"/>
        <v>1.3774781474487513E-2</v>
      </c>
      <c r="J60" s="20">
        <f t="shared" si="21"/>
        <v>3.6497284248642125E-3</v>
      </c>
      <c r="K60" s="20">
        <f t="shared" si="21"/>
        <v>0</v>
      </c>
      <c r="L60" s="20">
        <f t="shared" si="21"/>
        <v>0</v>
      </c>
      <c r="M60" s="20">
        <f t="shared" si="21"/>
        <v>0</v>
      </c>
      <c r="N60" s="20">
        <f t="shared" si="21"/>
        <v>0</v>
      </c>
      <c r="O60" s="20">
        <f t="shared" si="21"/>
        <v>0</v>
      </c>
      <c r="P60" s="20">
        <f t="shared" si="21"/>
        <v>0</v>
      </c>
      <c r="Q60" s="13"/>
      <c r="R60" s="13"/>
      <c r="S60" s="852">
        <f>IF('Input 5_Product Uptake'!$M$9=0,E60*Ratios!$N$16,E60*Ratios!$N$16*Ratios!$Z$10)</f>
        <v>527.16994185202111</v>
      </c>
      <c r="T60" s="852">
        <f>IF('Input 5_Product Uptake'!$M$9=0,F60*Ratios!$N$16,F60*Ratios!$N$16*Ratios!$Z$10)</f>
        <v>1528.1255276469976</v>
      </c>
      <c r="U60" s="852">
        <f>IF('Input 5_Product Uptake'!$M$9=0,G60*Ratios!$N$16,G60*Ratios!$N$16*Ratios!$Z$10)</f>
        <v>2175.410139794416</v>
      </c>
      <c r="V60" s="852">
        <f>IF('Input 5_Product Uptake'!$M$9=0,H60*Ratios!$N$16,H60*Ratios!$N$16*Ratios!$Z$10)</f>
        <v>1454.7221180220329</v>
      </c>
      <c r="W60" s="852">
        <f>IF('Input 5_Product Uptake'!$M$9=0,I60*Ratios!$N$16,I60*Ratios!$N$16*Ratios!$Z$10)</f>
        <v>780.74535692008192</v>
      </c>
      <c r="X60" s="852">
        <f>IF('Input 5_Product Uptake'!$M$9=0,J60*Ratios!$N$16,J60*Ratios!$N$16*Ratios!$Z$10)</f>
        <v>206.86415439762848</v>
      </c>
      <c r="Y60" s="852">
        <f>IF('Input 5_Product Uptake'!$M$9=0,K60*Ratios!$N$16,K60*Ratios!$N$16*Ratios!$Z$10)</f>
        <v>0</v>
      </c>
      <c r="Z60" s="852">
        <f>IF('Input 5_Product Uptake'!$M$9=0,L60*Ratios!$N$16,L60*Ratios!$N$16*Ratios!$Z$10)</f>
        <v>0</v>
      </c>
      <c r="AA60" s="852">
        <f>IF('Input 5_Product Uptake'!$M$9=0,M60*Ratios!$N$16,M60*Ratios!$N$16*Ratios!$Z$10)</f>
        <v>0</v>
      </c>
      <c r="AB60" s="852">
        <f>IF('Input 5_Product Uptake'!$M$9=0,N60*Ratios!$N$16,N60*Ratios!$N$16*Ratios!$Z$10)</f>
        <v>0</v>
      </c>
      <c r="AC60" s="852">
        <f>IF('Input 5_Product Uptake'!$M$9=0,O60*Ratios!$N$16,O60*Ratios!$N$16*Ratios!$Z$10)</f>
        <v>0</v>
      </c>
      <c r="AD60" s="852">
        <f>IF('Input 5_Product Uptake'!$M$9=0,P60*Ratios!$N$16,P60*Ratios!$N$16*Ratios!$Z$10)</f>
        <v>0</v>
      </c>
      <c r="AE60" s="45"/>
      <c r="AF60" s="849">
        <f>Ratios!$P$16*E60</f>
        <v>3584.825651874803</v>
      </c>
      <c r="AG60" s="849">
        <f>Ratios!$P$16*F60</f>
        <v>10391.456636447212</v>
      </c>
      <c r="AH60" s="849">
        <f>Ratios!$P$16*G60</f>
        <v>14793.078006470707</v>
      </c>
      <c r="AI60" s="849">
        <f>Ratios!$P$16*H60</f>
        <v>9892.3036975785708</v>
      </c>
      <c r="AJ60" s="849">
        <f>Ratios!$P$16*I60</f>
        <v>5309.1721679664806</v>
      </c>
      <c r="AK60" s="849">
        <f>Ratios!$P$16*J60</f>
        <v>1406.7037368116314</v>
      </c>
      <c r="AL60" s="849">
        <f>Ratios!$P$16*K60</f>
        <v>0</v>
      </c>
      <c r="AM60" s="849">
        <f>Ratios!$P$16*L60</f>
        <v>0</v>
      </c>
      <c r="AN60" s="849">
        <f>Ratios!$P$16*M60</f>
        <v>0</v>
      </c>
      <c r="AO60" s="849">
        <f>Ratios!$P$16*N60</f>
        <v>0</v>
      </c>
      <c r="AP60" s="849">
        <f>Ratios!$P$16*O60</f>
        <v>0</v>
      </c>
      <c r="AQ60" s="849">
        <f>Ratios!$P$16*P60</f>
        <v>0</v>
      </c>
      <c r="AR60" s="13"/>
      <c r="AS60" s="275">
        <f t="shared" si="22"/>
        <v>527.16994185202111</v>
      </c>
      <c r="AT60" s="275">
        <f t="shared" si="19"/>
        <v>1528.1255276469976</v>
      </c>
      <c r="AU60" s="275">
        <f t="shared" si="19"/>
        <v>2175.410139794416</v>
      </c>
      <c r="AV60" s="275">
        <f t="shared" si="19"/>
        <v>1454.7221180220329</v>
      </c>
      <c r="AW60" s="275">
        <f t="shared" si="19"/>
        <v>780.74535692008192</v>
      </c>
      <c r="AX60" s="275">
        <f t="shared" si="19"/>
        <v>206.86415439762848</v>
      </c>
      <c r="AY60" s="275">
        <f t="shared" si="19"/>
        <v>0</v>
      </c>
      <c r="AZ60" s="275">
        <f t="shared" si="19"/>
        <v>0</v>
      </c>
      <c r="BA60" s="275">
        <f t="shared" si="19"/>
        <v>0</v>
      </c>
      <c r="BB60" s="275">
        <f t="shared" si="19"/>
        <v>0</v>
      </c>
      <c r="BC60" s="275">
        <f t="shared" si="19"/>
        <v>0</v>
      </c>
      <c r="BD60" s="275">
        <f t="shared" si="19"/>
        <v>0</v>
      </c>
      <c r="BE60" s="275"/>
      <c r="BF60" s="557">
        <f>IF($B58=0,1,IF(AND(BF59&gt;0,$B58&lt;='Input 4_RSV Season'!$AG$27-1),BF59+1,0))</f>
        <v>2</v>
      </c>
      <c r="BG60" s="549">
        <f>IF(AND($BF60&gt;0,$BF60&lt;='Input 6_Product Efficacy'!$Q$9/30),SUM($AS58:$BD58),0)</f>
        <v>5390.6435818537147</v>
      </c>
      <c r="BH60" s="554">
        <f>IF(AND($BF60&gt;0,$BF60&gt;'Input 6_Product Efficacy'!$Q$9/30),SUM($AS58:$BD58),0)</f>
        <v>0</v>
      </c>
      <c r="BI60" s="593"/>
      <c r="BK60" s="549">
        <f>IF(AND($BF60&gt;0,$BF60&lt;='Input 6_Product Efficacy'!$Q$12/30),SUM($AS58:$BD58),0)</f>
        <v>5390.6435818537147</v>
      </c>
      <c r="BL60" s="554">
        <f>IF(AND($BF60&gt;0,$BF60&gt;'Input 6_Product Efficacy'!$Q$12/30),SUM($AS58:$BD58),0)</f>
        <v>0</v>
      </c>
      <c r="BM60" s="275"/>
      <c r="BN60" s="275"/>
      <c r="BO60" s="275"/>
      <c r="BP60" s="32"/>
      <c r="BQ60" s="35">
        <f t="shared" si="23"/>
        <v>3584.825651874803</v>
      </c>
      <c r="BR60" s="35">
        <f t="shared" si="20"/>
        <v>10391.456636447212</v>
      </c>
      <c r="BS60" s="35">
        <f t="shared" si="20"/>
        <v>14793.078006470707</v>
      </c>
      <c r="BT60" s="35">
        <f t="shared" si="20"/>
        <v>9892.3036975785708</v>
      </c>
      <c r="BU60" s="35">
        <f t="shared" si="20"/>
        <v>5309.1721679664806</v>
      </c>
      <c r="BV60" s="35">
        <f t="shared" si="20"/>
        <v>1406.7037368116314</v>
      </c>
      <c r="BW60" s="35">
        <f t="shared" si="20"/>
        <v>0</v>
      </c>
      <c r="BX60" s="35">
        <f t="shared" si="20"/>
        <v>0</v>
      </c>
      <c r="BY60" s="35">
        <f t="shared" si="20"/>
        <v>0</v>
      </c>
      <c r="BZ60" s="35">
        <f t="shared" si="20"/>
        <v>0</v>
      </c>
      <c r="CA60" s="35">
        <f t="shared" si="20"/>
        <v>0</v>
      </c>
      <c r="CB60" s="35">
        <f t="shared" si="20"/>
        <v>0</v>
      </c>
      <c r="CC60" s="35"/>
      <c r="CD60" s="557">
        <f>IF($B58=0,1,IF(AND(CD59&gt;0,$B58&lt;='Input 4_RSV Season'!$AG$27-1),CD59+1,0))</f>
        <v>2</v>
      </c>
      <c r="CE60" s="549">
        <f>IF(AND($CD60&gt;0,$CD60&lt;='Input 6_Product Efficacy'!$Q$12/30),SUM($BQ58:$CB58),0)</f>
        <v>36657.092634025677</v>
      </c>
      <c r="CF60" s="554">
        <f>IF(AND($CD60&gt;0,$CD60&gt;'Input 6_Product Efficacy'!$Q$12/30),SUM($BQ58:$CB58),0)</f>
        <v>0</v>
      </c>
      <c r="CH60" s="565">
        <f>IF(AND($CD60&gt;0,$CD60&gt;'Input 6_Product Efficacy'!$Q$15/30),SUM($BQ58:$CB58),0)</f>
        <v>0</v>
      </c>
    </row>
    <row r="61" spans="2:87" x14ac:dyDescent="0.3">
      <c r="B61" s="26">
        <v>4</v>
      </c>
      <c r="C61" s="245">
        <f>'Input 2_RSV Rates'!E14*'Input 3_Clinical Severity'!$H$9</f>
        <v>172.25</v>
      </c>
      <c r="D61" s="13"/>
      <c r="E61" s="20">
        <f t="shared" si="21"/>
        <v>1.0596491911149182E-2</v>
      </c>
      <c r="F61" s="20">
        <f t="shared" si="21"/>
        <v>3.0716413261432433E-2</v>
      </c>
      <c r="G61" s="20">
        <f t="shared" si="21"/>
        <v>4.3727295734615611E-2</v>
      </c>
      <c r="H61" s="20">
        <f t="shared" si="21"/>
        <v>2.9240952362411664E-2</v>
      </c>
      <c r="I61" s="20">
        <f t="shared" si="21"/>
        <v>1.5693538653220939E-2</v>
      </c>
      <c r="J61" s="20">
        <f t="shared" si="21"/>
        <v>4.1581170790585395E-3</v>
      </c>
      <c r="K61" s="20">
        <f t="shared" si="21"/>
        <v>0</v>
      </c>
      <c r="L61" s="20">
        <f t="shared" si="21"/>
        <v>0</v>
      </c>
      <c r="M61" s="20">
        <f t="shared" si="21"/>
        <v>0</v>
      </c>
      <c r="N61" s="20">
        <f t="shared" si="21"/>
        <v>0</v>
      </c>
      <c r="O61" s="20">
        <f t="shared" si="21"/>
        <v>0</v>
      </c>
      <c r="P61" s="20">
        <f t="shared" si="21"/>
        <v>0</v>
      </c>
      <c r="Q61" s="13"/>
      <c r="R61" s="13"/>
      <c r="S61" s="852">
        <f>IF('Input 5_Product Uptake'!$M$9=0,E61*Ratios!$N$16,E61*Ratios!$N$16*Ratios!$Z$10)</f>
        <v>600.60204037311075</v>
      </c>
      <c r="T61" s="852">
        <f>IF('Input 5_Product Uptake'!$M$9=0,F61*Ratios!$N$16,F61*Ratios!$N$16*Ratios!$Z$10)</f>
        <v>1740.9856613347131</v>
      </c>
      <c r="U61" s="852">
        <f>IF('Input 5_Product Uptake'!$M$9=0,G61*Ratios!$N$16,G61*Ratios!$N$16*Ratios!$Z$10)</f>
        <v>2478.4337362232168</v>
      </c>
      <c r="V61" s="852">
        <f>IF('Input 5_Product Uptake'!$M$9=0,H61*Ratios!$N$16,H61*Ratios!$N$16*Ratios!$Z$10)</f>
        <v>1657.3575291308625</v>
      </c>
      <c r="W61" s="852">
        <f>IF('Input 5_Product Uptake'!$M$9=0,I61*Ratios!$N$16,I61*Ratios!$N$16*Ratios!$Z$10)</f>
        <v>889.4992243500501</v>
      </c>
      <c r="X61" s="852">
        <f>IF('Input 5_Product Uptake'!$M$9=0,J61*Ratios!$N$16,J61*Ratios!$N$16*Ratios!$Z$10)</f>
        <v>235.67928166539789</v>
      </c>
      <c r="Y61" s="852">
        <f>IF('Input 5_Product Uptake'!$M$9=0,K61*Ratios!$N$16,K61*Ratios!$N$16*Ratios!$Z$10)</f>
        <v>0</v>
      </c>
      <c r="Z61" s="852">
        <f>IF('Input 5_Product Uptake'!$M$9=0,L61*Ratios!$N$16,L61*Ratios!$N$16*Ratios!$Z$10)</f>
        <v>0</v>
      </c>
      <c r="AA61" s="852">
        <f>IF('Input 5_Product Uptake'!$M$9=0,M61*Ratios!$N$16,M61*Ratios!$N$16*Ratios!$Z$10)</f>
        <v>0</v>
      </c>
      <c r="AB61" s="852">
        <f>IF('Input 5_Product Uptake'!$M$9=0,N61*Ratios!$N$16,N61*Ratios!$N$16*Ratios!$Z$10)</f>
        <v>0</v>
      </c>
      <c r="AC61" s="852">
        <f>IF('Input 5_Product Uptake'!$M$9=0,O61*Ratios!$N$16,O61*Ratios!$N$16*Ratios!$Z$10)</f>
        <v>0</v>
      </c>
      <c r="AD61" s="852">
        <f>IF('Input 5_Product Uptake'!$M$9=0,P61*Ratios!$N$16,P61*Ratios!$N$16*Ratios!$Z$10)</f>
        <v>0</v>
      </c>
      <c r="AE61" s="45"/>
      <c r="AF61" s="849">
        <f>Ratios!$P$16*E61</f>
        <v>4084.1736790491091</v>
      </c>
      <c r="AG61" s="849">
        <f>Ratios!$P$16*F61</f>
        <v>11838.933829142352</v>
      </c>
      <c r="AH61" s="849">
        <f>Ratios!$P$16*G61</f>
        <v>16853.678726202652</v>
      </c>
      <c r="AI61" s="849">
        <f>Ratios!$P$16*H61</f>
        <v>11270.251418135515</v>
      </c>
      <c r="AJ61" s="849">
        <f>Ratios!$P$16*I61</f>
        <v>6048.7129170727303</v>
      </c>
      <c r="AK61" s="849">
        <f>Ratios!$P$16*J61</f>
        <v>1602.6504310192706</v>
      </c>
      <c r="AL61" s="849">
        <f>Ratios!$P$16*K61</f>
        <v>0</v>
      </c>
      <c r="AM61" s="849">
        <f>Ratios!$P$16*L61</f>
        <v>0</v>
      </c>
      <c r="AN61" s="849">
        <f>Ratios!$P$16*M61</f>
        <v>0</v>
      </c>
      <c r="AO61" s="849">
        <f>Ratios!$P$16*N61</f>
        <v>0</v>
      </c>
      <c r="AP61" s="849">
        <f>Ratios!$P$16*O61</f>
        <v>0</v>
      </c>
      <c r="AQ61" s="849">
        <f>Ratios!$P$16*P61</f>
        <v>0</v>
      </c>
      <c r="AR61" s="13"/>
      <c r="AS61" s="275">
        <f t="shared" si="22"/>
        <v>600.60204037311075</v>
      </c>
      <c r="AT61" s="275">
        <f t="shared" si="19"/>
        <v>1740.9856613347131</v>
      </c>
      <c r="AU61" s="275">
        <f t="shared" si="19"/>
        <v>2478.4337362232168</v>
      </c>
      <c r="AV61" s="275">
        <f t="shared" si="19"/>
        <v>1657.3575291308625</v>
      </c>
      <c r="AW61" s="275">
        <f t="shared" si="19"/>
        <v>889.4992243500501</v>
      </c>
      <c r="AX61" s="275">
        <f t="shared" si="19"/>
        <v>235.67928166539789</v>
      </c>
      <c r="AY61" s="275">
        <f t="shared" si="19"/>
        <v>0</v>
      </c>
      <c r="AZ61" s="275">
        <f t="shared" si="19"/>
        <v>0</v>
      </c>
      <c r="BA61" s="275">
        <f t="shared" si="19"/>
        <v>0</v>
      </c>
      <c r="BB61" s="275">
        <f t="shared" si="19"/>
        <v>0</v>
      </c>
      <c r="BC61" s="275">
        <f t="shared" si="19"/>
        <v>0</v>
      </c>
      <c r="BD61" s="275">
        <f t="shared" si="19"/>
        <v>0</v>
      </c>
      <c r="BE61" s="275"/>
      <c r="BF61" s="557">
        <f>IF($B59=0,1,IF(AND(BF60&gt;0,$B59&lt;='Input 4_RSV Season'!$AG$27-1),BF60+1,0))</f>
        <v>3</v>
      </c>
      <c r="BG61" s="549">
        <f>IF(AND($BF61&gt;0,$BF61&lt;='Input 6_Product Efficacy'!$Q$9/30),SUM($AS59:$BD59),0)</f>
        <v>6718.9394724328886</v>
      </c>
      <c r="BH61" s="554">
        <f>IF(AND($BF61&gt;0,$BF61&gt;'Input 6_Product Efficacy'!$Q$9/30),SUM($AS59:$BD59),0)</f>
        <v>0</v>
      </c>
      <c r="BI61" s="593"/>
      <c r="BK61" s="549">
        <f>IF(AND($BF61&gt;0,$BF61&lt;='Input 6_Product Efficacy'!$Q$12/30),SUM($AS59:$BD59),0)</f>
        <v>6718.9394724328886</v>
      </c>
      <c r="BL61" s="554">
        <f>IF(AND($BF61&gt;0,$BF61&gt;'Input 6_Product Efficacy'!$Q$12/30),SUM($AS59:$BD59),0)</f>
        <v>0</v>
      </c>
      <c r="BM61" s="275"/>
      <c r="BN61" s="275"/>
      <c r="BO61" s="275"/>
      <c r="BP61" s="32"/>
      <c r="BQ61" s="35">
        <f t="shared" si="23"/>
        <v>4084.1736790491091</v>
      </c>
      <c r="BR61" s="35">
        <f t="shared" si="20"/>
        <v>11838.933829142352</v>
      </c>
      <c r="BS61" s="35">
        <f t="shared" si="20"/>
        <v>16853.678726202652</v>
      </c>
      <c r="BT61" s="35">
        <f t="shared" si="20"/>
        <v>11270.251418135515</v>
      </c>
      <c r="BU61" s="35">
        <f t="shared" si="20"/>
        <v>6048.7129170727303</v>
      </c>
      <c r="BV61" s="35">
        <f t="shared" si="20"/>
        <v>1602.6504310192706</v>
      </c>
      <c r="BW61" s="35">
        <f t="shared" si="20"/>
        <v>0</v>
      </c>
      <c r="BX61" s="35">
        <f t="shared" si="20"/>
        <v>0</v>
      </c>
      <c r="BY61" s="35">
        <f t="shared" si="20"/>
        <v>0</v>
      </c>
      <c r="BZ61" s="35">
        <f t="shared" si="20"/>
        <v>0</v>
      </c>
      <c r="CA61" s="35">
        <f t="shared" si="20"/>
        <v>0</v>
      </c>
      <c r="CB61" s="35">
        <f t="shared" si="20"/>
        <v>0</v>
      </c>
      <c r="CC61" s="35"/>
      <c r="CD61" s="557">
        <f>IF($B59=0,1,IF(AND(CD60&gt;0,$B59&lt;='Input 4_RSV Season'!$AG$27-1),CD60+1,0))</f>
        <v>3</v>
      </c>
      <c r="CE61" s="549">
        <f>IF(AND($CD61&gt;0,$CD61&lt;='Input 6_Product Efficacy'!$Q$12/30),SUM($BQ59:$CB59),0)</f>
        <v>45689.68118620976</v>
      </c>
      <c r="CF61" s="554">
        <f>IF(AND($CD61&gt;0,$CD61&gt;'Input 6_Product Efficacy'!$Q$12/30),SUM($BQ59:$CB59),0)</f>
        <v>0</v>
      </c>
      <c r="CH61" s="565">
        <f>IF(AND($CD61&gt;0,$CD61&gt;'Input 6_Product Efficacy'!$Q$15/30),SUM($BQ59:$CB59),0)</f>
        <v>0</v>
      </c>
    </row>
    <row r="62" spans="2:87" ht="15" thickBot="1" x14ac:dyDescent="0.35">
      <c r="B62" s="804">
        <v>5</v>
      </c>
      <c r="C62" s="805">
        <f>'Input 2_RSV Rates'!E15*'Input 3_Clinical Severity'!$H$9</f>
        <v>187.98</v>
      </c>
      <c r="E62" s="20">
        <f t="shared" si="21"/>
        <v>1.1564171549827711E-2</v>
      </c>
      <c r="F62" s="20">
        <f t="shared" si="21"/>
        <v>3.3521459302665133E-2</v>
      </c>
      <c r="G62" s="20">
        <f t="shared" si="21"/>
        <v>4.7720505382833338E-2</v>
      </c>
      <c r="H62" s="20">
        <f t="shared" si="21"/>
        <v>3.1911258200790389E-2</v>
      </c>
      <c r="I62" s="20">
        <f t="shared" si="21"/>
        <v>1.7126684447213193E-2</v>
      </c>
      <c r="J62" s="20">
        <f t="shared" si="21"/>
        <v>4.5378394689197347E-3</v>
      </c>
      <c r="K62" s="20">
        <f t="shared" si="21"/>
        <v>0</v>
      </c>
      <c r="L62" s="20">
        <f t="shared" si="21"/>
        <v>0</v>
      </c>
      <c r="M62" s="20">
        <f t="shared" si="21"/>
        <v>0</v>
      </c>
      <c r="N62" s="20">
        <f t="shared" si="21"/>
        <v>0</v>
      </c>
      <c r="O62" s="20">
        <f t="shared" si="21"/>
        <v>0</v>
      </c>
      <c r="P62" s="20">
        <f t="shared" si="21"/>
        <v>0</v>
      </c>
      <c r="Q62" s="13"/>
      <c r="R62" s="13"/>
      <c r="S62" s="852">
        <f>IF('Input 5_Product Uptake'!$M$9=0,E62*Ratios!$N$16,E62*Ratios!$N$16*Ratios!$Z$10)</f>
        <v>655.44947198454201</v>
      </c>
      <c r="T62" s="852">
        <f>IF('Input 5_Product Uptake'!$M$9=0,F62*Ratios!$N$16,F62*Ratios!$N$16*Ratios!$Z$10)</f>
        <v>1899.9737858792419</v>
      </c>
      <c r="U62" s="852">
        <f>IF('Input 5_Product Uptake'!$M$9=0,G62*Ratios!$N$16,G62*Ratios!$N$16*Ratios!$Z$10)</f>
        <v>2704.7661755311483</v>
      </c>
      <c r="V62" s="852">
        <f>IF('Input 5_Product Uptake'!$M$9=0,H62*Ratios!$N$16,H62*Ratios!$N$16*Ratios!$Z$10)</f>
        <v>1808.7086695269641</v>
      </c>
      <c r="W62" s="852">
        <f>IF('Input 5_Product Uptake'!$M$9=0,I62*Ratios!$N$16,I62*Ratios!$N$16*Ratios!$Z$10)</f>
        <v>970.7289648378661</v>
      </c>
      <c r="X62" s="852">
        <f>IF('Input 5_Product Uptake'!$M$9=0,J62*Ratios!$N$16,J62*Ratios!$N$16*Ratios!$Z$10)</f>
        <v>257.20169153823804</v>
      </c>
      <c r="Y62" s="852">
        <f>IF('Input 5_Product Uptake'!$M$9=0,K62*Ratios!$N$16,K62*Ratios!$N$16*Ratios!$Z$10)</f>
        <v>0</v>
      </c>
      <c r="Z62" s="852">
        <f>IF('Input 5_Product Uptake'!$M$9=0,L62*Ratios!$N$16,L62*Ratios!$N$16*Ratios!$Z$10)</f>
        <v>0</v>
      </c>
      <c r="AA62" s="852">
        <f>IF('Input 5_Product Uptake'!$M$9=0,M62*Ratios!$N$16,M62*Ratios!$N$16*Ratios!$Z$10)</f>
        <v>0</v>
      </c>
      <c r="AB62" s="852">
        <f>IF('Input 5_Product Uptake'!$M$9=0,N62*Ratios!$N$16,N62*Ratios!$N$16*Ratios!$Z$10)</f>
        <v>0</v>
      </c>
      <c r="AC62" s="852">
        <f>IF('Input 5_Product Uptake'!$M$9=0,O62*Ratios!$N$16,O62*Ratios!$N$16*Ratios!$Z$10)</f>
        <v>0</v>
      </c>
      <c r="AD62" s="852">
        <f>IF('Input 5_Product Uptake'!$M$9=0,P62*Ratios!$N$16,P62*Ratios!$N$16*Ratios!$Z$10)</f>
        <v>0</v>
      </c>
      <c r="AE62" s="45"/>
      <c r="AF62" s="849">
        <f>Ratios!$P$16*E62</f>
        <v>4457.1435018151033</v>
      </c>
      <c r="AG62" s="849">
        <f>Ratios!$P$16*F62</f>
        <v>12920.074201464031</v>
      </c>
      <c r="AH62" s="849">
        <f>Ratios!$P$16*G62</f>
        <v>18392.769387237007</v>
      </c>
      <c r="AI62" s="849">
        <f>Ratios!$P$16*H62</f>
        <v>12299.459283489778</v>
      </c>
      <c r="AJ62" s="849">
        <f>Ratios!$P$16*I62</f>
        <v>6601.0859457261658</v>
      </c>
      <c r="AK62" s="849">
        <f>Ratios!$P$16*J62</f>
        <v>1749.0056779274455</v>
      </c>
      <c r="AL62" s="849">
        <f>Ratios!$P$16*K62</f>
        <v>0</v>
      </c>
      <c r="AM62" s="849">
        <f>Ratios!$P$16*L62</f>
        <v>0</v>
      </c>
      <c r="AN62" s="849">
        <f>Ratios!$P$16*M62</f>
        <v>0</v>
      </c>
      <c r="AO62" s="849">
        <f>Ratios!$P$16*N62</f>
        <v>0</v>
      </c>
      <c r="AP62" s="849">
        <f>Ratios!$P$16*O62</f>
        <v>0</v>
      </c>
      <c r="AQ62" s="849">
        <f>Ratios!$P$16*P62</f>
        <v>0</v>
      </c>
      <c r="AS62" s="275">
        <f t="shared" si="22"/>
        <v>655.44947198454201</v>
      </c>
      <c r="AT62" s="275">
        <f t="shared" si="19"/>
        <v>1899.9737858792419</v>
      </c>
      <c r="AU62" s="275">
        <f t="shared" si="19"/>
        <v>2704.7661755311483</v>
      </c>
      <c r="AV62" s="275">
        <f t="shared" si="19"/>
        <v>1808.7086695269641</v>
      </c>
      <c r="AW62" s="275">
        <f t="shared" si="19"/>
        <v>970.7289648378661</v>
      </c>
      <c r="AX62" s="275">
        <f t="shared" si="19"/>
        <v>257.20169153823804</v>
      </c>
      <c r="AY62" s="275">
        <f t="shared" si="19"/>
        <v>0</v>
      </c>
      <c r="AZ62" s="275">
        <f t="shared" si="19"/>
        <v>0</v>
      </c>
      <c r="BA62" s="275">
        <f t="shared" si="19"/>
        <v>0</v>
      </c>
      <c r="BB62" s="275">
        <f t="shared" si="19"/>
        <v>0</v>
      </c>
      <c r="BC62" s="275">
        <f t="shared" si="19"/>
        <v>0</v>
      </c>
      <c r="BD62" s="275">
        <f t="shared" si="19"/>
        <v>0</v>
      </c>
      <c r="BE62" s="276"/>
      <c r="BF62" s="557">
        <f>IF($B60=0,1,IF(AND(BF61&gt;0,$B60&lt;='Input 4_RSV Season'!$AG$27-1),BF61+1,0))</f>
        <v>4</v>
      </c>
      <c r="BG62" s="549">
        <f>IF(AND($BF62&gt;0,$BF62&lt;='Input 6_Product Efficacy'!$Q$9/30),SUM($AS60:$BD60),0)</f>
        <v>6673.0372386331774</v>
      </c>
      <c r="BH62" s="554">
        <f>IF(AND($BF62&gt;0,$BF62&gt;'Input 6_Product Efficacy'!$Q$9/30),SUM($AS60:$BD60),0)</f>
        <v>0</v>
      </c>
      <c r="BI62" s="593"/>
      <c r="BK62" s="549">
        <f>IF(AND($BF62&gt;0,$BF62&lt;='Input 6_Product Efficacy'!$Q$12/30),SUM($AS60:$BD60),0)</f>
        <v>6673.0372386331774</v>
      </c>
      <c r="BL62" s="554">
        <f>IF(AND($BF62&gt;0,$BF62&gt;'Input 6_Product Efficacy'!$Q$12/30),SUM($AS60:$BD60),0)</f>
        <v>0</v>
      </c>
      <c r="BM62" s="276"/>
      <c r="BN62" s="276"/>
      <c r="BO62" s="276"/>
      <c r="BP62" s="93"/>
      <c r="BQ62" s="35">
        <f t="shared" si="23"/>
        <v>4457.1435018151033</v>
      </c>
      <c r="BR62" s="35">
        <f t="shared" si="20"/>
        <v>12920.074201464031</v>
      </c>
      <c r="BS62" s="35">
        <f t="shared" si="20"/>
        <v>18392.769387237007</v>
      </c>
      <c r="BT62" s="35">
        <f t="shared" si="20"/>
        <v>12299.459283489778</v>
      </c>
      <c r="BU62" s="35">
        <f t="shared" si="20"/>
        <v>6601.0859457261658</v>
      </c>
      <c r="BV62" s="35">
        <f t="shared" si="20"/>
        <v>1749.0056779274455</v>
      </c>
      <c r="BW62" s="35">
        <f t="shared" si="20"/>
        <v>0</v>
      </c>
      <c r="BX62" s="35">
        <f t="shared" si="20"/>
        <v>0</v>
      </c>
      <c r="BY62" s="35">
        <f t="shared" si="20"/>
        <v>0</v>
      </c>
      <c r="BZ62" s="35">
        <f t="shared" si="20"/>
        <v>0</v>
      </c>
      <c r="CA62" s="35">
        <f t="shared" si="20"/>
        <v>0</v>
      </c>
      <c r="CB62" s="35">
        <f t="shared" si="20"/>
        <v>0</v>
      </c>
      <c r="CC62" s="244"/>
      <c r="CD62" s="557">
        <f>IF($B60=0,1,IF(AND(CD61&gt;0,$B60&lt;='Input 4_RSV Season'!$AG$27-1),CD61+1,0))</f>
        <v>4</v>
      </c>
      <c r="CE62" s="549">
        <f>IF(AND($CD62&gt;0,$CD62&lt;='Input 6_Product Efficacy'!$Q$12/30),SUM($BQ60:$CB60),0)</f>
        <v>45377.5398971494</v>
      </c>
      <c r="CF62" s="554">
        <f>IF(AND($CD62&gt;0,$CD62&gt;'Input 6_Product Efficacy'!$Q$12/30),SUM($BQ60:$CB60),0)</f>
        <v>0</v>
      </c>
      <c r="CH62" s="565">
        <f>IF(AND($CD62&gt;0,$CD62&gt;'Input 6_Product Efficacy'!$Q$15/30),SUM($BQ60:$CB60),0)</f>
        <v>45377.5398971494</v>
      </c>
    </row>
    <row r="63" spans="2:87" ht="15" thickTop="1" x14ac:dyDescent="0.3">
      <c r="B63" s="26">
        <v>6</v>
      </c>
      <c r="C63" s="245">
        <f>'Input 2_RSV Rates'!E16*'Input 3_Clinical Severity'!$H$11</f>
        <v>79.41</v>
      </c>
      <c r="E63" s="20">
        <f t="shared" si="21"/>
        <v>4.8851519458017797E-3</v>
      </c>
      <c r="F63" s="20">
        <f t="shared" si="21"/>
        <v>1.4160756906184903E-2</v>
      </c>
      <c r="G63" s="20">
        <f t="shared" si="21"/>
        <v>2.015898144723266E-2</v>
      </c>
      <c r="H63" s="20">
        <f t="shared" si="21"/>
        <v>1.3480545875756809E-2</v>
      </c>
      <c r="I63" s="20">
        <f t="shared" si="21"/>
        <v>7.2349718690988378E-3</v>
      </c>
      <c r="J63" s="20">
        <f t="shared" si="21"/>
        <v>1.9169583584791791E-3</v>
      </c>
      <c r="K63" s="20">
        <f t="shared" si="21"/>
        <v>0</v>
      </c>
      <c r="L63" s="20">
        <f t="shared" si="21"/>
        <v>0</v>
      </c>
      <c r="M63" s="20">
        <f t="shared" si="21"/>
        <v>0</v>
      </c>
      <c r="N63" s="20">
        <f t="shared" si="21"/>
        <v>0</v>
      </c>
      <c r="O63" s="20">
        <f t="shared" si="21"/>
        <v>0</v>
      </c>
      <c r="P63" s="20">
        <f t="shared" si="21"/>
        <v>0</v>
      </c>
      <c r="Q63" s="13"/>
      <c r="R63" s="13"/>
      <c r="S63" s="852">
        <f>IF('Input 5_Product Uptake'!$M$9=0,E63*Ratios!$N$16,E63*Ratios!$N$16*Ratios!$Z$10)</f>
        <v>276.88712932382424</v>
      </c>
      <c r="T63" s="852">
        <f>IF('Input 5_Product Uptake'!$M$9=0,F63*Ratios!$N$16,F63*Ratios!$N$16*Ratios!$Z$10)</f>
        <v>802.62218500197139</v>
      </c>
      <c r="U63" s="852">
        <f>IF('Input 5_Product Uptake'!$M$9=0,G63*Ratios!$N$16,G63*Ratios!$N$16*Ratios!$Z$10)</f>
        <v>1142.5975210071736</v>
      </c>
      <c r="V63" s="852">
        <f>IF('Input 5_Product Uptake'!$M$9=0,H63*Ratios!$N$16,H63*Ratios!$N$16*Ratios!$Z$10)</f>
        <v>764.06828091890748</v>
      </c>
      <c r="W63" s="852">
        <f>IF('Input 5_Product Uptake'!$M$9=0,I63*Ratios!$N$16,I63*Ratios!$N$16*Ratios!$Z$10)</f>
        <v>410.0733434289549</v>
      </c>
      <c r="X63" s="852">
        <f>IF('Input 5_Product Uptake'!$M$9=0,J63*Ratios!$N$16,J63*Ratios!$N$16*Ratios!$Z$10)</f>
        <v>108.6519115068171</v>
      </c>
      <c r="Y63" s="852">
        <f>IF('Input 5_Product Uptake'!$M$9=0,K63*Ratios!$N$16,K63*Ratios!$N$16*Ratios!$Z$10)</f>
        <v>0</v>
      </c>
      <c r="Z63" s="852">
        <f>IF('Input 5_Product Uptake'!$M$9=0,L63*Ratios!$N$16,L63*Ratios!$N$16*Ratios!$Z$10)</f>
        <v>0</v>
      </c>
      <c r="AA63" s="852">
        <f>IF('Input 5_Product Uptake'!$M$9=0,M63*Ratios!$N$16,M63*Ratios!$N$16*Ratios!$Z$10)</f>
        <v>0</v>
      </c>
      <c r="AB63" s="852">
        <f>IF('Input 5_Product Uptake'!$M$9=0,N63*Ratios!$N$16,N63*Ratios!$N$16*Ratios!$Z$10)</f>
        <v>0</v>
      </c>
      <c r="AC63" s="852">
        <f>IF('Input 5_Product Uptake'!$M$9=0,O63*Ratios!$N$16,O63*Ratios!$N$16*Ratios!$Z$10)</f>
        <v>0</v>
      </c>
      <c r="AD63" s="852">
        <f>IF('Input 5_Product Uptake'!$M$9=0,P63*Ratios!$N$16,P63*Ratios!$N$16*Ratios!$Z$10)</f>
        <v>0</v>
      </c>
      <c r="AE63" s="45"/>
      <c r="AF63" s="849">
        <f>Ratios!$P$16*E63</f>
        <v>1882.8692705561089</v>
      </c>
      <c r="AG63" s="849">
        <f>Ratios!$P$16*F63</f>
        <v>5457.9375057892257</v>
      </c>
      <c r="AH63" s="849">
        <f>Ratios!$P$16*G63</f>
        <v>7769.8149645733101</v>
      </c>
      <c r="AI63" s="849">
        <f>Ratios!$P$16*H63</f>
        <v>5195.765835205465</v>
      </c>
      <c r="AJ63" s="849">
        <f>Ratios!$P$16*I63</f>
        <v>2788.553223481832</v>
      </c>
      <c r="AK63" s="849">
        <f>Ratios!$P$16*J63</f>
        <v>738.84743528151103</v>
      </c>
      <c r="AL63" s="849">
        <f>Ratios!$P$16*K63</f>
        <v>0</v>
      </c>
      <c r="AM63" s="849">
        <f>Ratios!$P$16*L63</f>
        <v>0</v>
      </c>
      <c r="AN63" s="849">
        <f>Ratios!$P$16*M63</f>
        <v>0</v>
      </c>
      <c r="AO63" s="849">
        <f>Ratios!$P$16*N63</f>
        <v>0</v>
      </c>
      <c r="AP63" s="849">
        <f>Ratios!$P$16*O63</f>
        <v>0</v>
      </c>
      <c r="AQ63" s="849">
        <f>Ratios!$P$16*P63</f>
        <v>0</v>
      </c>
      <c r="AS63" s="275">
        <f t="shared" si="22"/>
        <v>276.88712932382424</v>
      </c>
      <c r="AT63" s="275">
        <f t="shared" si="19"/>
        <v>802.62218500197139</v>
      </c>
      <c r="AU63" s="275">
        <f t="shared" si="19"/>
        <v>1142.5975210071736</v>
      </c>
      <c r="AV63" s="275">
        <f t="shared" si="19"/>
        <v>764.06828091890748</v>
      </c>
      <c r="AW63" s="275">
        <f t="shared" si="19"/>
        <v>410.0733434289549</v>
      </c>
      <c r="AX63" s="275">
        <f t="shared" si="19"/>
        <v>108.6519115068171</v>
      </c>
      <c r="AY63" s="275">
        <f t="shared" si="19"/>
        <v>0</v>
      </c>
      <c r="AZ63" s="275">
        <f t="shared" si="19"/>
        <v>0</v>
      </c>
      <c r="BA63" s="275">
        <f t="shared" si="19"/>
        <v>0</v>
      </c>
      <c r="BB63" s="275">
        <f t="shared" si="19"/>
        <v>0</v>
      </c>
      <c r="BC63" s="275">
        <f t="shared" si="19"/>
        <v>0</v>
      </c>
      <c r="BD63" s="275">
        <f t="shared" si="19"/>
        <v>0</v>
      </c>
      <c r="BE63" s="276"/>
      <c r="BF63" s="557">
        <f>IF($B61=0,1,IF(AND(BF62&gt;0,$B61&lt;='Input 4_RSV Season'!$AG$27-1),BF62+1,0))</f>
        <v>5</v>
      </c>
      <c r="BG63" s="549">
        <f>IF(AND($BF63&gt;0,$BF63&lt;='Input 6_Product Efficacy'!$Q$9/30),SUM($AS61:$BD61),0)</f>
        <v>7602.5574730773506</v>
      </c>
      <c r="BH63" s="554">
        <f>IF(AND($BF63&gt;0,$BF63&gt;'Input 6_Product Efficacy'!$Q$9/30),SUM($AS61:$BD61),0)</f>
        <v>0</v>
      </c>
      <c r="BI63" s="593"/>
      <c r="BK63" s="549">
        <f>IF(AND($BF63&gt;0,$BF63&lt;='Input 6_Product Efficacy'!$Q$12/30),SUM($AS61:$BD61),0)</f>
        <v>7602.5574730773506</v>
      </c>
      <c r="BL63" s="554">
        <f>IF(AND($BF63&gt;0,$BF63&gt;'Input 6_Product Efficacy'!$Q$12/30),SUM($AS61:$BD61),0)</f>
        <v>0</v>
      </c>
      <c r="BM63" s="276"/>
      <c r="BN63" s="276"/>
      <c r="BO63" s="276"/>
      <c r="BP63" s="93"/>
      <c r="BQ63" s="35">
        <f t="shared" si="23"/>
        <v>1882.8692705561089</v>
      </c>
      <c r="BR63" s="35">
        <f t="shared" si="20"/>
        <v>5457.9375057892257</v>
      </c>
      <c r="BS63" s="35">
        <f t="shared" si="20"/>
        <v>7769.8149645733101</v>
      </c>
      <c r="BT63" s="35">
        <f t="shared" si="20"/>
        <v>5195.765835205465</v>
      </c>
      <c r="BU63" s="35">
        <f t="shared" si="20"/>
        <v>2788.553223481832</v>
      </c>
      <c r="BV63" s="35">
        <f t="shared" si="20"/>
        <v>738.84743528151103</v>
      </c>
      <c r="BW63" s="35">
        <f t="shared" si="20"/>
        <v>0</v>
      </c>
      <c r="BX63" s="35">
        <f t="shared" si="20"/>
        <v>0</v>
      </c>
      <c r="BY63" s="35">
        <f t="shared" si="20"/>
        <v>0</v>
      </c>
      <c r="BZ63" s="35">
        <f t="shared" si="20"/>
        <v>0</v>
      </c>
      <c r="CA63" s="35">
        <f t="shared" si="20"/>
        <v>0</v>
      </c>
      <c r="CB63" s="35">
        <f t="shared" si="20"/>
        <v>0</v>
      </c>
      <c r="CC63" s="244"/>
      <c r="CD63" s="557">
        <f>IF($B61=0,1,IF(AND(CD62&gt;0,$B61&lt;='Input 4_RSV Season'!$AG$27-1),CD62+1,0))</f>
        <v>5</v>
      </c>
      <c r="CE63" s="549">
        <f>IF(AND($CD63&gt;0,$CD63&lt;='Input 6_Product Efficacy'!$Q$12/30),SUM($BQ61:$CB61),0)</f>
        <v>51698.401000621619</v>
      </c>
      <c r="CF63" s="554">
        <f>IF(AND($CD63&gt;0,$CD63&gt;'Input 6_Product Efficacy'!$Q$12/30),SUM($BQ61:$CB61),0)</f>
        <v>0</v>
      </c>
      <c r="CH63" s="565">
        <f>IF(AND($CD63&gt;0,$CD63&gt;'Input 6_Product Efficacy'!$Q$15/30),SUM($BQ61:$CB61),0)</f>
        <v>51698.401000621619</v>
      </c>
    </row>
    <row r="64" spans="2:87" x14ac:dyDescent="0.3">
      <c r="B64" s="26">
        <v>7</v>
      </c>
      <c r="C64" s="245">
        <f>'Input 2_RSV Rates'!E17*'Input 3_Clinical Severity'!$H$11</f>
        <v>62.16</v>
      </c>
      <c r="E64" s="20">
        <f t="shared" si="21"/>
        <v>3.823964802304982E-3</v>
      </c>
      <c r="F64" s="20">
        <f t="shared" si="21"/>
        <v>1.1084657464909378E-2</v>
      </c>
      <c r="G64" s="20">
        <f t="shared" si="21"/>
        <v>1.5779905386726887E-2</v>
      </c>
      <c r="H64" s="20">
        <f t="shared" si="21"/>
        <v>1.0552206669651723E-2</v>
      </c>
      <c r="I64" s="20">
        <f t="shared" si="21"/>
        <v>5.6633402768314295E-3</v>
      </c>
      <c r="J64" s="20">
        <f t="shared" si="21"/>
        <v>1.5005431502715751E-3</v>
      </c>
      <c r="K64" s="20">
        <f t="shared" si="21"/>
        <v>0</v>
      </c>
      <c r="L64" s="20">
        <f t="shared" si="21"/>
        <v>0</v>
      </c>
      <c r="M64" s="20">
        <f t="shared" si="21"/>
        <v>0</v>
      </c>
      <c r="N64" s="20">
        <f t="shared" si="21"/>
        <v>0</v>
      </c>
      <c r="O64" s="20">
        <f t="shared" si="21"/>
        <v>0</v>
      </c>
      <c r="P64" s="20">
        <f t="shared" si="21"/>
        <v>0</v>
      </c>
      <c r="Q64" s="13"/>
      <c r="R64" s="13"/>
      <c r="S64" s="852">
        <f>IF('Input 5_Product Uptake'!$M$9=0,E64*Ratios!$N$16,E64*Ratios!$N$16*Ratios!$Z$10)</f>
        <v>216.739755179057</v>
      </c>
      <c r="T64" s="852">
        <f>IF('Input 5_Product Uptake'!$M$9=0,F64*Ratios!$N$16,F64*Ratios!$N$16*Ratios!$Z$10)</f>
        <v>628.27093589878541</v>
      </c>
      <c r="U64" s="852">
        <f>IF('Input 5_Product Uptake'!$M$9=0,G64*Ratios!$N$16,G64*Ratios!$N$16*Ratios!$Z$10)</f>
        <v>894.3944327642098</v>
      </c>
      <c r="V64" s="852">
        <f>IF('Input 5_Product Uptake'!$M$9=0,H64*Ratios!$N$16,H64*Ratios!$N$16*Ratios!$Z$10)</f>
        <v>598.09198264600536</v>
      </c>
      <c r="W64" s="852">
        <f>IF('Input 5_Product Uptake'!$M$9=0,I64*Ratios!$N$16,I64*Ratios!$N$16*Ratios!$Z$10)</f>
        <v>320.99432096138827</v>
      </c>
      <c r="X64" s="852">
        <f>IF('Input 5_Product Uptake'!$M$9=0,J64*Ratios!$N$16,J64*Ratios!$N$16*Ratios!$Z$10)</f>
        <v>85.049777348743874</v>
      </c>
      <c r="Y64" s="852">
        <f>IF('Input 5_Product Uptake'!$M$9=0,K64*Ratios!$N$16,K64*Ratios!$N$16*Ratios!$Z$10)</f>
        <v>0</v>
      </c>
      <c r="Z64" s="852">
        <f>IF('Input 5_Product Uptake'!$M$9=0,L64*Ratios!$N$16,L64*Ratios!$N$16*Ratios!$Z$10)</f>
        <v>0</v>
      </c>
      <c r="AA64" s="852">
        <f>IF('Input 5_Product Uptake'!$M$9=0,M64*Ratios!$N$16,M64*Ratios!$N$16*Ratios!$Z$10)</f>
        <v>0</v>
      </c>
      <c r="AB64" s="852">
        <f>IF('Input 5_Product Uptake'!$M$9=0,N64*Ratios!$N$16,N64*Ratios!$N$16*Ratios!$Z$10)</f>
        <v>0</v>
      </c>
      <c r="AC64" s="852">
        <f>IF('Input 5_Product Uptake'!$M$9=0,O64*Ratios!$N$16,O64*Ratios!$N$16*Ratios!$Z$10)</f>
        <v>0</v>
      </c>
      <c r="AD64" s="852">
        <f>IF('Input 5_Product Uptake'!$M$9=0,P64*Ratios!$N$16,P64*Ratios!$N$16*Ratios!$Z$10)</f>
        <v>0</v>
      </c>
      <c r="AE64" s="45"/>
      <c r="AF64" s="849">
        <f>Ratios!$P$16*E64</f>
        <v>1473.8591343378382</v>
      </c>
      <c r="AG64" s="849">
        <f>Ratios!$P$16*F64</f>
        <v>4272.3258451058855</v>
      </c>
      <c r="AH64" s="849">
        <f>Ratios!$P$16*G64</f>
        <v>6082.0009847358888</v>
      </c>
      <c r="AI64" s="849">
        <f>Ratios!$P$16*H64</f>
        <v>4067.1049529828952</v>
      </c>
      <c r="AJ64" s="849">
        <f>Ratios!$P$16*I64</f>
        <v>2182.804034399077</v>
      </c>
      <c r="AK64" s="849">
        <f>Ratios!$P$16*J64</f>
        <v>578.34978689206298</v>
      </c>
      <c r="AL64" s="849">
        <f>Ratios!$P$16*K64</f>
        <v>0</v>
      </c>
      <c r="AM64" s="849">
        <f>Ratios!$P$16*L64</f>
        <v>0</v>
      </c>
      <c r="AN64" s="849">
        <f>Ratios!$P$16*M64</f>
        <v>0</v>
      </c>
      <c r="AO64" s="849">
        <f>Ratios!$P$16*N64</f>
        <v>0</v>
      </c>
      <c r="AP64" s="849">
        <f>Ratios!$P$16*O64</f>
        <v>0</v>
      </c>
      <c r="AQ64" s="849">
        <f>Ratios!$P$16*P64</f>
        <v>0</v>
      </c>
      <c r="AS64" s="275">
        <f t="shared" si="22"/>
        <v>216.739755179057</v>
      </c>
      <c r="AT64" s="275">
        <f t="shared" si="19"/>
        <v>628.27093589878541</v>
      </c>
      <c r="AU64" s="275">
        <f t="shared" si="19"/>
        <v>894.3944327642098</v>
      </c>
      <c r="AV64" s="275">
        <f t="shared" si="19"/>
        <v>598.09198264600536</v>
      </c>
      <c r="AW64" s="275">
        <f t="shared" si="19"/>
        <v>320.99432096138827</v>
      </c>
      <c r="AX64" s="275">
        <f t="shared" si="19"/>
        <v>85.049777348743874</v>
      </c>
      <c r="AY64" s="275">
        <f t="shared" si="19"/>
        <v>0</v>
      </c>
      <c r="AZ64" s="275">
        <f t="shared" si="19"/>
        <v>0</v>
      </c>
      <c r="BA64" s="275">
        <f t="shared" si="19"/>
        <v>0</v>
      </c>
      <c r="BB64" s="275">
        <f t="shared" si="19"/>
        <v>0</v>
      </c>
      <c r="BC64" s="275">
        <f t="shared" si="19"/>
        <v>0</v>
      </c>
      <c r="BD64" s="275">
        <f t="shared" si="19"/>
        <v>0</v>
      </c>
      <c r="BE64" s="276"/>
      <c r="BF64" s="557">
        <f>IF($B62=0,1,IF(AND(BF63&gt;0,$B62&lt;='Input 4_RSV Season'!$AG$27-1),BF63+1,0))</f>
        <v>6</v>
      </c>
      <c r="BG64" s="549">
        <f>IF(AND($BF64&gt;0,$BF64&lt;='Input 6_Product Efficacy'!$Q$9/30),SUM($AS62:$BD62),0)</f>
        <v>0</v>
      </c>
      <c r="BH64" s="554">
        <f>IF(AND($BF64&gt;0,$BF64&gt;'Input 6_Product Efficacy'!$Q$9/30),SUM($AS62:$BD62),0)</f>
        <v>8296.8287592979996</v>
      </c>
      <c r="BI64" s="593"/>
      <c r="BK64" s="549">
        <f>IF(AND($BF64&gt;0,$BF64&lt;='Input 6_Product Efficacy'!$Q$12/30),SUM($AS62:$BD62),0)</f>
        <v>0</v>
      </c>
      <c r="BL64" s="554">
        <f>IF(AND($BF64&gt;0,$BF64&gt;'Input 6_Product Efficacy'!$Q$12/30),SUM($AS62:$BD62),0)</f>
        <v>8296.8287592979996</v>
      </c>
      <c r="BM64" s="276"/>
      <c r="BN64" s="276"/>
      <c r="BO64" s="276"/>
      <c r="BP64" s="93"/>
      <c r="BQ64" s="35">
        <f t="shared" si="23"/>
        <v>1473.8591343378382</v>
      </c>
      <c r="BR64" s="35">
        <f t="shared" si="20"/>
        <v>4272.3258451058855</v>
      </c>
      <c r="BS64" s="35">
        <f t="shared" si="20"/>
        <v>6082.0009847358888</v>
      </c>
      <c r="BT64" s="35">
        <f t="shared" si="20"/>
        <v>4067.1049529828952</v>
      </c>
      <c r="BU64" s="35">
        <f t="shared" si="20"/>
        <v>2182.804034399077</v>
      </c>
      <c r="BV64" s="35">
        <f t="shared" si="20"/>
        <v>578.34978689206298</v>
      </c>
      <c r="BW64" s="35">
        <f t="shared" si="20"/>
        <v>0</v>
      </c>
      <c r="BX64" s="35">
        <f t="shared" si="20"/>
        <v>0</v>
      </c>
      <c r="BY64" s="35">
        <f t="shared" si="20"/>
        <v>0</v>
      </c>
      <c r="BZ64" s="35">
        <f t="shared" si="20"/>
        <v>0</v>
      </c>
      <c r="CA64" s="35">
        <f t="shared" si="20"/>
        <v>0</v>
      </c>
      <c r="CB64" s="35">
        <f t="shared" si="20"/>
        <v>0</v>
      </c>
      <c r="CC64" s="244"/>
      <c r="CD64" s="557">
        <f>IF($B62=0,1,IF(AND(CD63&gt;0,$B62&lt;='Input 4_RSV Season'!$AG$27-1),CD63+1,0))</f>
        <v>6</v>
      </c>
      <c r="CE64" s="549">
        <f>IF(AND($CD64&gt;0,$CD64&lt;='Input 6_Product Efficacy'!$Q$12/30),SUM($BQ62:$CB62),0)</f>
        <v>0</v>
      </c>
      <c r="CF64" s="554">
        <f>IF(AND($CD64&gt;0,$CD64&gt;'Input 6_Product Efficacy'!$Q$12/30),SUM($BQ62:$CB62),0)</f>
        <v>56419.537997659529</v>
      </c>
      <c r="CH64" s="565">
        <f>IF(AND($CD64&gt;0,$CD64&gt;'Input 6_Product Efficacy'!$Q$15/30),SUM($BQ62:$CB62),0)</f>
        <v>56419.537997659529</v>
      </c>
    </row>
    <row r="65" spans="2:86" x14ac:dyDescent="0.3">
      <c r="B65" s="26">
        <v>8</v>
      </c>
      <c r="C65" s="245">
        <f>'Input 2_RSV Rates'!E18*'Input 3_Clinical Severity'!$H$11</f>
        <v>83.34</v>
      </c>
      <c r="E65" s="20">
        <f t="shared" si="21"/>
        <v>5.1269180602332241E-3</v>
      </c>
      <c r="F65" s="20">
        <f t="shared" si="21"/>
        <v>1.4861572604979851E-2</v>
      </c>
      <c r="G65" s="20">
        <f t="shared" si="21"/>
        <v>2.1156649210582672E-2</v>
      </c>
      <c r="H65" s="20">
        <f t="shared" si="21"/>
        <v>1.41476979383651E-2</v>
      </c>
      <c r="I65" s="20">
        <f t="shared" si="21"/>
        <v>7.5930305449023704E-3</v>
      </c>
      <c r="J65" s="20">
        <f t="shared" si="21"/>
        <v>2.0118286059143029E-3</v>
      </c>
      <c r="K65" s="20">
        <f t="shared" si="21"/>
        <v>0</v>
      </c>
      <c r="L65" s="20">
        <f t="shared" si="21"/>
        <v>0</v>
      </c>
      <c r="M65" s="20">
        <f t="shared" si="21"/>
        <v>0</v>
      </c>
      <c r="N65" s="20">
        <f t="shared" si="21"/>
        <v>0</v>
      </c>
      <c r="O65" s="20">
        <f t="shared" si="21"/>
        <v>0</v>
      </c>
      <c r="P65" s="20">
        <f t="shared" si="21"/>
        <v>0</v>
      </c>
      <c r="Q65" s="13"/>
      <c r="R65" s="13"/>
      <c r="S65" s="852">
        <f>IF('Input 5_Product Uptake'!$M$9=0,E65*Ratios!$N$16,E65*Ratios!$N$16*Ratios!$Z$10)</f>
        <v>290.59027021593647</v>
      </c>
      <c r="T65" s="852">
        <f>IF('Input 5_Product Uptake'!$M$9=0,F65*Ratios!$N$16,F65*Ratios!$N$16*Ratios!$Z$10)</f>
        <v>842.34394784113215</v>
      </c>
      <c r="U65" s="852">
        <f>IF('Input 5_Product Uptake'!$M$9=0,G65*Ratios!$N$16,G65*Ratios!$N$16*Ratios!$Z$10)</f>
        <v>1199.1446593720923</v>
      </c>
      <c r="V65" s="852">
        <f>IF('Input 5_Product Uptake'!$M$9=0,H65*Ratios!$N$16,H65*Ratios!$N$16*Ratios!$Z$10)</f>
        <v>801.88201148195128</v>
      </c>
      <c r="W65" s="852">
        <f>IF('Input 5_Product Uptake'!$M$9=0,I65*Ratios!$N$16,I65*Ratios!$N$16*Ratios!$Z$10)</f>
        <v>430.36786854765279</v>
      </c>
      <c r="X65" s="852">
        <f>IF('Input 5_Product Uptake'!$M$9=0,J65*Ratios!$N$16,J65*Ratios!$N$16*Ratios!$Z$10)</f>
        <v>114.02909337587379</v>
      </c>
      <c r="Y65" s="852">
        <f>IF('Input 5_Product Uptake'!$M$9=0,K65*Ratios!$N$16,K65*Ratios!$N$16*Ratios!$Z$10)</f>
        <v>0</v>
      </c>
      <c r="Z65" s="852">
        <f>IF('Input 5_Product Uptake'!$M$9=0,L65*Ratios!$N$16,L65*Ratios!$N$16*Ratios!$Z$10)</f>
        <v>0</v>
      </c>
      <c r="AA65" s="852">
        <f>IF('Input 5_Product Uptake'!$M$9=0,M65*Ratios!$N$16,M65*Ratios!$N$16*Ratios!$Z$10)</f>
        <v>0</v>
      </c>
      <c r="AB65" s="852">
        <f>IF('Input 5_Product Uptake'!$M$9=0,N65*Ratios!$N$16,N65*Ratios!$N$16*Ratios!$Z$10)</f>
        <v>0</v>
      </c>
      <c r="AC65" s="852">
        <f>IF('Input 5_Product Uptake'!$M$9=0,O65*Ratios!$N$16,O65*Ratios!$N$16*Ratios!$Z$10)</f>
        <v>0</v>
      </c>
      <c r="AD65" s="852">
        <f>IF('Input 5_Product Uptake'!$M$9=0,P65*Ratios!$N$16,P65*Ratios!$N$16*Ratios!$Z$10)</f>
        <v>0</v>
      </c>
      <c r="AE65" s="45"/>
      <c r="AF65" s="849">
        <f>Ratios!$P$16*E65</f>
        <v>1976.0524494162714</v>
      </c>
      <c r="AG65" s="849">
        <f>Ratios!$P$16*F65</f>
        <v>5728.0507710927359</v>
      </c>
      <c r="AH65" s="849">
        <f>Ratios!$P$16*G65</f>
        <v>8154.3430191101834</v>
      </c>
      <c r="AI65" s="849">
        <f>Ratios!$P$16*H65</f>
        <v>5452.9042275031288</v>
      </c>
      <c r="AJ65" s="849">
        <f>Ratios!$P$16*I65</f>
        <v>2926.5586909076428</v>
      </c>
      <c r="AK65" s="849">
        <f>Ratios!$P$16*J65</f>
        <v>775.41298647980261</v>
      </c>
      <c r="AL65" s="849">
        <f>Ratios!$P$16*K65</f>
        <v>0</v>
      </c>
      <c r="AM65" s="849">
        <f>Ratios!$P$16*L65</f>
        <v>0</v>
      </c>
      <c r="AN65" s="849">
        <f>Ratios!$P$16*M65</f>
        <v>0</v>
      </c>
      <c r="AO65" s="849">
        <f>Ratios!$P$16*N65</f>
        <v>0</v>
      </c>
      <c r="AP65" s="849">
        <f>Ratios!$P$16*O65</f>
        <v>0</v>
      </c>
      <c r="AQ65" s="849">
        <f>Ratios!$P$16*P65</f>
        <v>0</v>
      </c>
      <c r="AS65" s="275">
        <f t="shared" si="22"/>
        <v>290.59027021593647</v>
      </c>
      <c r="AT65" s="275">
        <f t="shared" si="19"/>
        <v>842.34394784113215</v>
      </c>
      <c r="AU65" s="275">
        <f t="shared" si="19"/>
        <v>1199.1446593720923</v>
      </c>
      <c r="AV65" s="275">
        <f t="shared" si="19"/>
        <v>801.88201148195128</v>
      </c>
      <c r="AW65" s="275">
        <f t="shared" si="19"/>
        <v>430.36786854765279</v>
      </c>
      <c r="AX65" s="275">
        <f t="shared" si="19"/>
        <v>114.02909337587379</v>
      </c>
      <c r="AY65" s="275">
        <f t="shared" si="19"/>
        <v>0</v>
      </c>
      <c r="AZ65" s="275">
        <f t="shared" si="19"/>
        <v>0</v>
      </c>
      <c r="BA65" s="275">
        <f t="shared" si="19"/>
        <v>0</v>
      </c>
      <c r="BB65" s="275">
        <f t="shared" si="19"/>
        <v>0</v>
      </c>
      <c r="BC65" s="275">
        <f t="shared" si="19"/>
        <v>0</v>
      </c>
      <c r="BD65" s="275">
        <f t="shared" si="19"/>
        <v>0</v>
      </c>
      <c r="BE65" s="276"/>
      <c r="BF65" s="557">
        <f>IF($B63=0,1,IF(AND(BF64&gt;0,$B63&lt;='Input 4_RSV Season'!$AG$27-1),BF64+1,0))</f>
        <v>0</v>
      </c>
      <c r="BG65" s="549">
        <f>IF(AND($BF65&gt;0,$BF65&lt;='Input 6_Product Efficacy'!$Q$9/30),SUM($AS63:$BD63),0)</f>
        <v>0</v>
      </c>
      <c r="BH65" s="554">
        <f>IF(AND($BF65&gt;0,$BF65&gt;'Input 6_Product Efficacy'!$Q$9/30),SUM($AS63:$BD63),0)</f>
        <v>0</v>
      </c>
      <c r="BI65" s="593"/>
      <c r="BK65" s="549">
        <f>IF(AND($BF65&gt;0,$BF65&lt;='Input 6_Product Efficacy'!$Q$12/30),SUM($AS63:$BD63),0)</f>
        <v>0</v>
      </c>
      <c r="BL65" s="554">
        <f>IF(AND($BF65&gt;0,$BF65&gt;'Input 6_Product Efficacy'!$Q$12/30),SUM($AS63:$BD63),0)</f>
        <v>0</v>
      </c>
      <c r="BM65" s="276"/>
      <c r="BN65" s="276"/>
      <c r="BO65" s="276"/>
      <c r="BP65" s="93"/>
      <c r="BQ65" s="35">
        <f t="shared" si="23"/>
        <v>1976.0524494162714</v>
      </c>
      <c r="BR65" s="35">
        <f t="shared" si="20"/>
        <v>5728.0507710927359</v>
      </c>
      <c r="BS65" s="35">
        <f t="shared" si="20"/>
        <v>8154.3430191101834</v>
      </c>
      <c r="BT65" s="35">
        <f t="shared" si="20"/>
        <v>5452.9042275031288</v>
      </c>
      <c r="BU65" s="35">
        <f t="shared" si="20"/>
        <v>2926.5586909076428</v>
      </c>
      <c r="BV65" s="35">
        <f t="shared" si="20"/>
        <v>775.41298647980261</v>
      </c>
      <c r="BW65" s="35">
        <f t="shared" si="20"/>
        <v>0</v>
      </c>
      <c r="BX65" s="35">
        <f t="shared" si="20"/>
        <v>0</v>
      </c>
      <c r="BY65" s="35">
        <f t="shared" si="20"/>
        <v>0</v>
      </c>
      <c r="BZ65" s="35">
        <f t="shared" si="20"/>
        <v>0</v>
      </c>
      <c r="CA65" s="35">
        <f t="shared" si="20"/>
        <v>0</v>
      </c>
      <c r="CB65" s="35">
        <f t="shared" si="20"/>
        <v>0</v>
      </c>
      <c r="CC65" s="244"/>
      <c r="CD65" s="557">
        <f>IF($B63=0,1,IF(AND(CD64&gt;0,$B63&lt;='Input 4_RSV Season'!$AG$27-1),CD64+1,0))</f>
        <v>0</v>
      </c>
      <c r="CE65" s="549">
        <f>IF(AND($CD65&gt;0,$CD65&lt;='Input 6_Product Efficacy'!$Q$12/30),SUM($BQ63:$CB63),0)</f>
        <v>0</v>
      </c>
      <c r="CF65" s="554">
        <f>IF(AND($CD65&gt;0,$CD65&gt;'Input 6_Product Efficacy'!$Q$12/30),SUM($BQ63:$CB63),0)</f>
        <v>0</v>
      </c>
      <c r="CH65" s="565">
        <f>IF(AND($CD65&gt;0,$CD65&gt;'Input 6_Product Efficacy'!$Q$15/30),SUM($BQ63:$CB63),0)</f>
        <v>0</v>
      </c>
    </row>
    <row r="66" spans="2:86" x14ac:dyDescent="0.3">
      <c r="B66" s="26">
        <v>9</v>
      </c>
      <c r="C66" s="245">
        <f>'Input 2_RSV Rates'!E19*'Input 3_Clinical Severity'!$H$11</f>
        <v>68.16</v>
      </c>
      <c r="E66" s="20">
        <f t="shared" si="21"/>
        <v>4.1930733739560418E-3</v>
      </c>
      <c r="F66" s="20">
        <f t="shared" si="21"/>
        <v>1.2154605096657386E-2</v>
      </c>
      <c r="G66" s="20">
        <f t="shared" si="21"/>
        <v>1.7303062277337591E-2</v>
      </c>
      <c r="H66" s="20">
        <f t="shared" si="21"/>
        <v>1.1570759436992621E-2</v>
      </c>
      <c r="I66" s="20">
        <f t="shared" si="21"/>
        <v>6.2099947437070499E-3</v>
      </c>
      <c r="J66" s="20">
        <f t="shared" si="21"/>
        <v>1.6453832226916113E-3</v>
      </c>
      <c r="K66" s="20">
        <f t="shared" si="21"/>
        <v>0</v>
      </c>
      <c r="L66" s="20">
        <f t="shared" si="21"/>
        <v>0</v>
      </c>
      <c r="M66" s="20">
        <f t="shared" si="21"/>
        <v>0</v>
      </c>
      <c r="N66" s="20">
        <f t="shared" si="21"/>
        <v>0</v>
      </c>
      <c r="O66" s="20">
        <f t="shared" si="21"/>
        <v>0</v>
      </c>
      <c r="P66" s="20">
        <f t="shared" si="21"/>
        <v>0</v>
      </c>
      <c r="Q66" s="13"/>
      <c r="R66" s="13"/>
      <c r="S66" s="852">
        <f>IF('Input 5_Product Uptake'!$M$9=0,E66*Ratios!$N$16,E66*Ratios!$N$16*Ratios!$Z$10)</f>
        <v>237.66058096854124</v>
      </c>
      <c r="T66" s="852">
        <f>IF('Input 5_Product Uptake'!$M$9=0,F66*Ratios!$N$16,F66*Ratios!$N$16*Ratios!$Z$10)</f>
        <v>688.91484863032838</v>
      </c>
      <c r="U66" s="852">
        <f>IF('Input 5_Product Uptake'!$M$9=0,G66*Ratios!$N$16,G66*Ratios!$N$16*Ratios!$Z$10)</f>
        <v>980.72594171828428</v>
      </c>
      <c r="V66" s="852">
        <f>IF('Input 5_Product Uptake'!$M$9=0,H66*Ratios!$N$16,H66*Ratios!$N$16*Ratios!$Z$10)</f>
        <v>655.82286900179736</v>
      </c>
      <c r="W66" s="852">
        <f>IF('Input 5_Product Uptake'!$M$9=0,I66*Ratios!$N$16,I66*Ratios!$N$16*Ratios!$Z$10)</f>
        <v>351.97832877619402</v>
      </c>
      <c r="X66" s="852">
        <f>IF('Input 5_Product Uptake'!$M$9=0,J66*Ratios!$N$16,J66*Ratios!$N$16*Ratios!$Z$10)</f>
        <v>93.259215316769343</v>
      </c>
      <c r="Y66" s="852">
        <f>IF('Input 5_Product Uptake'!$M$9=0,K66*Ratios!$N$16,K66*Ratios!$N$16*Ratios!$Z$10)</f>
        <v>0</v>
      </c>
      <c r="Z66" s="852">
        <f>IF('Input 5_Product Uptake'!$M$9=0,L66*Ratios!$N$16,L66*Ratios!$N$16*Ratios!$Z$10)</f>
        <v>0</v>
      </c>
      <c r="AA66" s="852">
        <f>IF('Input 5_Product Uptake'!$M$9=0,M66*Ratios!$N$16,M66*Ratios!$N$16*Ratios!$Z$10)</f>
        <v>0</v>
      </c>
      <c r="AB66" s="852">
        <f>IF('Input 5_Product Uptake'!$M$9=0,N66*Ratios!$N$16,N66*Ratios!$N$16*Ratios!$Z$10)</f>
        <v>0</v>
      </c>
      <c r="AC66" s="852">
        <f>IF('Input 5_Product Uptake'!$M$9=0,O66*Ratios!$N$16,O66*Ratios!$N$16*Ratios!$Z$10)</f>
        <v>0</v>
      </c>
      <c r="AD66" s="852">
        <f>IF('Input 5_Product Uptake'!$M$9=0,P66*Ratios!$N$16,P66*Ratios!$N$16*Ratios!$Z$10)</f>
        <v>0</v>
      </c>
      <c r="AE66" s="45"/>
      <c r="AF66" s="849">
        <f>Ratios!$P$16*E66</f>
        <v>1616.1235295441932</v>
      </c>
      <c r="AG66" s="849">
        <f>Ratios!$P$16*F66</f>
        <v>4684.7125096913942</v>
      </c>
      <c r="AH66" s="849">
        <f>Ratios!$P$16*G66</f>
        <v>6669.0667168532527</v>
      </c>
      <c r="AI66" s="849">
        <f>Ratios!$P$16*H66</f>
        <v>4459.6826511472664</v>
      </c>
      <c r="AJ66" s="849">
        <f>Ratios!$P$16*I66</f>
        <v>2393.4994045148178</v>
      </c>
      <c r="AK66" s="849">
        <f>Ratios!$P$16*J66</f>
        <v>634.17505589708844</v>
      </c>
      <c r="AL66" s="849">
        <f>Ratios!$P$16*K66</f>
        <v>0</v>
      </c>
      <c r="AM66" s="849">
        <f>Ratios!$P$16*L66</f>
        <v>0</v>
      </c>
      <c r="AN66" s="849">
        <f>Ratios!$P$16*M66</f>
        <v>0</v>
      </c>
      <c r="AO66" s="849">
        <f>Ratios!$P$16*N66</f>
        <v>0</v>
      </c>
      <c r="AP66" s="849">
        <f>Ratios!$P$16*O66</f>
        <v>0</v>
      </c>
      <c r="AQ66" s="849">
        <f>Ratios!$P$16*P66</f>
        <v>0</v>
      </c>
      <c r="AS66" s="275">
        <f t="shared" si="22"/>
        <v>237.66058096854124</v>
      </c>
      <c r="AT66" s="275">
        <f t="shared" si="19"/>
        <v>688.91484863032838</v>
      </c>
      <c r="AU66" s="275">
        <f t="shared" si="19"/>
        <v>980.72594171828428</v>
      </c>
      <c r="AV66" s="275">
        <f t="shared" si="19"/>
        <v>655.82286900179736</v>
      </c>
      <c r="AW66" s="275">
        <f t="shared" si="19"/>
        <v>351.97832877619402</v>
      </c>
      <c r="AX66" s="275">
        <f t="shared" si="19"/>
        <v>93.259215316769343</v>
      </c>
      <c r="AY66" s="275">
        <f t="shared" si="19"/>
        <v>0</v>
      </c>
      <c r="AZ66" s="275">
        <f t="shared" si="19"/>
        <v>0</v>
      </c>
      <c r="BA66" s="275">
        <f t="shared" si="19"/>
        <v>0</v>
      </c>
      <c r="BB66" s="275">
        <f t="shared" si="19"/>
        <v>0</v>
      </c>
      <c r="BC66" s="275">
        <f t="shared" si="19"/>
        <v>0</v>
      </c>
      <c r="BD66" s="275">
        <f t="shared" si="19"/>
        <v>0</v>
      </c>
      <c r="BE66" s="276"/>
      <c r="BF66" s="557">
        <f>IF($B64=0,1,IF(AND(BF65&gt;0,$B64&lt;='Input 4_RSV Season'!$AG$27-1),BF65+1,0))</f>
        <v>0</v>
      </c>
      <c r="BG66" s="549">
        <f>IF(AND($BF66&gt;0,$BF66&lt;='Input 6_Product Efficacy'!$Q$9/30),SUM($AS64:$BD64),0)</f>
        <v>0</v>
      </c>
      <c r="BH66" s="554">
        <f>IF(AND($BF66&gt;0,$BF66&gt;'Input 6_Product Efficacy'!$Q$9/30),SUM($AS64:$BD64),0)</f>
        <v>0</v>
      </c>
      <c r="BI66" s="593"/>
      <c r="BK66" s="549">
        <f>IF(AND($BF66&gt;0,$BF66&lt;='Input 6_Product Efficacy'!$Q$12/30),SUM($AS64:$BD64),0)</f>
        <v>0</v>
      </c>
      <c r="BL66" s="554">
        <f>IF(AND($BF66&gt;0,$BF66&gt;'Input 6_Product Efficacy'!$Q$12/30),SUM($AS64:$BD64),0)</f>
        <v>0</v>
      </c>
      <c r="BM66" s="276"/>
      <c r="BN66" s="276"/>
      <c r="BO66" s="276"/>
      <c r="BP66" s="93"/>
      <c r="BQ66" s="35">
        <f t="shared" si="23"/>
        <v>1616.1235295441932</v>
      </c>
      <c r="BR66" s="35">
        <f t="shared" si="20"/>
        <v>4684.7125096913942</v>
      </c>
      <c r="BS66" s="35">
        <f t="shared" si="20"/>
        <v>6669.0667168532527</v>
      </c>
      <c r="BT66" s="35">
        <f t="shared" si="20"/>
        <v>4459.6826511472664</v>
      </c>
      <c r="BU66" s="35">
        <f t="shared" si="20"/>
        <v>2393.4994045148178</v>
      </c>
      <c r="BV66" s="35">
        <f t="shared" si="20"/>
        <v>634.17505589708844</v>
      </c>
      <c r="BW66" s="35">
        <f t="shared" si="20"/>
        <v>0</v>
      </c>
      <c r="BX66" s="35">
        <f t="shared" si="20"/>
        <v>0</v>
      </c>
      <c r="BY66" s="35">
        <f t="shared" si="20"/>
        <v>0</v>
      </c>
      <c r="BZ66" s="35">
        <f t="shared" si="20"/>
        <v>0</v>
      </c>
      <c r="CA66" s="35">
        <f t="shared" si="20"/>
        <v>0</v>
      </c>
      <c r="CB66" s="35">
        <f t="shared" si="20"/>
        <v>0</v>
      </c>
      <c r="CC66" s="244"/>
      <c r="CD66" s="557">
        <f>IF($B64=0,1,IF(AND(CD65&gt;0,$B64&lt;='Input 4_RSV Season'!$AG$27-1),CD65+1,0))</f>
        <v>0</v>
      </c>
      <c r="CE66" s="549">
        <f>IF(AND($CD66&gt;0,$CD66&lt;='Input 6_Product Efficacy'!$Q$12/30),SUM($BQ64:$CB64),0)</f>
        <v>0</v>
      </c>
      <c r="CF66" s="554">
        <f>IF(AND($CD66&gt;0,$CD66&gt;'Input 6_Product Efficacy'!$Q$12/30),SUM($BQ64:$CB64),0)</f>
        <v>0</v>
      </c>
      <c r="CH66" s="565">
        <f>IF(AND($CD66&gt;0,$CD66&gt;'Input 6_Product Efficacy'!$Q$15/30),SUM($BQ64:$CB64),0)</f>
        <v>0</v>
      </c>
    </row>
    <row r="67" spans="2:86" x14ac:dyDescent="0.3">
      <c r="B67" s="26">
        <v>10</v>
      </c>
      <c r="C67" s="245">
        <f>'Input 2_RSV Rates'!E20*'Input 3_Clinical Severity'!$H$11</f>
        <v>72.509999999999991</v>
      </c>
      <c r="E67" s="20">
        <f t="shared" si="21"/>
        <v>4.4606770884030597E-3</v>
      </c>
      <c r="F67" s="20">
        <f t="shared" si="21"/>
        <v>1.2930317129674691E-2</v>
      </c>
      <c r="G67" s="20">
        <f t="shared" si="21"/>
        <v>1.8407351023030351E-2</v>
      </c>
      <c r="H67" s="20">
        <f t="shared" si="21"/>
        <v>1.2309210193314773E-2</v>
      </c>
      <c r="I67" s="20">
        <f t="shared" si="21"/>
        <v>6.6063192321918736E-3</v>
      </c>
      <c r="J67" s="20">
        <f t="shared" si="21"/>
        <v>1.7503922751961375E-3</v>
      </c>
      <c r="K67" s="20">
        <f t="shared" si="21"/>
        <v>0</v>
      </c>
      <c r="L67" s="20">
        <f t="shared" si="21"/>
        <v>0</v>
      </c>
      <c r="M67" s="20">
        <f t="shared" si="21"/>
        <v>0</v>
      </c>
      <c r="N67" s="20">
        <f t="shared" si="21"/>
        <v>0</v>
      </c>
      <c r="O67" s="20">
        <f t="shared" si="21"/>
        <v>0</v>
      </c>
      <c r="P67" s="20">
        <f t="shared" si="21"/>
        <v>0</v>
      </c>
      <c r="Q67" s="13"/>
      <c r="R67" s="13"/>
      <c r="S67" s="852">
        <f>IF('Input 5_Product Uptake'!$M$9=0,E67*Ratios!$N$16,E67*Ratios!$N$16*Ratios!$Z$10)</f>
        <v>252.82817966591733</v>
      </c>
      <c r="T67" s="852">
        <f>IF('Input 5_Product Uptake'!$M$9=0,F67*Ratios!$N$16,F67*Ratios!$N$16*Ratios!$Z$10)</f>
        <v>732.88168536069691</v>
      </c>
      <c r="U67" s="852">
        <f>IF('Input 5_Product Uptake'!$M$9=0,G67*Ratios!$N$16,G67*Ratios!$N$16*Ratios!$Z$10)</f>
        <v>1043.3162857099881</v>
      </c>
      <c r="V67" s="852">
        <f>IF('Input 5_Product Uptake'!$M$9=0,H67*Ratios!$N$16,H67*Ratios!$N$16*Ratios!$Z$10)</f>
        <v>697.67776160974654</v>
      </c>
      <c r="W67" s="852">
        <f>IF('Input 5_Product Uptake'!$M$9=0,I67*Ratios!$N$16,I67*Ratios!$N$16*Ratios!$Z$10)</f>
        <v>374.44173444192813</v>
      </c>
      <c r="X67" s="852">
        <f>IF('Input 5_Product Uptake'!$M$9=0,J67*Ratios!$N$16,J67*Ratios!$N$16*Ratios!$Z$10)</f>
        <v>99.21105784358781</v>
      </c>
      <c r="Y67" s="852">
        <f>IF('Input 5_Product Uptake'!$M$9=0,K67*Ratios!$N$16,K67*Ratios!$N$16*Ratios!$Z$10)</f>
        <v>0</v>
      </c>
      <c r="Z67" s="852">
        <f>IF('Input 5_Product Uptake'!$M$9=0,L67*Ratios!$N$16,L67*Ratios!$N$16*Ratios!$Z$10)</f>
        <v>0</v>
      </c>
      <c r="AA67" s="852">
        <f>IF('Input 5_Product Uptake'!$M$9=0,M67*Ratios!$N$16,M67*Ratios!$N$16*Ratios!$Z$10)</f>
        <v>0</v>
      </c>
      <c r="AB67" s="852">
        <f>IF('Input 5_Product Uptake'!$M$9=0,N67*Ratios!$N$16,N67*Ratios!$N$16*Ratios!$Z$10)</f>
        <v>0</v>
      </c>
      <c r="AC67" s="852">
        <f>IF('Input 5_Product Uptake'!$M$9=0,O67*Ratios!$N$16,O67*Ratios!$N$16*Ratios!$Z$10)</f>
        <v>0</v>
      </c>
      <c r="AD67" s="852">
        <f>IF('Input 5_Product Uptake'!$M$9=0,P67*Ratios!$N$16,P67*Ratios!$N$16*Ratios!$Z$10)</f>
        <v>0</v>
      </c>
      <c r="AE67" s="45"/>
      <c r="AF67" s="849">
        <f>Ratios!$P$16*E67</f>
        <v>1719.2652160688003</v>
      </c>
      <c r="AG67" s="849">
        <f>Ratios!$P$16*F67</f>
        <v>4983.6928415158891</v>
      </c>
      <c r="AH67" s="849">
        <f>Ratios!$P$16*G67</f>
        <v>7094.6893726383414</v>
      </c>
      <c r="AI67" s="849">
        <f>Ratios!$P$16*H67</f>
        <v>4744.3014823164367</v>
      </c>
      <c r="AJ67" s="849">
        <f>Ratios!$P$16*I67</f>
        <v>2546.2535478487298</v>
      </c>
      <c r="AK67" s="849">
        <f>Ratios!$P$16*J67</f>
        <v>674.64837592573178</v>
      </c>
      <c r="AL67" s="849">
        <f>Ratios!$P$16*K67</f>
        <v>0</v>
      </c>
      <c r="AM67" s="849">
        <f>Ratios!$P$16*L67</f>
        <v>0</v>
      </c>
      <c r="AN67" s="849">
        <f>Ratios!$P$16*M67</f>
        <v>0</v>
      </c>
      <c r="AO67" s="849">
        <f>Ratios!$P$16*N67</f>
        <v>0</v>
      </c>
      <c r="AP67" s="849">
        <f>Ratios!$P$16*O67</f>
        <v>0</v>
      </c>
      <c r="AQ67" s="849">
        <f>Ratios!$P$16*P67</f>
        <v>0</v>
      </c>
      <c r="AS67" s="275">
        <f t="shared" si="22"/>
        <v>252.82817966591733</v>
      </c>
      <c r="AT67" s="275">
        <f t="shared" si="19"/>
        <v>732.88168536069691</v>
      </c>
      <c r="AU67" s="275">
        <f t="shared" si="19"/>
        <v>1043.3162857099881</v>
      </c>
      <c r="AV67" s="275">
        <f t="shared" si="19"/>
        <v>697.67776160974654</v>
      </c>
      <c r="AW67" s="275">
        <f t="shared" si="19"/>
        <v>374.44173444192813</v>
      </c>
      <c r="AX67" s="275">
        <f t="shared" si="19"/>
        <v>99.21105784358781</v>
      </c>
      <c r="AY67" s="275">
        <f t="shared" si="19"/>
        <v>0</v>
      </c>
      <c r="AZ67" s="275">
        <f t="shared" si="19"/>
        <v>0</v>
      </c>
      <c r="BA67" s="275">
        <f t="shared" si="19"/>
        <v>0</v>
      </c>
      <c r="BB67" s="275">
        <f t="shared" si="19"/>
        <v>0</v>
      </c>
      <c r="BC67" s="275">
        <f t="shared" si="19"/>
        <v>0</v>
      </c>
      <c r="BD67" s="275">
        <f t="shared" si="19"/>
        <v>0</v>
      </c>
      <c r="BE67" s="276"/>
      <c r="BF67" s="557">
        <f>IF($B65=0,1,IF(AND(BF66&gt;0,$B65&lt;='Input 4_RSV Season'!$AG$27-1),BF66+1,0))</f>
        <v>0</v>
      </c>
      <c r="BG67" s="549">
        <f>IF(AND($BF67&gt;0,$BF67&lt;='Input 6_Product Efficacy'!$Q$9/30),SUM($AS65:$BD65),0)</f>
        <v>0</v>
      </c>
      <c r="BH67" s="554">
        <f>IF(AND($BF67&gt;0,$BF67&gt;'Input 6_Product Efficacy'!$Q$9/30),SUM($AS65:$BD65),0)</f>
        <v>0</v>
      </c>
      <c r="BI67" s="593"/>
      <c r="BK67" s="549">
        <f>IF(AND($BF67&gt;0,$BF67&lt;='Input 6_Product Efficacy'!$Q$12/30),SUM($AS65:$BD65),0)</f>
        <v>0</v>
      </c>
      <c r="BL67" s="554">
        <f>IF(AND($BF67&gt;0,$BF67&gt;'Input 6_Product Efficacy'!$Q$12/30),SUM($AS65:$BD65),0)</f>
        <v>0</v>
      </c>
      <c r="BM67" s="276"/>
      <c r="BN67" s="276"/>
      <c r="BO67" s="276"/>
      <c r="BP67" s="93"/>
      <c r="BQ67" s="35">
        <f t="shared" si="23"/>
        <v>1719.2652160688003</v>
      </c>
      <c r="BR67" s="35">
        <f t="shared" si="20"/>
        <v>4983.6928415158891</v>
      </c>
      <c r="BS67" s="35">
        <f t="shared" si="20"/>
        <v>7094.6893726383414</v>
      </c>
      <c r="BT67" s="35">
        <f t="shared" si="20"/>
        <v>4744.3014823164367</v>
      </c>
      <c r="BU67" s="35">
        <f t="shared" si="20"/>
        <v>2546.2535478487298</v>
      </c>
      <c r="BV67" s="35">
        <f t="shared" si="20"/>
        <v>674.64837592573178</v>
      </c>
      <c r="BW67" s="35">
        <f t="shared" si="20"/>
        <v>0</v>
      </c>
      <c r="BX67" s="35">
        <f t="shared" si="20"/>
        <v>0</v>
      </c>
      <c r="BY67" s="35">
        <f t="shared" si="20"/>
        <v>0</v>
      </c>
      <c r="BZ67" s="35">
        <f t="shared" si="20"/>
        <v>0</v>
      </c>
      <c r="CA67" s="35">
        <f t="shared" si="20"/>
        <v>0</v>
      </c>
      <c r="CB67" s="35">
        <f t="shared" si="20"/>
        <v>0</v>
      </c>
      <c r="CC67" s="244"/>
      <c r="CD67" s="557">
        <f>IF($B65=0,1,IF(AND(CD66&gt;0,$B65&lt;='Input 4_RSV Season'!$AG$27-1),CD66+1,0))</f>
        <v>0</v>
      </c>
      <c r="CE67" s="549">
        <f>IF(AND($CD67&gt;0,$CD67&lt;='Input 6_Product Efficacy'!$Q$12/30),SUM($BQ65:$CB65),0)</f>
        <v>0</v>
      </c>
      <c r="CF67" s="554">
        <f>IF(AND($CD67&gt;0,$CD67&gt;'Input 6_Product Efficacy'!$Q$12/30),SUM($BQ65:$CB65),0)</f>
        <v>0</v>
      </c>
      <c r="CH67" s="565">
        <f>IF(AND($CD67&gt;0,$CD67&gt;'Input 6_Product Efficacy'!$Q$15/30),SUM($BQ65:$CB65),0)</f>
        <v>0</v>
      </c>
    </row>
    <row r="68" spans="2:86" x14ac:dyDescent="0.3">
      <c r="B68" s="26">
        <v>11</v>
      </c>
      <c r="C68" s="245">
        <f>'Input 2_RSV Rates'!E21*'Input 3_Clinical Severity'!$H$11</f>
        <v>77.430000000000007</v>
      </c>
      <c r="E68" s="20">
        <f t="shared" si="21"/>
        <v>4.7633461171569299E-3</v>
      </c>
      <c r="F68" s="20">
        <f t="shared" si="21"/>
        <v>1.3807674187708063E-2</v>
      </c>
      <c r="G68" s="20">
        <f t="shared" si="21"/>
        <v>1.9656339673331132E-2</v>
      </c>
      <c r="H68" s="20">
        <f t="shared" si="21"/>
        <v>1.3144423462534313E-2</v>
      </c>
      <c r="I68" s="20">
        <f t="shared" si="21"/>
        <v>7.0545758950298848E-3</v>
      </c>
      <c r="J68" s="20">
        <f t="shared" si="21"/>
        <v>1.8691611345805677E-3</v>
      </c>
      <c r="K68" s="20">
        <f t="shared" si="21"/>
        <v>0</v>
      </c>
      <c r="L68" s="20">
        <f t="shared" si="21"/>
        <v>0</v>
      </c>
      <c r="M68" s="20">
        <f t="shared" si="21"/>
        <v>0</v>
      </c>
      <c r="N68" s="20">
        <f t="shared" si="21"/>
        <v>0</v>
      </c>
      <c r="O68" s="20">
        <f t="shared" si="21"/>
        <v>0</v>
      </c>
      <c r="P68" s="20">
        <f t="shared" si="21"/>
        <v>0</v>
      </c>
      <c r="Q68" s="13"/>
      <c r="R68" s="13"/>
      <c r="S68" s="852">
        <f>IF('Input 5_Product Uptake'!$M$9=0,E68*Ratios!$N$16,E68*Ratios!$N$16*Ratios!$Z$10)</f>
        <v>269.98325681329442</v>
      </c>
      <c r="T68" s="852">
        <f>IF('Input 5_Product Uptake'!$M$9=0,F68*Ratios!$N$16,F68*Ratios!$N$16*Ratios!$Z$10)</f>
        <v>782.60969380056247</v>
      </c>
      <c r="U68" s="852">
        <f>IF('Input 5_Product Uptake'!$M$9=0,G68*Ratios!$N$16,G68*Ratios!$N$16*Ratios!$Z$10)</f>
        <v>1114.1081230523293</v>
      </c>
      <c r="V68" s="852">
        <f>IF('Input 5_Product Uptake'!$M$9=0,H68*Ratios!$N$16,H68*Ratios!$N$16*Ratios!$Z$10)</f>
        <v>745.01708842149617</v>
      </c>
      <c r="W68" s="852">
        <f>IF('Input 5_Product Uptake'!$M$9=0,I68*Ratios!$N$16,I68*Ratios!$N$16*Ratios!$Z$10)</f>
        <v>399.8486208500691</v>
      </c>
      <c r="X68" s="852">
        <f>IF('Input 5_Product Uptake'!$M$9=0,J68*Ratios!$N$16,J68*Ratios!$N$16*Ratios!$Z$10)</f>
        <v>105.94279697736872</v>
      </c>
      <c r="Y68" s="852">
        <f>IF('Input 5_Product Uptake'!$M$9=0,K68*Ratios!$N$16,K68*Ratios!$N$16*Ratios!$Z$10)</f>
        <v>0</v>
      </c>
      <c r="Z68" s="852">
        <f>IF('Input 5_Product Uptake'!$M$9=0,L68*Ratios!$N$16,L68*Ratios!$N$16*Ratios!$Z$10)</f>
        <v>0</v>
      </c>
      <c r="AA68" s="852">
        <f>IF('Input 5_Product Uptake'!$M$9=0,M68*Ratios!$N$16,M68*Ratios!$N$16*Ratios!$Z$10)</f>
        <v>0</v>
      </c>
      <c r="AB68" s="852">
        <f>IF('Input 5_Product Uptake'!$M$9=0,N68*Ratios!$N$16,N68*Ratios!$N$16*Ratios!$Z$10)</f>
        <v>0</v>
      </c>
      <c r="AC68" s="852">
        <f>IF('Input 5_Product Uptake'!$M$9=0,O68*Ratios!$N$16,O68*Ratios!$N$16*Ratios!$Z$10)</f>
        <v>0</v>
      </c>
      <c r="AD68" s="852">
        <f>IF('Input 5_Product Uptake'!$M$9=0,P68*Ratios!$N$16,P68*Ratios!$N$16*Ratios!$Z$10)</f>
        <v>0</v>
      </c>
      <c r="AE68" s="45"/>
      <c r="AF68" s="849">
        <f>Ratios!$P$16*E68</f>
        <v>1835.9220201380117</v>
      </c>
      <c r="AG68" s="849">
        <f>Ratios!$P$16*F68</f>
        <v>5321.849906476009</v>
      </c>
      <c r="AH68" s="849">
        <f>Ratios!$P$16*G68</f>
        <v>7576.0832729745816</v>
      </c>
      <c r="AI68" s="849">
        <f>Ratios!$P$16*H68</f>
        <v>5066.2151948112223</v>
      </c>
      <c r="AJ68" s="849">
        <f>Ratios!$P$16*I68</f>
        <v>2719.0237513436382</v>
      </c>
      <c r="AK68" s="849">
        <f>Ratios!$P$16*J68</f>
        <v>720.42509650985278</v>
      </c>
      <c r="AL68" s="849">
        <f>Ratios!$P$16*K68</f>
        <v>0</v>
      </c>
      <c r="AM68" s="849">
        <f>Ratios!$P$16*L68</f>
        <v>0</v>
      </c>
      <c r="AN68" s="849">
        <f>Ratios!$P$16*M68</f>
        <v>0</v>
      </c>
      <c r="AO68" s="849">
        <f>Ratios!$P$16*N68</f>
        <v>0</v>
      </c>
      <c r="AP68" s="849">
        <f>Ratios!$P$16*O68</f>
        <v>0</v>
      </c>
      <c r="AQ68" s="849">
        <f>Ratios!$P$16*P68</f>
        <v>0</v>
      </c>
      <c r="AS68" s="275">
        <f t="shared" si="22"/>
        <v>269.98325681329442</v>
      </c>
      <c r="AT68" s="275">
        <f t="shared" si="19"/>
        <v>782.60969380056247</v>
      </c>
      <c r="AU68" s="275">
        <f t="shared" si="19"/>
        <v>1114.1081230523293</v>
      </c>
      <c r="AV68" s="275">
        <f t="shared" si="19"/>
        <v>745.01708842149617</v>
      </c>
      <c r="AW68" s="275">
        <f t="shared" si="19"/>
        <v>399.8486208500691</v>
      </c>
      <c r="AX68" s="275">
        <f t="shared" si="19"/>
        <v>105.94279697736872</v>
      </c>
      <c r="AY68" s="275">
        <f t="shared" si="19"/>
        <v>0</v>
      </c>
      <c r="AZ68" s="275">
        <f t="shared" si="19"/>
        <v>0</v>
      </c>
      <c r="BA68" s="275">
        <f t="shared" si="19"/>
        <v>0</v>
      </c>
      <c r="BB68" s="275">
        <f t="shared" si="19"/>
        <v>0</v>
      </c>
      <c r="BC68" s="275">
        <f t="shared" si="19"/>
        <v>0</v>
      </c>
      <c r="BD68" s="275">
        <f t="shared" si="19"/>
        <v>0</v>
      </c>
      <c r="BE68" s="276"/>
      <c r="BF68" s="557">
        <f>IF($B66=0,1,IF(AND(BF67&gt;0,$B66&lt;='Input 4_RSV Season'!$AG$27-1),BF67+1,0))</f>
        <v>0</v>
      </c>
      <c r="BG68" s="549">
        <f>IF(AND($BF68&gt;0,$BF68&lt;='Input 6_Product Efficacy'!$Q$9/30),SUM($AS66:$BD66),0)</f>
        <v>0</v>
      </c>
      <c r="BH68" s="554">
        <f>IF(AND($BF68&gt;0,$BF68&gt;'Input 6_Product Efficacy'!$Q$9/30),SUM($AS66:$BD66),0)</f>
        <v>0</v>
      </c>
      <c r="BI68" s="593"/>
      <c r="BK68" s="549">
        <f>IF(AND($BF68&gt;0,$BF68&lt;='Input 6_Product Efficacy'!$Q$12/30),SUM($AS66:$BD66),0)</f>
        <v>0</v>
      </c>
      <c r="BL68" s="554">
        <f>IF(AND($BF68&gt;0,$BF68&gt;'Input 6_Product Efficacy'!$Q$12/30),SUM($AS66:$BD66),0)</f>
        <v>0</v>
      </c>
      <c r="BM68" s="276"/>
      <c r="BN68" s="276"/>
      <c r="BO68" s="276"/>
      <c r="BP68" s="93"/>
      <c r="BQ68" s="35">
        <f t="shared" si="23"/>
        <v>1835.9220201380117</v>
      </c>
      <c r="BR68" s="35">
        <f t="shared" si="20"/>
        <v>5321.849906476009</v>
      </c>
      <c r="BS68" s="35">
        <f t="shared" si="20"/>
        <v>7576.0832729745816</v>
      </c>
      <c r="BT68" s="35">
        <f t="shared" si="20"/>
        <v>5066.2151948112223</v>
      </c>
      <c r="BU68" s="35">
        <f t="shared" si="20"/>
        <v>2719.0237513436382</v>
      </c>
      <c r="BV68" s="35">
        <f t="shared" si="20"/>
        <v>720.42509650985278</v>
      </c>
      <c r="BW68" s="35">
        <f t="shared" si="20"/>
        <v>0</v>
      </c>
      <c r="BX68" s="35">
        <f t="shared" si="20"/>
        <v>0</v>
      </c>
      <c r="BY68" s="35">
        <f t="shared" si="20"/>
        <v>0</v>
      </c>
      <c r="BZ68" s="35">
        <f t="shared" si="20"/>
        <v>0</v>
      </c>
      <c r="CA68" s="35">
        <f t="shared" si="20"/>
        <v>0</v>
      </c>
      <c r="CB68" s="35">
        <f t="shared" si="20"/>
        <v>0</v>
      </c>
      <c r="CC68" s="244"/>
      <c r="CD68" s="557">
        <f>IF($B66=0,1,IF(AND(CD67&gt;0,$B66&lt;='Input 4_RSV Season'!$AG$27-1),CD67+1,0))</f>
        <v>0</v>
      </c>
      <c r="CE68" s="549">
        <f>IF(AND($CD68&gt;0,$CD68&lt;='Input 6_Product Efficacy'!$Q$12/30),SUM($BQ66:$CB66),0)</f>
        <v>0</v>
      </c>
      <c r="CF68" s="554">
        <f>IF(AND($CD68&gt;0,$CD68&gt;'Input 6_Product Efficacy'!$Q$12/30),SUM($BQ66:$CB66),0)</f>
        <v>0</v>
      </c>
      <c r="CH68" s="565">
        <f>IF(AND($CD68&gt;0,$CD68&gt;'Input 6_Product Efficacy'!$Q$15/30),SUM($BQ66:$CB66),0)</f>
        <v>0</v>
      </c>
    </row>
    <row r="69" spans="2:86" ht="15" thickBot="1" x14ac:dyDescent="0.35">
      <c r="E69" s="246"/>
      <c r="F69" s="246"/>
      <c r="G69" s="246"/>
      <c r="H69" s="246"/>
      <c r="I69" s="246"/>
      <c r="J69" s="246"/>
      <c r="K69" s="43"/>
      <c r="L69" s="43"/>
      <c r="M69" s="43"/>
      <c r="N69" s="43"/>
      <c r="O69" s="43"/>
      <c r="P69" s="43"/>
      <c r="Q69" s="13"/>
      <c r="R69" s="13"/>
      <c r="S69" s="13"/>
      <c r="T69" s="13"/>
      <c r="U69" s="13"/>
      <c r="V69" s="13"/>
      <c r="W69" s="13"/>
      <c r="X69" s="13"/>
      <c r="Y69" s="13"/>
      <c r="Z69" s="13"/>
      <c r="AA69" s="13"/>
      <c r="AB69" s="13"/>
      <c r="AC69" s="13"/>
      <c r="AD69" s="13"/>
      <c r="AE69" s="13"/>
      <c r="AF69" s="850"/>
      <c r="AG69" s="850"/>
      <c r="AH69" s="850"/>
      <c r="AI69" s="850"/>
      <c r="AJ69" s="850"/>
      <c r="AK69" s="850"/>
      <c r="AL69" s="850"/>
      <c r="AM69" s="850"/>
      <c r="AN69" s="850"/>
      <c r="AO69" s="850"/>
      <c r="AP69" s="850"/>
      <c r="AQ69" s="850"/>
      <c r="AS69" s="2" t="s">
        <v>275</v>
      </c>
      <c r="AT69" s="614">
        <f>BG74</f>
        <v>1.9201814592029942</v>
      </c>
      <c r="AU69" s="32"/>
      <c r="AV69" s="32"/>
      <c r="AW69" s="47" t="s">
        <v>22</v>
      </c>
      <c r="AX69" s="48">
        <f>SUM(AS57:BD68)</f>
        <v>56679.327970909202</v>
      </c>
      <c r="AY69" s="48"/>
      <c r="AZ69" s="48"/>
      <c r="BA69" s="48"/>
      <c r="BB69" s="48"/>
      <c r="BC69" s="48"/>
      <c r="BD69" s="48"/>
      <c r="BE69" s="48"/>
      <c r="BF69" s="557">
        <f>IF($B67=0,1,IF(AND(BF68&gt;0,$B67&lt;='Input 4_RSV Season'!$AG$27-1),BF68+1,0))</f>
        <v>0</v>
      </c>
      <c r="BG69" s="549">
        <f>IF(AND($BF69&gt;0,$BF69&lt;='Input 6_Product Efficacy'!$Q$9/30),SUM($AS67:$BD67),0)</f>
        <v>0</v>
      </c>
      <c r="BH69" s="554">
        <f>IF(AND($BF69&gt;0,$BF69&gt;'Input 6_Product Efficacy'!$Q$9/30),SUM($AS67:$BD67),0)</f>
        <v>0</v>
      </c>
      <c r="BI69" s="593"/>
      <c r="BK69" s="549">
        <f>IF(AND($BF69&gt;0,$BF69&lt;='Input 6_Product Efficacy'!$Q$12/30),SUM($AS67:$BD67),0)</f>
        <v>0</v>
      </c>
      <c r="BL69" s="554">
        <f>IF(AND($BF69&gt;0,$BF69&gt;'Input 6_Product Efficacy'!$Q$12/30),SUM($AS67:$BD67),0)</f>
        <v>0</v>
      </c>
      <c r="BM69" s="48"/>
      <c r="BN69" s="48"/>
      <c r="BO69" s="48"/>
      <c r="BP69" s="32"/>
      <c r="BQ69" s="47" t="s">
        <v>35</v>
      </c>
      <c r="BR69" s="614">
        <f>SUM(BV70:BV71)</f>
        <v>0.12922984532257092</v>
      </c>
      <c r="BS69" s="32"/>
      <c r="BT69" s="32"/>
      <c r="BU69" s="47" t="s">
        <v>23</v>
      </c>
      <c r="BV69" s="48">
        <f>SUM(BQ57:CB68)</f>
        <v>385426.96142219618</v>
      </c>
      <c r="BW69" s="48"/>
      <c r="BX69" s="48"/>
      <c r="BY69" s="510" t="s">
        <v>278</v>
      </c>
      <c r="BZ69" s="510" t="s">
        <v>279</v>
      </c>
      <c r="CA69" s="510" t="s">
        <v>280</v>
      </c>
      <c r="CB69" s="48"/>
      <c r="CC69" s="36"/>
      <c r="CD69" s="557">
        <f>IF($B67=0,1,IF(AND(CD68&gt;0,$B67&lt;='Input 4_RSV Season'!$AG$27-1),CD68+1,0))</f>
        <v>0</v>
      </c>
      <c r="CE69" s="549">
        <f>IF(AND($CD69&gt;0,$CD69&lt;='Input 6_Product Efficacy'!$Q$12/30),SUM($BQ67:$CB67),0)</f>
        <v>0</v>
      </c>
      <c r="CF69" s="554">
        <f>IF(AND($CD69&gt;0,$CD69&gt;'Input 6_Product Efficacy'!$Q$12/30),SUM($BQ67:$CB67),0)</f>
        <v>0</v>
      </c>
      <c r="CH69" s="565">
        <f>IF(AND($CD69&gt;0,$CD69&gt;'Input 6_Product Efficacy'!$Q$15/30),SUM($BQ67:$CB67),0)</f>
        <v>0</v>
      </c>
    </row>
    <row r="70" spans="2:86" x14ac:dyDescent="0.3">
      <c r="B70" s="115" t="s">
        <v>247</v>
      </c>
      <c r="C70" s="115" t="s">
        <v>250</v>
      </c>
      <c r="AT70" s="613" t="s">
        <v>117</v>
      </c>
      <c r="AW70" s="2" t="s">
        <v>291</v>
      </c>
      <c r="AX70" s="70">
        <f>BG73</f>
        <v>1.4910674201012974</v>
      </c>
      <c r="AY70" s="72"/>
      <c r="BD70" s="70"/>
      <c r="BE70" s="70"/>
      <c r="BF70" s="557">
        <f>IF($B68=0,1,IF(AND(BF69&gt;0,$B68&lt;='Input 4_RSV Season'!$AG$27-1),BF69+1,0))</f>
        <v>0</v>
      </c>
      <c r="BG70" s="550">
        <f>IF(AND($BF70&gt;0,$BF70&lt;='Input 6_Product Efficacy'!$Q$9/30),SUM($AS68:$BD68),0)</f>
        <v>0</v>
      </c>
      <c r="BH70" s="555">
        <f>IF(AND($BF70&gt;0,$BF70&gt;'Input 6_Product Efficacy'!$Q$9/30),SUM($AS68:$BD68),0)</f>
        <v>0</v>
      </c>
      <c r="BI70" s="593"/>
      <c r="BK70" s="550">
        <f>IF(AND($BF70&gt;0,$BF70&lt;='Input 6_Product Efficacy'!$Q$12/30),SUM($AS68:$BD68),0)</f>
        <v>0</v>
      </c>
      <c r="BL70" s="555">
        <f>IF(AND($BF70&gt;0,$BF70&gt;'Input 6_Product Efficacy'!$Q$12/30),SUM($AS68:$BD68),0)</f>
        <v>0</v>
      </c>
      <c r="BM70" s="70"/>
      <c r="BN70" s="70"/>
      <c r="BO70" s="70"/>
      <c r="BR70" s="613" t="s">
        <v>277</v>
      </c>
      <c r="BU70" s="2" t="s">
        <v>286</v>
      </c>
      <c r="BV70" s="617">
        <f>IF('Input 6_Product Efficacy'!$Q$15=120,'WiS percent RSV_base'!CA70,IF('Input 6_Product Efficacy'!$Q$15=60,'WiS percent RSV_base'!BZ70,'WiS percent RSV_base'!BY70))</f>
        <v>5.0659377584529985E-2</v>
      </c>
      <c r="BX70" s="510" t="s">
        <v>281</v>
      </c>
      <c r="BY70" s="70">
        <f>SUM(BQ57:CB59)/((1-'Input 1_Population'!$G$24)*'WiS percent RSV_base'!$BB$5)</f>
        <v>5.0659377584529985E-2</v>
      </c>
      <c r="BZ70" s="70">
        <f>SUM(BQ57:CB58)/((1-'Input 1_Population'!$G$24)*'WiS percent RSV_base'!$BB$5)</f>
        <v>2.727198111242881E-2</v>
      </c>
      <c r="CA70" s="70">
        <f>SUM(BQ57:CB60)/((1-'Input 1_Population'!$G$24)*'WiS percent RSV_base'!$BB$5)</f>
        <v>7.3886996796360613E-2</v>
      </c>
      <c r="CB70" s="70"/>
      <c r="CD70" s="557">
        <f>IF($B68=0,1,IF(AND(CD69&gt;0,$B68&lt;='Input 4_RSV Season'!$AG$27-1),CD69+1,0))</f>
        <v>0</v>
      </c>
      <c r="CE70" s="550">
        <f>IF(AND($CD70&gt;0,$CD70&lt;='Input 6_Product Efficacy'!$Q$12/30),SUM($BQ68:$CB68),0)</f>
        <v>0</v>
      </c>
      <c r="CF70" s="555">
        <f>IF(AND($CD70&gt;0,$CD70&gt;'Input 6_Product Efficacy'!$Q$12/30),SUM($BQ68:$CB68),0)</f>
        <v>0</v>
      </c>
      <c r="CH70" s="566">
        <f>IF(AND($CD70&gt;0,$CD70&gt;'Input 6_Product Efficacy'!$Q$15/30),SUM($BQ68:$CB68),0)</f>
        <v>0</v>
      </c>
    </row>
    <row r="71" spans="2:86" ht="15" thickBot="1" x14ac:dyDescent="0.35">
      <c r="B71" s="24" t="s">
        <v>248</v>
      </c>
      <c r="C71" s="429">
        <f>SUM(C57:C62)/SUM(C57:C68)</f>
        <v>0.65502365331827828</v>
      </c>
      <c r="AS71" s="2"/>
      <c r="AT71" s="70"/>
      <c r="AU71" s="494"/>
      <c r="AV71" s="494"/>
      <c r="AW71" s="12" t="s">
        <v>292</v>
      </c>
      <c r="AX71" s="282">
        <f>BH73</f>
        <v>0.42911403910169688</v>
      </c>
      <c r="BD71" s="70"/>
      <c r="BE71" s="70"/>
      <c r="BF71" s="2"/>
      <c r="BG71" s="5">
        <f>SUM(BG59:BG70)</f>
        <v>28829.471715831813</v>
      </c>
      <c r="BH71" s="5">
        <f t="shared" ref="BH71" si="24">SUM(BH59:BH70)</f>
        <v>8296.8287592979996</v>
      </c>
      <c r="BI71" s="5"/>
      <c r="BJ71" s="5"/>
      <c r="BK71" s="5">
        <f t="shared" ref="BK71:BL71" si="25">SUM(BK59:BK70)</f>
        <v>28829.471715831813</v>
      </c>
      <c r="BL71" s="5">
        <f t="shared" si="25"/>
        <v>8296.8287592979996</v>
      </c>
      <c r="BM71" s="70"/>
      <c r="BN71" s="70"/>
      <c r="BO71" s="70"/>
      <c r="BQ71" s="12"/>
      <c r="BR71" s="282"/>
      <c r="BS71" s="494"/>
      <c r="BT71" s="494"/>
      <c r="BU71" s="12" t="s">
        <v>287</v>
      </c>
      <c r="BV71" s="618">
        <f>CH73</f>
        <v>7.8570467738040953E-2</v>
      </c>
      <c r="BW71" s="494"/>
      <c r="BX71" s="509"/>
      <c r="BY71" s="282"/>
      <c r="BZ71" s="282"/>
      <c r="CA71" s="282"/>
      <c r="CB71" s="70"/>
      <c r="CD71" s="2"/>
      <c r="CE71" s="5">
        <f t="shared" ref="CE71:CF71" si="26">SUM(CE59:CE70)</f>
        <v>196044.23836047045</v>
      </c>
      <c r="CF71" s="5">
        <f t="shared" si="26"/>
        <v>56419.537997659529</v>
      </c>
      <c r="CH71" s="5">
        <f t="shared" ref="CH71" si="27">SUM(CH59:CH70)</f>
        <v>153495.47889543054</v>
      </c>
    </row>
    <row r="72" spans="2:86" ht="15" thickBot="1" x14ac:dyDescent="0.35">
      <c r="B72" s="24" t="s">
        <v>249</v>
      </c>
      <c r="C72" s="429">
        <f>SUM(C63:C68)/SUM(C57:C68)</f>
        <v>0.34497634668172172</v>
      </c>
      <c r="AS72" s="2"/>
      <c r="AT72" s="70"/>
      <c r="AV72" s="13"/>
      <c r="AW72" s="14"/>
      <c r="AX72" s="70"/>
      <c r="AY72" s="13"/>
      <c r="AZ72" s="510"/>
      <c r="BA72" s="510"/>
      <c r="BB72" s="510"/>
      <c r="BC72" s="510"/>
      <c r="BD72" s="70"/>
      <c r="BE72" s="70"/>
      <c r="BM72" s="70"/>
      <c r="BN72" s="70"/>
      <c r="BO72" s="70"/>
      <c r="BQ72" s="2"/>
      <c r="BR72" s="70"/>
      <c r="BT72" s="13"/>
      <c r="BU72" s="14"/>
      <c r="BV72" s="70"/>
      <c r="BW72" s="13"/>
      <c r="BX72" s="510"/>
      <c r="BY72" s="510"/>
      <c r="BZ72" s="510"/>
      <c r="CA72" s="510"/>
    </row>
    <row r="73" spans="2:86" ht="16.2" thickBot="1" x14ac:dyDescent="0.35">
      <c r="AS73" s="2"/>
      <c r="AT73" s="613" t="s">
        <v>216</v>
      </c>
      <c r="AW73" s="2" t="s">
        <v>291</v>
      </c>
      <c r="AX73" s="70">
        <f>BK73</f>
        <v>1.4910674201012974</v>
      </c>
      <c r="AZ73" s="510"/>
      <c r="BA73" s="70"/>
      <c r="BB73" s="70"/>
      <c r="BC73" s="70"/>
      <c r="BD73" s="70"/>
      <c r="BE73" s="70"/>
      <c r="BG73" s="567">
        <f>BG71/('Input 1_Population'!$G$24*$BB$5)</f>
        <v>1.4910674201012974</v>
      </c>
      <c r="BH73" s="568">
        <f>BH71/('Input 1_Population'!$G$24*$BB$5)</f>
        <v>0.42911403910169688</v>
      </c>
      <c r="BI73" s="568"/>
      <c r="BJ73" s="569"/>
      <c r="BK73" s="580">
        <f>BK71/('Input 1_Population'!$G$24*$BB$5)</f>
        <v>1.4910674201012974</v>
      </c>
      <c r="BL73" s="581">
        <f>BL71/('Input 1_Population'!$G$24*$BB$5)</f>
        <v>0.42911403910169688</v>
      </c>
      <c r="BM73" s="70"/>
      <c r="BN73" s="70"/>
      <c r="BO73" s="70"/>
      <c r="BQ73" s="2"/>
      <c r="BR73" s="613" t="s">
        <v>216</v>
      </c>
      <c r="BU73" s="2" t="s">
        <v>286</v>
      </c>
      <c r="BV73" s="70">
        <f>CE73</f>
        <v>0.10035010552866974</v>
      </c>
      <c r="BX73" s="510"/>
      <c r="BY73" s="70"/>
      <c r="BZ73" s="70"/>
      <c r="CA73" s="70"/>
      <c r="CE73" s="580">
        <f>CE71/((1-'Input 1_Population'!$G$24)*$BB$5)</f>
        <v>0.10035010552866974</v>
      </c>
      <c r="CF73" s="581">
        <f>CF71/((1-'Input 1_Population'!$G$24)*$BB$5)</f>
        <v>2.8879739793901179E-2</v>
      </c>
      <c r="CH73" s="580">
        <f>CH71/((1-'Input 1_Population'!$G$24)*$BB$5)</f>
        <v>7.8570467738040953E-2</v>
      </c>
    </row>
    <row r="74" spans="2:86" ht="15" thickBot="1" x14ac:dyDescent="0.35">
      <c r="AS74" s="2"/>
      <c r="AT74" s="70"/>
      <c r="AU74" s="494"/>
      <c r="AV74" s="494"/>
      <c r="AW74" s="12" t="s">
        <v>292</v>
      </c>
      <c r="AX74" s="282">
        <f>BL73</f>
        <v>0.42911403910169688</v>
      </c>
      <c r="AY74" s="494"/>
      <c r="AZ74" s="509"/>
      <c r="BA74" s="282"/>
      <c r="BB74" s="282"/>
      <c r="BC74" s="282"/>
      <c r="BD74" s="70"/>
      <c r="BE74" s="70"/>
      <c r="BG74" s="1121">
        <f>SUM(BG73:BH73)</f>
        <v>1.9201814592029942</v>
      </c>
      <c r="BH74" s="1121"/>
      <c r="BI74" s="606"/>
      <c r="BK74" s="1121">
        <f>SUM(BK73:BL73)</f>
        <v>1.9201814592029942</v>
      </c>
      <c r="BL74" s="1121"/>
      <c r="BM74" s="70"/>
      <c r="BN74" s="70"/>
      <c r="BO74" s="70"/>
      <c r="BQ74" s="12"/>
      <c r="BR74" s="282"/>
      <c r="BS74" s="494"/>
      <c r="BT74" s="494"/>
      <c r="BU74" s="12" t="s">
        <v>287</v>
      </c>
      <c r="BV74" s="282">
        <f>CF73</f>
        <v>2.8879739793901179E-2</v>
      </c>
      <c r="BW74" s="494"/>
      <c r="BX74" s="509"/>
      <c r="BY74" s="282"/>
      <c r="BZ74" s="282"/>
      <c r="CA74" s="282"/>
      <c r="CE74" s="598" t="s">
        <v>326</v>
      </c>
      <c r="CF74" s="624">
        <f>SUM(CE73:CF73)</f>
        <v>0.12922984532257092</v>
      </c>
    </row>
    <row r="76" spans="2:86" x14ac:dyDescent="0.3">
      <c r="B76" s="101"/>
      <c r="C76" s="101"/>
      <c r="AT76" s="614"/>
      <c r="AU76" s="1"/>
      <c r="BR76" s="614"/>
      <c r="BS76" s="1"/>
    </row>
    <row r="77" spans="2:86" x14ac:dyDescent="0.3">
      <c r="B77" s="101"/>
      <c r="C77" s="430"/>
    </row>
    <row r="78" spans="2:86" x14ac:dyDescent="0.3">
      <c r="B78" s="101"/>
      <c r="C78" s="430"/>
    </row>
    <row r="79" spans="2:86" x14ac:dyDescent="0.3">
      <c r="B79" s="101"/>
      <c r="C79" s="101"/>
    </row>
    <row r="80" spans="2:86" x14ac:dyDescent="0.3">
      <c r="B80" s="101"/>
      <c r="C80" s="101"/>
    </row>
    <row r="81" spans="2:3" x14ac:dyDescent="0.3">
      <c r="B81" s="101"/>
      <c r="C81" s="430"/>
    </row>
    <row r="82" spans="2:3" x14ac:dyDescent="0.3">
      <c r="B82" s="101"/>
      <c r="C82" s="430"/>
    </row>
  </sheetData>
  <mergeCells count="63">
    <mergeCell ref="CH58:CI58"/>
    <mergeCell ref="CH31:CI31"/>
    <mergeCell ref="CH32:CI33"/>
    <mergeCell ref="CH34:CI34"/>
    <mergeCell ref="CH55:CI55"/>
    <mergeCell ref="CH56:CI57"/>
    <mergeCell ref="CH9:CI9"/>
    <mergeCell ref="CH7:CI8"/>
    <mergeCell ref="S2:AQ2"/>
    <mergeCell ref="BQ3:CB3"/>
    <mergeCell ref="AS3:BD3"/>
    <mergeCell ref="AS1:BN2"/>
    <mergeCell ref="BH7:BH9"/>
    <mergeCell ref="BG6:BH6"/>
    <mergeCell ref="BG5:BL5"/>
    <mergeCell ref="BK7:BK9"/>
    <mergeCell ref="BL7:BL9"/>
    <mergeCell ref="CE5:CF5"/>
    <mergeCell ref="CE6:CF6"/>
    <mergeCell ref="CE7:CE9"/>
    <mergeCell ref="CF7:CF9"/>
    <mergeCell ref="S3:AD3"/>
    <mergeCell ref="S5:AD5"/>
    <mergeCell ref="AF5:AQ5"/>
    <mergeCell ref="AF3:AQ3"/>
    <mergeCell ref="CH6:CI6"/>
    <mergeCell ref="B55:C55"/>
    <mergeCell ref="BK6:BL6"/>
    <mergeCell ref="BG30:BL30"/>
    <mergeCell ref="BG31:BH31"/>
    <mergeCell ref="BK31:BL31"/>
    <mergeCell ref="BG32:BG34"/>
    <mergeCell ref="BH32:BH34"/>
    <mergeCell ref="BK32:BK34"/>
    <mergeCell ref="BL32:BL34"/>
    <mergeCell ref="BG25:BH25"/>
    <mergeCell ref="BK25:BL25"/>
    <mergeCell ref="BG7:BG9"/>
    <mergeCell ref="B2:C2"/>
    <mergeCell ref="E2:P2"/>
    <mergeCell ref="E5:P5"/>
    <mergeCell ref="E3:P3"/>
    <mergeCell ref="B31:C31"/>
    <mergeCell ref="B6:C6"/>
    <mergeCell ref="CE30:CF30"/>
    <mergeCell ref="CE31:CF31"/>
    <mergeCell ref="CE32:CE34"/>
    <mergeCell ref="CF32:CF34"/>
    <mergeCell ref="BG55:BH55"/>
    <mergeCell ref="BK55:BL55"/>
    <mergeCell ref="BG50:BH50"/>
    <mergeCell ref="BK50:BL50"/>
    <mergeCell ref="BG54:BL54"/>
    <mergeCell ref="BG74:BH74"/>
    <mergeCell ref="BK74:BL74"/>
    <mergeCell ref="CE54:CF54"/>
    <mergeCell ref="CE55:CF55"/>
    <mergeCell ref="CE56:CE58"/>
    <mergeCell ref="CF56:CF58"/>
    <mergeCell ref="BG56:BG58"/>
    <mergeCell ref="BH56:BH58"/>
    <mergeCell ref="BK56:BK58"/>
    <mergeCell ref="BL56:BL58"/>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BL79"/>
  <sheetViews>
    <sheetView topLeftCell="K1" workbookViewId="0">
      <selection activeCell="BC23" sqref="BC23"/>
    </sheetView>
  </sheetViews>
  <sheetFormatPr defaultRowHeight="14.4" x14ac:dyDescent="0.3"/>
  <cols>
    <col min="6" max="6" width="10" bestFit="1" customWidth="1"/>
    <col min="9" max="9" width="10" bestFit="1" customWidth="1"/>
    <col min="12" max="12" width="10.109375" bestFit="1" customWidth="1"/>
    <col min="18" max="18" width="16" customWidth="1"/>
    <col min="19" max="19" width="11.33203125" customWidth="1"/>
    <col min="23" max="23" width="10.77734375" customWidth="1"/>
    <col min="26" max="26" width="12.5546875" bestFit="1" customWidth="1"/>
    <col min="27" max="27" width="11" bestFit="1" customWidth="1"/>
    <col min="29" max="29" width="10" bestFit="1" customWidth="1"/>
    <col min="30" max="30" width="10.109375" bestFit="1" customWidth="1"/>
    <col min="32" max="32" width="6" customWidth="1"/>
    <col min="33" max="33" width="9.109375" style="534"/>
    <col min="34" max="34" width="16.6640625" customWidth="1"/>
    <col min="35" max="35" width="15" customWidth="1"/>
    <col min="36" max="36" width="2.33203125" customWidth="1"/>
    <col min="37" max="37" width="17.6640625" customWidth="1"/>
    <col min="38" max="38" width="17.44140625" customWidth="1"/>
    <col min="39" max="39" width="19.44140625" customWidth="1"/>
    <col min="40" max="40" width="3.5546875" customWidth="1"/>
    <col min="41" max="41" width="9.33203125" customWidth="1"/>
    <col min="42" max="43" width="14.33203125" customWidth="1"/>
    <col min="52" max="52" width="10.44140625" customWidth="1"/>
    <col min="58" max="58" width="15.88671875" customWidth="1"/>
    <col min="59" max="59" width="14.88671875" customWidth="1"/>
    <col min="60" max="60" width="4.44140625" customWidth="1"/>
    <col min="61" max="61" width="15.33203125" customWidth="1"/>
    <col min="62" max="62" width="17.109375" customWidth="1"/>
  </cols>
  <sheetData>
    <row r="1" spans="2:64" ht="15" thickBot="1" x14ac:dyDescent="0.35">
      <c r="U1" s="1142" t="s">
        <v>329</v>
      </c>
      <c r="V1" s="1142"/>
      <c r="W1" s="1142"/>
      <c r="X1" s="1142"/>
      <c r="Y1" s="1142"/>
      <c r="Z1" s="1142"/>
      <c r="AA1" s="1142"/>
      <c r="AB1" s="1142"/>
      <c r="AC1" s="1142"/>
      <c r="AD1" s="1142"/>
      <c r="AE1" s="1142"/>
      <c r="AF1" s="1142"/>
      <c r="AG1" s="1142"/>
      <c r="AH1" s="1142"/>
      <c r="AI1" s="1142"/>
      <c r="AJ1" s="1142"/>
      <c r="AK1" s="1142"/>
      <c r="AL1" s="1142"/>
      <c r="AM1" s="1142"/>
      <c r="AN1" s="599"/>
    </row>
    <row r="2" spans="2:64" ht="18.600000000000001" thickBot="1" x14ac:dyDescent="0.4">
      <c r="R2" s="1130" t="s">
        <v>16</v>
      </c>
      <c r="S2" s="1131"/>
      <c r="U2" s="932"/>
      <c r="V2" s="932"/>
      <c r="W2" s="932"/>
      <c r="X2" s="932"/>
      <c r="Y2" s="932"/>
      <c r="Z2" s="932"/>
      <c r="AA2" s="932"/>
      <c r="AB2" s="932"/>
      <c r="AC2" s="932"/>
      <c r="AD2" s="932"/>
      <c r="AE2" s="932"/>
      <c r="AF2" s="932"/>
      <c r="AG2" s="932"/>
      <c r="AH2" s="932"/>
      <c r="AI2" s="932"/>
      <c r="AJ2" s="932"/>
      <c r="AK2" s="932"/>
      <c r="AL2" s="932"/>
      <c r="AM2" s="932"/>
      <c r="AN2" s="599"/>
    </row>
    <row r="3" spans="2:64" ht="15" thickBot="1" x14ac:dyDescent="0.35">
      <c r="S3" s="1141" t="s">
        <v>293</v>
      </c>
      <c r="T3" s="1141"/>
      <c r="U3" s="1141"/>
      <c r="V3" s="1141"/>
      <c r="W3" s="1141"/>
      <c r="X3" s="1141"/>
      <c r="Y3" s="1141"/>
      <c r="Z3" s="1141"/>
      <c r="AA3" s="1141"/>
      <c r="AB3" s="1141"/>
      <c r="AC3" s="1141"/>
      <c r="AD3" s="1141"/>
      <c r="AE3" s="536"/>
      <c r="AF3" s="536"/>
      <c r="AG3" s="560"/>
      <c r="AH3" s="536"/>
      <c r="AI3" s="536"/>
      <c r="AJ3" s="536"/>
      <c r="AK3" s="536"/>
      <c r="AL3" s="536"/>
      <c r="AM3" s="536"/>
      <c r="AN3" s="600"/>
      <c r="AO3" s="545"/>
      <c r="AP3" s="545"/>
      <c r="AQ3" s="1141" t="s">
        <v>300</v>
      </c>
      <c r="AR3" s="1141"/>
      <c r="AS3" s="1141"/>
      <c r="AT3" s="1141"/>
      <c r="AU3" s="1141"/>
      <c r="AV3" s="1141"/>
      <c r="AW3" s="1141"/>
      <c r="AX3" s="1141"/>
      <c r="AY3" s="1141"/>
      <c r="AZ3" s="1141"/>
      <c r="BA3" s="1141"/>
      <c r="BB3" s="1141"/>
      <c r="BC3" s="545"/>
      <c r="BD3" s="545"/>
      <c r="BE3" s="560"/>
      <c r="BF3" s="545"/>
      <c r="BG3" s="545"/>
      <c r="BH3" s="545"/>
    </row>
    <row r="4" spans="2:64" x14ac:dyDescent="0.3">
      <c r="C4" s="843"/>
      <c r="D4" s="24"/>
      <c r="E4" s="844" t="s">
        <v>156</v>
      </c>
      <c r="F4" s="28">
        <f>'WiS percent RSV_base'!$AY$6</f>
        <v>3945875</v>
      </c>
      <c r="H4" s="40" t="s">
        <v>514</v>
      </c>
      <c r="I4" s="553">
        <f>'WiS percent RSV_base'!$BB$6</f>
        <v>1972937.5</v>
      </c>
      <c r="AG4" s="544"/>
      <c r="AH4" s="230"/>
      <c r="AI4" s="230"/>
      <c r="AJ4" s="230"/>
      <c r="AK4" s="230"/>
      <c r="AL4" s="230"/>
      <c r="AM4" s="230"/>
      <c r="AN4" s="600"/>
      <c r="BE4" s="544"/>
      <c r="BF4" s="230"/>
      <c r="BG4" s="230"/>
      <c r="BH4" s="230"/>
    </row>
    <row r="5" spans="2:64" x14ac:dyDescent="0.3">
      <c r="H5" s="2" t="s">
        <v>515</v>
      </c>
      <c r="I5">
        <f>I4/F4</f>
        <v>0.5</v>
      </c>
      <c r="V5" s="22"/>
      <c r="AG5" s="544"/>
      <c r="AH5" s="230"/>
      <c r="AI5" s="230"/>
      <c r="AJ5" s="230"/>
      <c r="AK5" s="230"/>
      <c r="AL5" s="230"/>
      <c r="AN5" s="599"/>
      <c r="AT5" s="22"/>
      <c r="AU5" s="22"/>
      <c r="AV5" s="40"/>
      <c r="AW5" s="557"/>
      <c r="AX5" s="22"/>
      <c r="AY5" s="552"/>
      <c r="AZ5" s="22"/>
      <c r="BA5" s="553"/>
      <c r="BE5" s="544"/>
      <c r="BF5" s="230"/>
      <c r="BG5" s="230"/>
    </row>
    <row r="6" spans="2:64" x14ac:dyDescent="0.3">
      <c r="S6" s="500" t="s">
        <v>321</v>
      </c>
      <c r="T6" s="22"/>
      <c r="U6" s="22"/>
      <c r="AM6" s="538"/>
      <c r="AN6" s="601"/>
      <c r="AO6" s="230"/>
      <c r="AQ6" s="500" t="s">
        <v>321</v>
      </c>
      <c r="AR6" s="22"/>
      <c r="AS6" s="22"/>
      <c r="BB6" s="22"/>
      <c r="BC6" s="22"/>
      <c r="BE6" s="538"/>
      <c r="BH6" s="538"/>
    </row>
    <row r="7" spans="2:64" x14ac:dyDescent="0.3">
      <c r="S7" t="s">
        <v>322</v>
      </c>
      <c r="T7" s="28">
        <f>IF(T11&lt;=('Input 6_Product Efficacy'!$Q$9/30-1),1,0)</f>
        <v>1</v>
      </c>
      <c r="U7" s="28">
        <f>IF(U11&lt;='Input 6_Product Efficacy'!$Q$9/30,1,0)</f>
        <v>1</v>
      </c>
      <c r="V7" s="28">
        <f>IF(V11&lt;='Input 6_Product Efficacy'!$Q$9/30,1,0)</f>
        <v>1</v>
      </c>
      <c r="W7" s="28">
        <f>IF(W11&lt;='Input 6_Product Efficacy'!$Q$9/30,1,0)</f>
        <v>1</v>
      </c>
      <c r="X7" s="28">
        <f>IF(X11&lt;='Input 6_Product Efficacy'!$Q$9/30,1,0)</f>
        <v>1</v>
      </c>
      <c r="Y7" s="28">
        <f>IF(Y11&lt;='Input 6_Product Efficacy'!$Q$9/30,1,0)</f>
        <v>0</v>
      </c>
      <c r="Z7" s="28">
        <f>IF(Z11&lt;='Input 6_Product Efficacy'!$Q$9/30,1,0)</f>
        <v>0</v>
      </c>
      <c r="AA7" s="28">
        <f>IF(AA11&lt;='Input 6_Product Efficacy'!$Q$9/30,1,0)</f>
        <v>0</v>
      </c>
      <c r="AB7" s="28">
        <f>IF(AB11&lt;='Input 6_Product Efficacy'!$Q$9/30,1,0)</f>
        <v>0</v>
      </c>
      <c r="AC7" s="28">
        <f>IF(AC11&lt;='Input 6_Product Efficacy'!$Q$9/30,1,0)</f>
        <v>0</v>
      </c>
      <c r="AD7" s="28">
        <f>IF(AD11&lt;='Input 6_Product Efficacy'!$Q$9/30,1,0)</f>
        <v>0</v>
      </c>
      <c r="AE7" s="28">
        <f>IF(AE11&lt;='Input 6_Product Efficacy'!$Q$9/30,1,0)</f>
        <v>0</v>
      </c>
      <c r="AF7" s="22"/>
      <c r="AN7" s="599"/>
      <c r="AQ7" t="s">
        <v>346</v>
      </c>
      <c r="AR7" s="28">
        <f>IF(AR11&lt;=('Input 6_Product Efficacy'!$Q$15/(30-1)),1,0)</f>
        <v>1</v>
      </c>
      <c r="AS7" s="28">
        <f>IF(AS11&lt;=('Input 6_Product Efficacy'!$Q$15/(30-1)),1,0)</f>
        <v>1</v>
      </c>
      <c r="AT7" s="28">
        <f>IF(AT11&lt;=('Input 6_Product Efficacy'!$Q$15/(30-1)),1,0)</f>
        <v>1</v>
      </c>
      <c r="AU7" s="28">
        <f>IF(AU11&lt;=('Input 6_Product Efficacy'!$Q$15/(30-1)),1,0)</f>
        <v>0</v>
      </c>
      <c r="AV7" s="28">
        <f>IF(AV11&lt;=('Input 6_Product Efficacy'!$Q$15/(30-1)),1,0)</f>
        <v>0</v>
      </c>
      <c r="AW7" s="28">
        <f>IF(AW11&lt;=('Input 6_Product Efficacy'!$Q$15/(30-1)),1,0)</f>
        <v>0</v>
      </c>
      <c r="AX7" s="28">
        <f>IF(AX11&lt;=('Input 6_Product Efficacy'!$Q$15/(30-1)),1,0)</f>
        <v>0</v>
      </c>
      <c r="AY7" s="28">
        <f>IF(AY11&lt;=('Input 6_Product Efficacy'!$Q$15/(30-1)),1,0)</f>
        <v>0</v>
      </c>
      <c r="AZ7" s="28">
        <f>IF(AZ11&lt;=('Input 6_Product Efficacy'!$Q$15/(30-1)),1,0)</f>
        <v>0</v>
      </c>
      <c r="BA7" s="28">
        <f>IF(BA11&lt;=('Input 6_Product Efficacy'!$Q$15/(30-1)),1,0)</f>
        <v>0</v>
      </c>
      <c r="BB7" s="28">
        <f>IF(BB11&lt;=('Input 6_Product Efficacy'!$Q$15/(30-1)),1,0)</f>
        <v>0</v>
      </c>
      <c r="BC7" s="28">
        <f>IF(BC11&lt;=('Input 6_Product Efficacy'!$Q$15/(30-1)),1,0)</f>
        <v>0</v>
      </c>
      <c r="BD7" s="22"/>
      <c r="BE7" s="538"/>
    </row>
    <row r="8" spans="2:64" ht="15" customHeight="1" thickBot="1" x14ac:dyDescent="0.35">
      <c r="C8" s="1141" t="s">
        <v>518</v>
      </c>
      <c r="D8" s="1141"/>
      <c r="E8" s="1141"/>
      <c r="F8" s="1141"/>
      <c r="G8" s="1141"/>
      <c r="H8" s="1141"/>
      <c r="I8" s="1141"/>
      <c r="J8" s="1141"/>
      <c r="K8" s="1141"/>
      <c r="L8" s="1141"/>
      <c r="M8" s="1141"/>
      <c r="N8" s="1141"/>
      <c r="O8" s="842"/>
      <c r="P8" s="842"/>
      <c r="Q8" s="230"/>
      <c r="S8" t="s">
        <v>323</v>
      </c>
      <c r="T8" s="28">
        <f>IF(T11&lt;='Input 6_Product Efficacy'!$Q$12/30,1,0)</f>
        <v>1</v>
      </c>
      <c r="U8" s="28">
        <f>IF(U11&lt;='Input 6_Product Efficacy'!$Q$12/30,1,0)</f>
        <v>1</v>
      </c>
      <c r="V8" s="28">
        <f>IF(V11&lt;='Input 6_Product Efficacy'!$Q$12/30,1,0)</f>
        <v>1</v>
      </c>
      <c r="W8" s="28">
        <f>IF(W11&lt;='Input 6_Product Efficacy'!$Q$12/30,1,0)</f>
        <v>1</v>
      </c>
      <c r="X8" s="28">
        <f>IF(X11&lt;='Input 6_Product Efficacy'!$Q$12/30,1,0)</f>
        <v>1</v>
      </c>
      <c r="Y8" s="28">
        <f>IF(Y11&lt;='Input 6_Product Efficacy'!$Q$12/30,1,0)</f>
        <v>0</v>
      </c>
      <c r="Z8" s="28">
        <f>IF(Z11&lt;='Input 6_Product Efficacy'!$Q$12/30,1,0)</f>
        <v>0</v>
      </c>
      <c r="AA8" s="28">
        <f>IF(AA11&lt;='Input 6_Product Efficacy'!$Q$12/30,1,0)</f>
        <v>0</v>
      </c>
      <c r="AB8" s="28">
        <f>IF(AB11&lt;='Input 6_Product Efficacy'!$Q$12/30,1,0)</f>
        <v>0</v>
      </c>
      <c r="AC8" s="28">
        <f>IF(AC11&lt;='Input 6_Product Efficacy'!$Q$12/30,1,0)</f>
        <v>0</v>
      </c>
      <c r="AD8" s="28">
        <f>IF(AD11&lt;='Input 6_Product Efficacy'!$Q$12/30,1,0)</f>
        <v>0</v>
      </c>
      <c r="AE8" s="28">
        <f>IF(AE11&lt;='Input 6_Product Efficacy'!$Q$12/30,1,0)</f>
        <v>0</v>
      </c>
      <c r="AF8" s="22"/>
      <c r="AG8" s="1117" t="s">
        <v>316</v>
      </c>
      <c r="AH8" s="1117"/>
      <c r="AI8" s="1117"/>
      <c r="AJ8" s="1117"/>
      <c r="AK8" s="1117"/>
      <c r="AL8" s="1117"/>
      <c r="AM8" s="1117"/>
      <c r="AN8" s="602"/>
      <c r="AQ8" t="s">
        <v>323</v>
      </c>
      <c r="AR8" s="28">
        <f>IF(AR11&lt;='Input 6_Product Efficacy'!$Q$12/30,1,0)</f>
        <v>1</v>
      </c>
      <c r="AS8" s="28">
        <f>IF(AS11&lt;='Input 6_Product Efficacy'!$Q$12/30,1,0)</f>
        <v>1</v>
      </c>
      <c r="AT8" s="28">
        <f>IF(AT11&lt;='Input 6_Product Efficacy'!$Q$12/30,1,0)</f>
        <v>1</v>
      </c>
      <c r="AU8" s="28">
        <f>IF(AU11&lt;='Input 6_Product Efficacy'!$Q$12/30,1,0)</f>
        <v>1</v>
      </c>
      <c r="AV8" s="28">
        <f>IF(AV11&lt;='Input 6_Product Efficacy'!$Q$12/30,1,0)</f>
        <v>1</v>
      </c>
      <c r="AW8" s="28">
        <f>IF(AW11&lt;='Input 6_Product Efficacy'!$Q$12/30,1,0)</f>
        <v>0</v>
      </c>
      <c r="AX8" s="28">
        <f>IF(AX11&lt;='Input 6_Product Efficacy'!$Q$12/30,1,0)</f>
        <v>0</v>
      </c>
      <c r="AY8" s="28">
        <f>IF(AY11&lt;='Input 6_Product Efficacy'!$Q$12/30,1,0)</f>
        <v>0</v>
      </c>
      <c r="AZ8" s="28">
        <f>IF(AZ11&lt;='Input 6_Product Efficacy'!$Q$12/30,1,0)</f>
        <v>0</v>
      </c>
      <c r="BA8" s="28">
        <f>IF(BA11&lt;='Input 6_Product Efficacy'!$Q$12/30,1,0)</f>
        <v>0</v>
      </c>
      <c r="BB8" s="28">
        <f>IF(BB11&lt;='Input 6_Product Efficacy'!$Q$12/30,1,0)</f>
        <v>0</v>
      </c>
      <c r="BC8" s="28">
        <f>IF(BC11&lt;='Input 6_Product Efficacy'!$Q$12/30,1,0)</f>
        <v>0</v>
      </c>
      <c r="BD8" s="22"/>
      <c r="BE8" s="603" t="s">
        <v>316</v>
      </c>
      <c r="BF8" s="542"/>
      <c r="BG8" s="542"/>
      <c r="BH8" s="542"/>
    </row>
    <row r="9" spans="2:64" x14ac:dyDescent="0.3">
      <c r="G9" s="845" t="s">
        <v>516</v>
      </c>
      <c r="H9" s="8">
        <f>'WiS percent RSV_base'!AX20-SUM('WiS percent RSV_base'!BG22:BH22)</f>
        <v>1037.2139368204216</v>
      </c>
      <c r="L9" s="845" t="s">
        <v>520</v>
      </c>
      <c r="M9" s="8">
        <f>'WiS percent RSV_base'!BV20-SUM('WiS percent RSV_base'!CE22:CF22)</f>
        <v>7053.1925893446132</v>
      </c>
      <c r="N9" s="845"/>
      <c r="O9" s="8"/>
      <c r="T9" s="28"/>
      <c r="U9" s="28"/>
      <c r="V9" s="28"/>
      <c r="W9" s="28"/>
      <c r="X9" s="28"/>
      <c r="Y9" s="28"/>
      <c r="Z9" s="28"/>
      <c r="AA9" s="28"/>
      <c r="AB9" s="28"/>
      <c r="AC9" s="28"/>
      <c r="AD9" s="28"/>
      <c r="AE9" s="28"/>
      <c r="AF9" s="22"/>
      <c r="AG9" s="538"/>
      <c r="AH9" s="539"/>
      <c r="AI9" s="539"/>
      <c r="AJ9" s="539"/>
      <c r="AK9" s="539"/>
      <c r="AL9" s="539"/>
      <c r="AN9" s="599"/>
      <c r="AR9" s="28"/>
      <c r="AS9" s="28"/>
      <c r="AT9" s="28"/>
      <c r="AU9" s="28"/>
      <c r="AV9" s="28"/>
      <c r="AW9" s="28"/>
      <c r="AX9" s="28"/>
      <c r="AY9" s="28"/>
      <c r="AZ9" s="28"/>
      <c r="BA9" s="28"/>
      <c r="BB9" s="28"/>
      <c r="BC9" s="28"/>
      <c r="BD9" s="22"/>
      <c r="BE9" s="538"/>
      <c r="BF9" s="539"/>
      <c r="BG9" s="539"/>
    </row>
    <row r="10" spans="2:64" x14ac:dyDescent="0.3">
      <c r="B10" s="592" t="s">
        <v>108</v>
      </c>
      <c r="G10" s="40" t="s">
        <v>517</v>
      </c>
      <c r="H10" s="22">
        <f>SUM(D12:O23)</f>
        <v>0.48137055335968365</v>
      </c>
      <c r="L10" s="40" t="s">
        <v>521</v>
      </c>
      <c r="M10" s="22">
        <f>H10</f>
        <v>0.48137055335968365</v>
      </c>
      <c r="N10" s="40"/>
      <c r="O10" s="22"/>
      <c r="R10" s="592" t="s">
        <v>108</v>
      </c>
      <c r="AF10" s="1"/>
      <c r="AN10" s="599"/>
      <c r="AP10" s="592" t="s">
        <v>108</v>
      </c>
      <c r="BD10" s="1"/>
      <c r="BE10" s="538"/>
      <c r="BI10" s="1" t="s">
        <v>348</v>
      </c>
    </row>
    <row r="11" spans="2:64" ht="57.6" x14ac:dyDescent="0.3">
      <c r="B11" s="558" t="s">
        <v>519</v>
      </c>
      <c r="D11" s="13">
        <v>1</v>
      </c>
      <c r="E11" s="13">
        <v>2</v>
      </c>
      <c r="F11" s="13">
        <v>3</v>
      </c>
      <c r="G11" s="13">
        <v>4</v>
      </c>
      <c r="H11" s="13">
        <v>5</v>
      </c>
      <c r="I11" s="13">
        <v>6</v>
      </c>
      <c r="J11" s="13">
        <v>7</v>
      </c>
      <c r="K11" s="13">
        <v>8</v>
      </c>
      <c r="L11" s="13">
        <v>9</v>
      </c>
      <c r="M11" s="13">
        <v>10</v>
      </c>
      <c r="N11" s="13">
        <v>11</v>
      </c>
      <c r="O11" s="13">
        <v>12</v>
      </c>
      <c r="R11" s="558" t="s">
        <v>320</v>
      </c>
      <c r="T11" s="13">
        <v>1</v>
      </c>
      <c r="U11" s="13">
        <v>2</v>
      </c>
      <c r="V11" s="13">
        <v>3</v>
      </c>
      <c r="W11" s="13">
        <v>4</v>
      </c>
      <c r="X11" s="13">
        <v>5</v>
      </c>
      <c r="Y11" s="13">
        <v>6</v>
      </c>
      <c r="Z11" s="13">
        <v>7</v>
      </c>
      <c r="AA11" s="13">
        <v>8</v>
      </c>
      <c r="AB11" s="13">
        <v>9</v>
      </c>
      <c r="AC11" s="13">
        <v>10</v>
      </c>
      <c r="AD11" s="13">
        <v>11</v>
      </c>
      <c r="AE11" s="13">
        <v>12</v>
      </c>
      <c r="AG11" s="535" t="s">
        <v>315</v>
      </c>
      <c r="AH11" s="1112" t="s">
        <v>324</v>
      </c>
      <c r="AI11" s="1112"/>
      <c r="AK11" s="1112" t="s">
        <v>325</v>
      </c>
      <c r="AL11" s="1112"/>
      <c r="AN11" s="599"/>
      <c r="AP11" s="558" t="s">
        <v>320</v>
      </c>
      <c r="AR11" s="500">
        <v>1</v>
      </c>
      <c r="AS11" s="500">
        <v>2</v>
      </c>
      <c r="AT11" s="500">
        <v>3</v>
      </c>
      <c r="AU11" s="500">
        <v>4</v>
      </c>
      <c r="AV11" s="500">
        <v>5</v>
      </c>
      <c r="AW11" s="500">
        <v>6</v>
      </c>
      <c r="AX11" s="500">
        <v>7</v>
      </c>
      <c r="AY11" s="500">
        <v>8</v>
      </c>
      <c r="AZ11" s="500">
        <v>9</v>
      </c>
      <c r="BA11" s="500">
        <v>10</v>
      </c>
      <c r="BB11" s="500">
        <v>11</v>
      </c>
      <c r="BC11" s="500">
        <v>12</v>
      </c>
      <c r="BE11" s="544" t="s">
        <v>315</v>
      </c>
      <c r="BF11" s="1112" t="s">
        <v>325</v>
      </c>
      <c r="BG11" s="1112"/>
      <c r="BI11" s="1112" t="s">
        <v>345</v>
      </c>
      <c r="BJ11" s="1112"/>
    </row>
    <row r="12" spans="2:64" ht="31.5" customHeight="1" x14ac:dyDescent="0.3">
      <c r="B12" s="26">
        <v>0</v>
      </c>
      <c r="D12" s="276"/>
      <c r="E12" s="276"/>
      <c r="F12" s="276"/>
      <c r="G12" s="276"/>
      <c r="H12" s="276"/>
      <c r="I12" s="276"/>
      <c r="J12" s="276"/>
      <c r="K12" s="276"/>
      <c r="L12" s="276"/>
      <c r="M12" s="276"/>
      <c r="N12" s="276"/>
      <c r="O12" s="276"/>
      <c r="R12" s="26">
        <v>0</v>
      </c>
      <c r="T12" s="276"/>
      <c r="U12" s="276"/>
      <c r="V12" s="276"/>
      <c r="W12" s="276"/>
      <c r="X12" s="276"/>
      <c r="Y12" s="276"/>
      <c r="Z12" s="276"/>
      <c r="AA12" s="276"/>
      <c r="AB12" s="276"/>
      <c r="AC12" s="276"/>
      <c r="AD12" s="276"/>
      <c r="AE12" s="276"/>
      <c r="AF12" s="275"/>
      <c r="AG12" s="537" t="s">
        <v>317</v>
      </c>
      <c r="AH12" s="594" t="s">
        <v>312</v>
      </c>
      <c r="AI12" s="595" t="s">
        <v>313</v>
      </c>
      <c r="AJ12" s="572"/>
      <c r="AK12" s="570" t="s">
        <v>312</v>
      </c>
      <c r="AL12" s="571" t="s">
        <v>313</v>
      </c>
      <c r="AN12" s="599"/>
      <c r="AP12" s="26">
        <v>0</v>
      </c>
      <c r="AR12" s="275"/>
      <c r="AS12" s="275"/>
      <c r="AT12" s="275"/>
      <c r="AU12" s="275"/>
      <c r="AV12" s="275"/>
      <c r="AW12" s="275"/>
      <c r="AX12" s="275"/>
      <c r="AY12" s="275"/>
      <c r="AZ12" s="275"/>
      <c r="BA12" s="275"/>
      <c r="BB12" s="275"/>
      <c r="BC12" s="275"/>
      <c r="BD12" s="275"/>
      <c r="BE12" s="546" t="s">
        <v>317</v>
      </c>
      <c r="BF12" s="570" t="s">
        <v>312</v>
      </c>
      <c r="BG12" s="571" t="s">
        <v>313</v>
      </c>
      <c r="BI12" s="570" t="s">
        <v>312</v>
      </c>
      <c r="BJ12" s="571" t="s">
        <v>313</v>
      </c>
    </row>
    <row r="13" spans="2:64" x14ac:dyDescent="0.3">
      <c r="B13" s="26">
        <v>1</v>
      </c>
      <c r="D13" s="856">
        <f>'WiS percent RSV_base'!E9</f>
        <v>2.0218379446640313E-2</v>
      </c>
      <c r="E13" s="856">
        <f>'WiS percent RSV_base'!F10</f>
        <v>3.2358695652173912E-2</v>
      </c>
      <c r="F13" s="856">
        <f>'WiS percent RSV_base'!G11</f>
        <v>3.3179841897233206E-2</v>
      </c>
      <c r="G13" s="856">
        <f>'WiS percent RSV_base'!H12</f>
        <v>1.9171936758893282E-2</v>
      </c>
      <c r="H13" s="856">
        <f>'WiS percent RSV_base'!I13</f>
        <v>5.5494071146245062E-3</v>
      </c>
      <c r="I13" s="856">
        <f>'WiS percent RSV_base'!J14</f>
        <v>1.2559288537549406E-3</v>
      </c>
      <c r="J13" s="856">
        <f>'WiS percent RSV_base'!K15</f>
        <v>0</v>
      </c>
      <c r="K13" s="856">
        <f>'WiS percent RSV_base'!L16</f>
        <v>0</v>
      </c>
      <c r="L13" s="856">
        <f>'WiS percent RSV_base'!M17</f>
        <v>0</v>
      </c>
      <c r="M13" s="856">
        <f>'WiS percent RSV_base'!N18</f>
        <v>0</v>
      </c>
      <c r="N13" s="856">
        <f>'WiS percent RSV_base'!O19</f>
        <v>0</v>
      </c>
      <c r="O13" s="246"/>
      <c r="R13" s="26">
        <v>1</v>
      </c>
      <c r="T13" s="276">
        <f t="shared" ref="T13:T23" si="0">D13/$H$10*$H$9</f>
        <v>43.56474403266909</v>
      </c>
      <c r="U13" s="276">
        <f t="shared" ref="U13:U23" si="1">E13/$H$10*$H$9</f>
        <v>69.723604556855236</v>
      </c>
      <c r="V13" s="276">
        <f t="shared" ref="V13:V23" si="2">F13/$H$10*$H$9</f>
        <v>71.492936568543243</v>
      </c>
      <c r="W13" s="276">
        <f t="shared" ref="W13:W23" si="3">G13/$H$10*$H$9</f>
        <v>41.309963526799564</v>
      </c>
      <c r="X13" s="276">
        <f t="shared" ref="X13:X23" si="4">H13/$H$10*$H$9</f>
        <v>11.957362909313801</v>
      </c>
      <c r="Y13" s="276">
        <f t="shared" ref="Y13:Y23" si="5">I13/$H$10*$H$9</f>
        <v>2.7061624390558827</v>
      </c>
      <c r="Z13" s="276">
        <f t="shared" ref="Z13:Z23" si="6">J13/$H$10*$H$9</f>
        <v>0</v>
      </c>
      <c r="AA13" s="276">
        <f t="shared" ref="AA13:AA23" si="7">K13/$H$10*$H$9</f>
        <v>0</v>
      </c>
      <c r="AB13" s="276">
        <f t="shared" ref="AB13:AB23" si="8">L13/$H$10*$H$9</f>
        <v>0</v>
      </c>
      <c r="AC13" s="276">
        <f t="shared" ref="AC13:AC23" si="9">M13/$H$10*$H$9</f>
        <v>0</v>
      </c>
      <c r="AD13" s="276">
        <f t="shared" ref="AD13:AD23" si="10">N13/$H$10*$H$9</f>
        <v>0</v>
      </c>
      <c r="AE13" s="276">
        <f t="shared" ref="AE13:AE23" si="11">O13/$H$10*$H$9</f>
        <v>0</v>
      </c>
      <c r="AF13" s="275"/>
      <c r="AG13" s="170"/>
      <c r="AH13" s="551"/>
      <c r="AI13" s="556"/>
      <c r="AK13" s="551"/>
      <c r="AL13" s="556"/>
      <c r="AN13" s="599"/>
      <c r="AP13" s="26">
        <v>1</v>
      </c>
      <c r="AR13" s="275">
        <f>D13/$M$10*$M$9</f>
        <v>296.24604805239517</v>
      </c>
      <c r="AS13" s="275">
        <f t="shared" ref="AS13:BC23" si="12">E13/$M$10*$M$9</f>
        <v>474.12977545436615</v>
      </c>
      <c r="AT13" s="275">
        <f t="shared" si="12"/>
        <v>486.16146823240939</v>
      </c>
      <c r="AU13" s="275">
        <f t="shared" si="12"/>
        <v>280.9132410103403</v>
      </c>
      <c r="AV13" s="275">
        <f t="shared" si="12"/>
        <v>81.311656608291472</v>
      </c>
      <c r="AW13" s="275">
        <f t="shared" si="12"/>
        <v>18.402264164732625</v>
      </c>
      <c r="AX13" s="275">
        <f t="shared" si="12"/>
        <v>0</v>
      </c>
      <c r="AY13" s="275">
        <f t="shared" si="12"/>
        <v>0</v>
      </c>
      <c r="AZ13" s="275">
        <f t="shared" si="12"/>
        <v>0</v>
      </c>
      <c r="BA13" s="275">
        <f t="shared" si="12"/>
        <v>0</v>
      </c>
      <c r="BB13" s="275">
        <f t="shared" si="12"/>
        <v>0</v>
      </c>
      <c r="BC13" s="275">
        <f t="shared" si="12"/>
        <v>0</v>
      </c>
      <c r="BD13" s="275"/>
      <c r="BE13" s="170"/>
      <c r="BF13" s="551"/>
      <c r="BG13" s="556"/>
      <c r="BI13" s="551"/>
      <c r="BJ13" s="556"/>
    </row>
    <row r="14" spans="2:64" x14ac:dyDescent="0.3">
      <c r="B14" s="26">
        <v>2</v>
      </c>
      <c r="D14" s="856">
        <f>'WiS percent RSV_base'!E10</f>
        <v>1.1163043478260871E-2</v>
      </c>
      <c r="E14" s="856">
        <f>'WiS percent RSV_base'!F11</f>
        <v>2.3307312252964427E-2</v>
      </c>
      <c r="F14" s="856">
        <f>'WiS percent RSV_base'!G12</f>
        <v>2.8669960474308302E-2</v>
      </c>
      <c r="G14" s="856">
        <f>'WiS percent RSV_base'!H13</f>
        <v>1.0339920948616601E-2</v>
      </c>
      <c r="H14" s="856">
        <f>'WiS percent RSV_base'!I14</f>
        <v>4.7401185770750984E-3</v>
      </c>
      <c r="I14" s="856">
        <f>'WiS percent RSV_base'!J15</f>
        <v>1.7154150197628455E-3</v>
      </c>
      <c r="J14" s="856">
        <f>'WiS percent RSV_base'!K16</f>
        <v>0</v>
      </c>
      <c r="K14" s="856">
        <f>'WiS percent RSV_base'!L17</f>
        <v>0</v>
      </c>
      <c r="L14" s="856">
        <f>'WiS percent RSV_base'!M18</f>
        <v>0</v>
      </c>
      <c r="M14" s="856">
        <f>'WiS percent RSV_base'!N19</f>
        <v>0</v>
      </c>
      <c r="N14" s="246"/>
      <c r="O14" s="246"/>
      <c r="R14" s="26">
        <v>2</v>
      </c>
      <c r="T14" s="276">
        <f t="shared" si="0"/>
        <v>24.053121222670587</v>
      </c>
      <c r="U14" s="276">
        <f t="shared" si="1"/>
        <v>50.220498387105515</v>
      </c>
      <c r="V14" s="276">
        <f t="shared" si="2"/>
        <v>61.775450044663565</v>
      </c>
      <c r="W14" s="276">
        <f t="shared" si="3"/>
        <v>22.27953089085819</v>
      </c>
      <c r="X14" s="276">
        <f t="shared" si="4"/>
        <v>10.213580818372202</v>
      </c>
      <c r="Y14" s="276">
        <f t="shared" si="5"/>
        <v>3.6962218679787662</v>
      </c>
      <c r="Z14" s="276">
        <f t="shared" si="6"/>
        <v>0</v>
      </c>
      <c r="AA14" s="276">
        <f t="shared" si="7"/>
        <v>0</v>
      </c>
      <c r="AB14" s="276">
        <f t="shared" si="8"/>
        <v>0</v>
      </c>
      <c r="AC14" s="276">
        <f t="shared" si="9"/>
        <v>0</v>
      </c>
      <c r="AD14" s="276">
        <f t="shared" si="10"/>
        <v>0</v>
      </c>
      <c r="AE14" s="276">
        <f t="shared" si="11"/>
        <v>0</v>
      </c>
      <c r="AF14" s="557"/>
      <c r="AG14" s="562">
        <f>IF(AND(R12&gt;0,12-'Input 4_RSV Season'!$AG$27+1&gt;R12),IF(AG13&gt;0,AG13+1,1),0)</f>
        <v>0</v>
      </c>
      <c r="AH14" s="549">
        <f>IF($AG14&gt;0,SUMIF($T$7:$AE$7,"&gt;0",$T12:$AE12),0)</f>
        <v>0</v>
      </c>
      <c r="AI14" s="549">
        <f>IF($AG14&gt;0,SUMIF($T$7:$AE$7,0,$T12:$AE12),0)</f>
        <v>0</v>
      </c>
      <c r="AK14" s="563">
        <f>IF($AG14&gt;0,SUMIF($T$8:$AE$8,"&gt;0",$T12:$AE12),0)</f>
        <v>0</v>
      </c>
      <c r="AL14" s="549">
        <f>IF($AG14&gt;0,SUMIF($T$8:$AE$8,0,$T12:$AE12),0)</f>
        <v>0</v>
      </c>
      <c r="AN14" s="599"/>
      <c r="AP14" s="26">
        <v>2</v>
      </c>
      <c r="AR14" s="275">
        <f t="shared" ref="AR14:AR23" si="13">D14/$M$10*$M$9</f>
        <v>163.56442035325298</v>
      </c>
      <c r="AS14" s="275">
        <f t="shared" si="12"/>
        <v>341.50606204055742</v>
      </c>
      <c r="AT14" s="275">
        <f t="shared" si="12"/>
        <v>420.08126866683909</v>
      </c>
      <c r="AU14" s="275">
        <f t="shared" si="12"/>
        <v>151.50377043254306</v>
      </c>
      <c r="AV14" s="275">
        <f t="shared" si="12"/>
        <v>69.45370668624895</v>
      </c>
      <c r="AW14" s="275">
        <f t="shared" si="12"/>
        <v>25.134799834756755</v>
      </c>
      <c r="AX14" s="275">
        <f t="shared" si="12"/>
        <v>0</v>
      </c>
      <c r="AY14" s="275">
        <f t="shared" si="12"/>
        <v>0</v>
      </c>
      <c r="AZ14" s="275">
        <f t="shared" si="12"/>
        <v>0</v>
      </c>
      <c r="BA14" s="275">
        <f t="shared" si="12"/>
        <v>0</v>
      </c>
      <c r="BB14" s="275">
        <f t="shared" si="12"/>
        <v>0</v>
      </c>
      <c r="BC14" s="275">
        <f t="shared" si="12"/>
        <v>0</v>
      </c>
      <c r="BD14" s="275"/>
      <c r="BE14" s="562">
        <f>IF(AND(AP12&gt;0,12-'Input 4_RSV Season'!$AG$27+1&gt;AP12),IF(BE13&gt;0,BE13+1,1),0)</f>
        <v>0</v>
      </c>
      <c r="BF14" s="549">
        <f>IF($BE14&gt;0,SUMIF($AR$8:$BC$8,"&gt;0",$AR12:$BC12),0)</f>
        <v>0</v>
      </c>
      <c r="BG14" s="565">
        <f>IF($AG14&gt;0,SUMIF($AR$8:$BC$8,0,$AR12:$BC12),0)</f>
        <v>0</v>
      </c>
      <c r="BI14" s="693"/>
      <c r="BJ14" s="564"/>
    </row>
    <row r="15" spans="2:64" x14ac:dyDescent="0.3">
      <c r="B15" s="26">
        <v>3</v>
      </c>
      <c r="D15" s="856">
        <f>'WiS percent RSV_base'!E11</f>
        <v>8.040513833992095E-3</v>
      </c>
      <c r="E15" s="856">
        <f>'WiS percent RSV_base'!F12</f>
        <v>2.0139328063241105E-2</v>
      </c>
      <c r="F15" s="856">
        <f>'WiS percent RSV_base'!G13</f>
        <v>1.5462450592885375E-2</v>
      </c>
      <c r="G15" s="856">
        <f>'WiS percent RSV_base'!H14</f>
        <v>8.8320158102766794E-3</v>
      </c>
      <c r="H15" s="856">
        <f>'WiS percent RSV_base'!I15</f>
        <v>6.4743083003952562E-3</v>
      </c>
      <c r="I15" s="856">
        <f>'WiS percent RSV_base'!J16</f>
        <v>1.0415019762845851E-3</v>
      </c>
      <c r="J15" s="856">
        <f>'WiS percent RSV_base'!K17</f>
        <v>0</v>
      </c>
      <c r="K15" s="856">
        <f>'WiS percent RSV_base'!L18</f>
        <v>0</v>
      </c>
      <c r="L15" s="856">
        <f>'WiS percent RSV_base'!M19</f>
        <v>0</v>
      </c>
      <c r="M15" s="246"/>
      <c r="N15" s="246"/>
      <c r="O15" s="246"/>
      <c r="R15" s="26">
        <v>3</v>
      </c>
      <c r="T15" s="276">
        <f t="shared" si="0"/>
        <v>17.324975426119369</v>
      </c>
      <c r="U15" s="276">
        <f t="shared" si="1"/>
        <v>43.394411227693112</v>
      </c>
      <c r="V15" s="276">
        <f t="shared" si="2"/>
        <v>33.317096653301697</v>
      </c>
      <c r="W15" s="276">
        <f t="shared" si="3"/>
        <v>19.03043263594137</v>
      </c>
      <c r="X15" s="276">
        <f t="shared" si="4"/>
        <v>13.950256727532764</v>
      </c>
      <c r="Y15" s="276">
        <f t="shared" si="5"/>
        <v>2.2441347055585372</v>
      </c>
      <c r="Z15" s="276">
        <f t="shared" si="6"/>
        <v>0</v>
      </c>
      <c r="AA15" s="276">
        <f t="shared" si="7"/>
        <v>0</v>
      </c>
      <c r="AB15" s="276">
        <f t="shared" si="8"/>
        <v>0</v>
      </c>
      <c r="AC15" s="276">
        <f t="shared" si="9"/>
        <v>0</v>
      </c>
      <c r="AD15" s="276">
        <f t="shared" si="10"/>
        <v>0</v>
      </c>
      <c r="AE15" s="276">
        <f t="shared" si="11"/>
        <v>0</v>
      </c>
      <c r="AF15" s="557"/>
      <c r="AG15" s="562">
        <f>IF(AND(R13&gt;0,12-'Input 4_RSV Season'!$AG$27+1&gt;R13),IF(AG14&gt;0,AG14+1,1),0)</f>
        <v>1</v>
      </c>
      <c r="AH15" s="549">
        <f t="shared" ref="AH15:AH25" si="14">IF($AG15&gt;0,SUMIF($T$7:$AE$7,"&gt;0",$T13:$AE13),0)</f>
        <v>238.04861159418095</v>
      </c>
      <c r="AI15" s="549">
        <f>IF($AG15&gt;0,SUMIF($T$7:$AE$7,0,$T13:$AE13),0)</f>
        <v>2.7061624390558827</v>
      </c>
      <c r="AK15" s="549">
        <f t="shared" ref="AK15:AK25" si="15">IF($AG15&gt;0,SUMIF($T$8:$AE$8,"&gt;0",$T13:$AE13),0)</f>
        <v>238.04861159418095</v>
      </c>
      <c r="AL15" s="549">
        <f t="shared" ref="AL15:AL25" si="16">IF($AG15&gt;0,SUMIF($T$8:$AE$8,0,$T13:$AE13),0)</f>
        <v>2.7061624390558827</v>
      </c>
      <c r="AN15" s="599"/>
      <c r="AP15" s="26">
        <v>3</v>
      </c>
      <c r="AR15" s="275">
        <f t="shared" si="13"/>
        <v>117.81213493975562</v>
      </c>
      <c r="AS15" s="275">
        <f t="shared" si="12"/>
        <v>295.08776234572434</v>
      </c>
      <c r="AT15" s="275">
        <f t="shared" si="12"/>
        <v>226.56068422481209</v>
      </c>
      <c r="AU15" s="275">
        <f t="shared" si="12"/>
        <v>129.40947057779721</v>
      </c>
      <c r="AV15" s="275">
        <f t="shared" si="12"/>
        <v>94.863599376340034</v>
      </c>
      <c r="AW15" s="275">
        <f t="shared" si="12"/>
        <v>15.260414185388035</v>
      </c>
      <c r="AX15" s="275">
        <f t="shared" si="12"/>
        <v>0</v>
      </c>
      <c r="AY15" s="275">
        <f t="shared" si="12"/>
        <v>0</v>
      </c>
      <c r="AZ15" s="275">
        <f t="shared" si="12"/>
        <v>0</v>
      </c>
      <c r="BA15" s="275">
        <f t="shared" si="12"/>
        <v>0</v>
      </c>
      <c r="BB15" s="275">
        <f t="shared" si="12"/>
        <v>0</v>
      </c>
      <c r="BC15" s="275">
        <f t="shared" si="12"/>
        <v>0</v>
      </c>
      <c r="BD15" s="275"/>
      <c r="BE15" s="562">
        <f>IF(AND(AP13&gt;0,12-'Input 4_RSV Season'!$AG$27+1&gt;AP13),IF(BE14&gt;0,BE14+1,1),0)</f>
        <v>1</v>
      </c>
      <c r="BF15" s="549">
        <f t="shared" ref="BF15:BF25" si="17">IF($BE15&gt;0,SUMIF($AR$8:$BC$8,"&gt;0",$AR13:$BC13),0)</f>
        <v>1618.7621893578025</v>
      </c>
      <c r="BG15" s="565">
        <f t="shared" ref="BG15:BG25" si="18">IF($AG15&gt;0,SUMIF($AR$8:$BC$8,0,$AR13:$BC13),0)</f>
        <v>18.402264164732625</v>
      </c>
      <c r="BI15" s="693">
        <f>IF(SUM($AR$7:$BC$7)=4,SUM(AR13:AU13),IF(SUM($AR$7:$BC$7)=3,SUM(AR13:AT13),IF(SUM($AR$7:$BC$7)=2,SUM(AR13:AS13),IF(SUM($AR$7:$BC$7)=1,AR13,0))))</f>
        <v>1256.5372917391708</v>
      </c>
      <c r="BJ15" s="565">
        <f>IF(BE15&gt;0,SUM($AR13:$BC13)-BI15,0)</f>
        <v>380.62716178336427</v>
      </c>
      <c r="BL15" s="5"/>
    </row>
    <row r="16" spans="2:64" x14ac:dyDescent="0.3">
      <c r="B16" s="26">
        <v>4</v>
      </c>
      <c r="D16" s="856">
        <f>'WiS percent RSV_base'!E12</f>
        <v>6.9476284584980242E-3</v>
      </c>
      <c r="E16" s="856">
        <f>'WiS percent RSV_base'!F13</f>
        <v>1.0861660079051382E-2</v>
      </c>
      <c r="F16" s="856">
        <f>'WiS percent RSV_base'!G14</f>
        <v>1.3207509881422923E-2</v>
      </c>
      <c r="G16" s="856">
        <f>'WiS percent RSV_base'!H15</f>
        <v>1.2063241106719367E-2</v>
      </c>
      <c r="H16" s="856">
        <f>'WiS percent RSV_base'!I16</f>
        <v>3.9308300395256924E-3</v>
      </c>
      <c r="I16" s="856">
        <f>'WiS percent RSV_base'!J17</f>
        <v>1.1640316205533596E-3</v>
      </c>
      <c r="J16" s="856">
        <f>'WiS percent RSV_base'!K18</f>
        <v>0</v>
      </c>
      <c r="K16" s="856">
        <f>'WiS percent RSV_base'!L19</f>
        <v>0</v>
      </c>
      <c r="L16" s="246"/>
      <c r="M16" s="246"/>
      <c r="N16" s="246"/>
      <c r="O16" s="246"/>
      <c r="R16" s="26">
        <v>4</v>
      </c>
      <c r="T16" s="276">
        <f t="shared" si="0"/>
        <v>14.970124397326448</v>
      </c>
      <c r="U16" s="276">
        <f t="shared" si="1"/>
        <v>23.403727403699655</v>
      </c>
      <c r="V16" s="276">
        <f t="shared" si="2"/>
        <v>28.458353391361861</v>
      </c>
      <c r="W16" s="276">
        <f t="shared" si="3"/>
        <v>25.992786039334554</v>
      </c>
      <c r="X16" s="276">
        <f t="shared" si="4"/>
        <v>8.469798727430609</v>
      </c>
      <c r="Y16" s="276">
        <f t="shared" si="5"/>
        <v>2.5081505532713062</v>
      </c>
      <c r="Z16" s="276">
        <f t="shared" si="6"/>
        <v>0</v>
      </c>
      <c r="AA16" s="276">
        <f t="shared" si="7"/>
        <v>0</v>
      </c>
      <c r="AB16" s="276">
        <f t="shared" si="8"/>
        <v>0</v>
      </c>
      <c r="AC16" s="276">
        <f t="shared" si="9"/>
        <v>0</v>
      </c>
      <c r="AD16" s="276">
        <f t="shared" si="10"/>
        <v>0</v>
      </c>
      <c r="AE16" s="276">
        <f t="shared" si="11"/>
        <v>0</v>
      </c>
      <c r="AF16" s="557"/>
      <c r="AG16" s="562">
        <f>IF(AND(R14&gt;0,12-'Input 4_RSV Season'!$AG$27+1&gt;R14),IF(AG15&gt;0,AG15+1,1),0)</f>
        <v>2</v>
      </c>
      <c r="AH16" s="549">
        <f t="shared" si="14"/>
        <v>168.54218136367007</v>
      </c>
      <c r="AI16" s="549">
        <f t="shared" ref="AI16:AI25" si="19">IF($AG16&gt;0,SUMIF($T$7:$AE$7,0,$T14:$AE14),0)</f>
        <v>3.6962218679787662</v>
      </c>
      <c r="AK16" s="549">
        <f t="shared" si="15"/>
        <v>168.54218136367007</v>
      </c>
      <c r="AL16" s="549">
        <f t="shared" si="16"/>
        <v>3.6962218679787662</v>
      </c>
      <c r="AN16" s="599"/>
      <c r="AP16" s="26">
        <v>4</v>
      </c>
      <c r="AR16" s="275">
        <f t="shared" si="13"/>
        <v>101.79883504503157</v>
      </c>
      <c r="AS16" s="275">
        <f t="shared" si="12"/>
        <v>159.14845609657044</v>
      </c>
      <c r="AT16" s="275">
        <f t="shared" si="12"/>
        <v>193.52058444202697</v>
      </c>
      <c r="AU16" s="275">
        <f t="shared" si="12"/>
        <v>176.75439883796687</v>
      </c>
      <c r="AV16" s="275">
        <f t="shared" si="12"/>
        <v>57.595756764206456</v>
      </c>
      <c r="AW16" s="275">
        <f t="shared" si="12"/>
        <v>17.055757030727804</v>
      </c>
      <c r="AX16" s="275">
        <f t="shared" si="12"/>
        <v>0</v>
      </c>
      <c r="AY16" s="275">
        <f t="shared" si="12"/>
        <v>0</v>
      </c>
      <c r="AZ16" s="275">
        <f t="shared" si="12"/>
        <v>0</v>
      </c>
      <c r="BA16" s="275">
        <f t="shared" si="12"/>
        <v>0</v>
      </c>
      <c r="BB16" s="275">
        <f t="shared" si="12"/>
        <v>0</v>
      </c>
      <c r="BC16" s="275">
        <f t="shared" si="12"/>
        <v>0</v>
      </c>
      <c r="BD16" s="275"/>
      <c r="BE16" s="562">
        <f>IF(AND(AP14&gt;0,12-'Input 4_RSV Season'!$AG$27+1&gt;AP14),IF(BE15&gt;0,BE15+1,1),0)</f>
        <v>2</v>
      </c>
      <c r="BF16" s="549">
        <f t="shared" si="17"/>
        <v>1146.1092281794415</v>
      </c>
      <c r="BG16" s="565">
        <f t="shared" si="18"/>
        <v>25.134799834756755</v>
      </c>
      <c r="BI16" s="693">
        <f>IF(SUM($AR$7:$BC$7)=4,SUM(AR14:AT14),IF(SUM($AR$7:$BC$7)=3,SUM(AR14:AS14),IF(SUM($AR$7:$BC$7)=2,AR14,0)))</f>
        <v>505.07048239381038</v>
      </c>
      <c r="BJ16" s="565">
        <f t="shared" ref="BJ16:BJ25" si="20">IF(BE16&gt;0,SUM($AR14:$BC14)-BI16,0)</f>
        <v>666.17354562038781</v>
      </c>
      <c r="BL16" s="5"/>
    </row>
    <row r="17" spans="2:64" x14ac:dyDescent="0.3">
      <c r="B17" s="26">
        <v>5</v>
      </c>
      <c r="D17" s="856">
        <f>'WiS percent RSV_base'!E13</f>
        <v>3.7470355731225296E-3</v>
      </c>
      <c r="E17" s="856">
        <f>'WiS percent RSV_base'!F14</f>
        <v>9.2776679841897209E-3</v>
      </c>
      <c r="F17" s="856">
        <f>'WiS percent RSV_base'!G15</f>
        <v>1.8039525691699605E-2</v>
      </c>
      <c r="G17" s="856">
        <f>'WiS percent RSV_base'!H16</f>
        <v>7.3241106719367588E-3</v>
      </c>
      <c r="H17" s="856">
        <f>'WiS percent RSV_base'!I17</f>
        <v>4.3932806324110674E-3</v>
      </c>
      <c r="I17" s="856">
        <f>'WiS percent RSV_base'!J18</f>
        <v>1.133399209486166E-3</v>
      </c>
      <c r="J17" s="856">
        <f>'WiS percent RSV_base'!K19</f>
        <v>0</v>
      </c>
      <c r="K17" s="246"/>
      <c r="L17" s="246"/>
      <c r="M17" s="246"/>
      <c r="N17" s="246"/>
      <c r="O17" s="246"/>
      <c r="R17" s="26">
        <v>5</v>
      </c>
      <c r="T17" s="276">
        <f t="shared" si="0"/>
        <v>8.0737749558614542</v>
      </c>
      <c r="U17" s="276">
        <f t="shared" si="1"/>
        <v>19.990683823993454</v>
      </c>
      <c r="V17" s="276">
        <f t="shared" si="2"/>
        <v>38.86994609551865</v>
      </c>
      <c r="W17" s="276">
        <f t="shared" si="3"/>
        <v>15.781334381024552</v>
      </c>
      <c r="X17" s="276">
        <f t="shared" si="4"/>
        <v>9.4662456365400924</v>
      </c>
      <c r="Y17" s="276">
        <f t="shared" si="5"/>
        <v>2.4421465913431142</v>
      </c>
      <c r="Z17" s="276">
        <f t="shared" si="6"/>
        <v>0</v>
      </c>
      <c r="AA17" s="276">
        <f t="shared" si="7"/>
        <v>0</v>
      </c>
      <c r="AB17" s="276">
        <f t="shared" si="8"/>
        <v>0</v>
      </c>
      <c r="AC17" s="276">
        <f t="shared" si="9"/>
        <v>0</v>
      </c>
      <c r="AD17" s="276">
        <f t="shared" si="10"/>
        <v>0</v>
      </c>
      <c r="AE17" s="276">
        <f t="shared" si="11"/>
        <v>0</v>
      </c>
      <c r="AF17" s="557"/>
      <c r="AG17" s="562">
        <f>IF(AND(R15&gt;0,12-'Input 4_RSV Season'!$AG$27+1&gt;R15),IF(AG16&gt;0,AG16+1,1),0)</f>
        <v>3</v>
      </c>
      <c r="AH17" s="549">
        <f t="shared" si="14"/>
        <v>127.01717267058829</v>
      </c>
      <c r="AI17" s="549">
        <f t="shared" si="19"/>
        <v>2.2441347055585372</v>
      </c>
      <c r="AK17" s="549">
        <f t="shared" si="15"/>
        <v>127.01717267058829</v>
      </c>
      <c r="AL17" s="549">
        <f t="shared" si="16"/>
        <v>2.2441347055585372</v>
      </c>
      <c r="AN17" s="599"/>
      <c r="AP17" s="26">
        <v>5</v>
      </c>
      <c r="AR17" s="275">
        <f t="shared" si="13"/>
        <v>54.902742496196794</v>
      </c>
      <c r="AS17" s="275">
        <f t="shared" si="12"/>
        <v>135.9393062491539</v>
      </c>
      <c r="AT17" s="275">
        <f t="shared" si="12"/>
        <v>264.32079826228079</v>
      </c>
      <c r="AU17" s="275">
        <f t="shared" si="12"/>
        <v>107.31517072305134</v>
      </c>
      <c r="AV17" s="275">
        <f t="shared" si="12"/>
        <v>64.371728148230744</v>
      </c>
      <c r="AW17" s="275">
        <f t="shared" si="12"/>
        <v>16.60692131939286</v>
      </c>
      <c r="AX17" s="275">
        <f t="shared" si="12"/>
        <v>0</v>
      </c>
      <c r="AY17" s="275">
        <f t="shared" si="12"/>
        <v>0</v>
      </c>
      <c r="AZ17" s="275">
        <f t="shared" si="12"/>
        <v>0</v>
      </c>
      <c r="BA17" s="275">
        <f t="shared" si="12"/>
        <v>0</v>
      </c>
      <c r="BB17" s="275">
        <f t="shared" si="12"/>
        <v>0</v>
      </c>
      <c r="BC17" s="275">
        <f t="shared" si="12"/>
        <v>0</v>
      </c>
      <c r="BD17" s="275"/>
      <c r="BE17" s="562">
        <f>IF(AND(AP15&gt;0,12-'Input 4_RSV Season'!$AG$27+1&gt;AP15),IF(BE16&gt;0,BE16+1,1),0)</f>
        <v>3</v>
      </c>
      <c r="BF17" s="549">
        <f t="shared" si="17"/>
        <v>863.73365146442939</v>
      </c>
      <c r="BG17" s="565">
        <f t="shared" si="18"/>
        <v>15.260414185388035</v>
      </c>
      <c r="BI17" s="693">
        <f>IF(SUM($AR$7:$BC$7)=4,SUM(AR15:AS15),IF(SUM($AR$7:$BC$7)=3,AR15,0))</f>
        <v>117.81213493975562</v>
      </c>
      <c r="BJ17" s="565">
        <f t="shared" si="20"/>
        <v>761.18193071006181</v>
      </c>
      <c r="BL17" s="5"/>
    </row>
    <row r="18" spans="2:64" x14ac:dyDescent="0.3">
      <c r="B18" s="26">
        <v>6</v>
      </c>
      <c r="D18" s="856">
        <f>'WiS percent RSV_base'!E14</f>
        <v>3.2005928853754938E-3</v>
      </c>
      <c r="E18" s="856">
        <f>'WiS percent RSV_base'!F15</f>
        <v>1.2671936758893278E-2</v>
      </c>
      <c r="F18" s="856">
        <f>'WiS percent RSV_base'!G16</f>
        <v>1.0952569169960475E-2</v>
      </c>
      <c r="G18" s="856">
        <f>'WiS percent RSV_base'!H17</f>
        <v>8.1857707509881417E-3</v>
      </c>
      <c r="H18" s="856">
        <f>'WiS percent RSV_base'!I18</f>
        <v>4.2776679841897243E-3</v>
      </c>
      <c r="I18" s="856">
        <f>'WiS percent RSV_base'!J19</f>
        <v>8.8833992094861656E-4</v>
      </c>
      <c r="J18" s="246"/>
      <c r="K18" s="246"/>
      <c r="L18" s="246"/>
      <c r="M18" s="246"/>
      <c r="N18" s="246"/>
      <c r="O18" s="246"/>
      <c r="R18" s="26">
        <v>6</v>
      </c>
      <c r="T18" s="276">
        <f t="shared" si="0"/>
        <v>6.8963494414649915</v>
      </c>
      <c r="U18" s="276">
        <f t="shared" si="1"/>
        <v>27.304348637649596</v>
      </c>
      <c r="V18" s="276">
        <f t="shared" si="2"/>
        <v>23.59961012942204</v>
      </c>
      <c r="W18" s="276">
        <f t="shared" si="3"/>
        <v>17.637961955262732</v>
      </c>
      <c r="X18" s="276">
        <f t="shared" si="4"/>
        <v>9.2171339092627225</v>
      </c>
      <c r="Y18" s="276">
        <f t="shared" si="5"/>
        <v>1.9141148959175758</v>
      </c>
      <c r="Z18" s="276">
        <f t="shared" si="6"/>
        <v>0</v>
      </c>
      <c r="AA18" s="276">
        <f t="shared" si="7"/>
        <v>0</v>
      </c>
      <c r="AB18" s="276">
        <f t="shared" si="8"/>
        <v>0</v>
      </c>
      <c r="AC18" s="276">
        <f t="shared" si="9"/>
        <v>0</v>
      </c>
      <c r="AD18" s="276">
        <f t="shared" si="10"/>
        <v>0</v>
      </c>
      <c r="AE18" s="276">
        <f t="shared" si="11"/>
        <v>0</v>
      </c>
      <c r="AF18" s="557"/>
      <c r="AG18" s="562">
        <f>IF(AND(R16&gt;0,12-'Input 4_RSV Season'!$AG$27+1&gt;R16),IF(AG17&gt;0,AG17+1,1),0)</f>
        <v>4</v>
      </c>
      <c r="AH18" s="549">
        <f t="shared" si="14"/>
        <v>101.29478995915314</v>
      </c>
      <c r="AI18" s="549">
        <f t="shared" si="19"/>
        <v>2.5081505532713062</v>
      </c>
      <c r="AK18" s="549">
        <f t="shared" si="15"/>
        <v>101.29478995915314</v>
      </c>
      <c r="AL18" s="549">
        <f t="shared" si="16"/>
        <v>2.5081505532713062</v>
      </c>
      <c r="AN18" s="599"/>
      <c r="AP18" s="26">
        <v>6</v>
      </c>
      <c r="AR18" s="275">
        <f t="shared" si="13"/>
        <v>46.896092548834758</v>
      </c>
      <c r="AS18" s="275">
        <f t="shared" si="12"/>
        <v>185.67319877933218</v>
      </c>
      <c r="AT18" s="275">
        <f t="shared" si="12"/>
        <v>160.48048465924191</v>
      </c>
      <c r="AU18" s="275">
        <f t="shared" si="12"/>
        <v>119.94048492576324</v>
      </c>
      <c r="AV18" s="275">
        <f t="shared" si="12"/>
        <v>62.677735302224683</v>
      </c>
      <c r="AW18" s="275">
        <f t="shared" si="12"/>
        <v>13.016235628713323</v>
      </c>
      <c r="AX18" s="275">
        <f t="shared" si="12"/>
        <v>0</v>
      </c>
      <c r="AY18" s="275">
        <f t="shared" si="12"/>
        <v>0</v>
      </c>
      <c r="AZ18" s="275">
        <f t="shared" si="12"/>
        <v>0</v>
      </c>
      <c r="BA18" s="275">
        <f t="shared" si="12"/>
        <v>0</v>
      </c>
      <c r="BB18" s="275">
        <f t="shared" si="12"/>
        <v>0</v>
      </c>
      <c r="BC18" s="275">
        <f t="shared" si="12"/>
        <v>0</v>
      </c>
      <c r="BD18" s="275"/>
      <c r="BE18" s="562">
        <f>IF(AND(AP16&gt;0,12-'Input 4_RSV Season'!$AG$27+1&gt;AP16),IF(BE17&gt;0,BE17+1,1),0)</f>
        <v>4</v>
      </c>
      <c r="BF18" s="549">
        <f t="shared" si="17"/>
        <v>688.8180311858024</v>
      </c>
      <c r="BG18" s="565">
        <f t="shared" si="18"/>
        <v>17.055757030727804</v>
      </c>
      <c r="BI18" s="693">
        <f>IF(SUM($AR$7:$BC$7)=4,AR16,0)</f>
        <v>0</v>
      </c>
      <c r="BJ18" s="565">
        <f t="shared" si="20"/>
        <v>705.87378821653022</v>
      </c>
      <c r="BL18" s="5"/>
    </row>
    <row r="19" spans="2:64" x14ac:dyDescent="0.3">
      <c r="B19" s="26">
        <v>7</v>
      </c>
      <c r="D19" s="856">
        <f>'WiS percent RSV_base'!E15</f>
        <v>4.3715415019762839E-3</v>
      </c>
      <c r="E19" s="856">
        <f>'WiS percent RSV_base'!F16</f>
        <v>7.6936758893280631E-3</v>
      </c>
      <c r="F19" s="856">
        <f>'WiS percent RSV_base'!G17</f>
        <v>1.224110671936759E-2</v>
      </c>
      <c r="G19" s="856">
        <f>'WiS percent RSV_base'!H18</f>
        <v>7.9703557312252975E-3</v>
      </c>
      <c r="H19" s="856">
        <f>'WiS percent RSV_base'!I19</f>
        <v>3.3527667984189721E-3</v>
      </c>
      <c r="I19" s="246"/>
      <c r="J19" s="246"/>
      <c r="K19" s="246"/>
      <c r="L19" s="246"/>
      <c r="M19" s="246"/>
      <c r="N19" s="246"/>
      <c r="O19" s="246"/>
      <c r="R19" s="26">
        <v>7</v>
      </c>
      <c r="T19" s="276">
        <f t="shared" si="0"/>
        <v>9.4194041151716963</v>
      </c>
      <c r="U19" s="276">
        <f t="shared" si="1"/>
        <v>16.577640244287259</v>
      </c>
      <c r="V19" s="276">
        <f t="shared" si="2"/>
        <v>26.376034850530512</v>
      </c>
      <c r="W19" s="276">
        <f t="shared" si="3"/>
        <v>17.173805061703192</v>
      </c>
      <c r="X19" s="276">
        <f t="shared" si="4"/>
        <v>7.224240091043753</v>
      </c>
      <c r="Y19" s="276">
        <f t="shared" si="5"/>
        <v>0</v>
      </c>
      <c r="Z19" s="276">
        <f t="shared" si="6"/>
        <v>0</v>
      </c>
      <c r="AA19" s="276">
        <f t="shared" si="7"/>
        <v>0</v>
      </c>
      <c r="AB19" s="276">
        <f t="shared" si="8"/>
        <v>0</v>
      </c>
      <c r="AC19" s="276">
        <f t="shared" si="9"/>
        <v>0</v>
      </c>
      <c r="AD19" s="276">
        <f t="shared" si="10"/>
        <v>0</v>
      </c>
      <c r="AE19" s="276">
        <f t="shared" si="11"/>
        <v>0</v>
      </c>
      <c r="AF19" s="557"/>
      <c r="AG19" s="562">
        <f>IF(AND(R17&gt;0,12-'Input 4_RSV Season'!$AG$27+1&gt;R17),IF(AG18&gt;0,AG18+1,1),0)</f>
        <v>5</v>
      </c>
      <c r="AH19" s="549">
        <f t="shared" si="14"/>
        <v>92.181984892938203</v>
      </c>
      <c r="AI19" s="549">
        <f t="shared" si="19"/>
        <v>2.4421465913431142</v>
      </c>
      <c r="AK19" s="549">
        <f t="shared" si="15"/>
        <v>92.181984892938203</v>
      </c>
      <c r="AL19" s="549">
        <f t="shared" si="16"/>
        <v>2.4421465913431142</v>
      </c>
      <c r="AN19" s="599"/>
      <c r="AP19" s="26">
        <v>7</v>
      </c>
      <c r="AR19" s="275">
        <f t="shared" si="13"/>
        <v>64.053199578896255</v>
      </c>
      <c r="AS19" s="275">
        <f t="shared" si="12"/>
        <v>112.73015640173742</v>
      </c>
      <c r="AT19" s="275">
        <f t="shared" si="12"/>
        <v>179.36054167797624</v>
      </c>
      <c r="AU19" s="275">
        <f t="shared" si="12"/>
        <v>116.78415637508529</v>
      </c>
      <c r="AV19" s="275">
        <f t="shared" si="12"/>
        <v>49.125792534176085</v>
      </c>
      <c r="AW19" s="275">
        <f t="shared" si="12"/>
        <v>0</v>
      </c>
      <c r="AX19" s="275">
        <f t="shared" si="12"/>
        <v>0</v>
      </c>
      <c r="AY19" s="275">
        <f t="shared" si="12"/>
        <v>0</v>
      </c>
      <c r="AZ19" s="275">
        <f t="shared" si="12"/>
        <v>0</v>
      </c>
      <c r="BA19" s="275">
        <f t="shared" si="12"/>
        <v>0</v>
      </c>
      <c r="BB19" s="275">
        <f t="shared" si="12"/>
        <v>0</v>
      </c>
      <c r="BC19" s="275">
        <f t="shared" si="12"/>
        <v>0</v>
      </c>
      <c r="BD19" s="275"/>
      <c r="BE19" s="562">
        <f>IF(AND(AP17&gt;0,12-'Input 4_RSV Season'!$AG$27+1&gt;AP17),IF(BE18&gt;0,BE18+1,1),0)</f>
        <v>5</v>
      </c>
      <c r="BF19" s="549">
        <f t="shared" si="17"/>
        <v>626.84974587891361</v>
      </c>
      <c r="BG19" s="565">
        <f t="shared" si="18"/>
        <v>16.60692131939286</v>
      </c>
      <c r="BI19" s="693"/>
      <c r="BJ19" s="565">
        <f t="shared" si="20"/>
        <v>643.45666719830649</v>
      </c>
      <c r="BL19" s="5"/>
    </row>
    <row r="20" spans="2:64" x14ac:dyDescent="0.3">
      <c r="B20" s="26">
        <v>8</v>
      </c>
      <c r="D20" s="856">
        <f>'WiS percent RSV_base'!E16</f>
        <v>2.6541501976284584E-3</v>
      </c>
      <c r="E20" s="856">
        <f>'WiS percent RSV_base'!F17</f>
        <v>8.5988142292490102E-3</v>
      </c>
      <c r="F20" s="856">
        <f>'WiS percent RSV_base'!G18</f>
        <v>1.1918972332015812E-2</v>
      </c>
      <c r="G20" s="856">
        <f>'WiS percent RSV_base'!H19</f>
        <v>6.2470355731225292E-3</v>
      </c>
      <c r="H20" s="246"/>
      <c r="I20" s="246"/>
      <c r="J20" s="246"/>
      <c r="K20" s="246"/>
      <c r="L20" s="246"/>
      <c r="M20" s="246"/>
      <c r="N20" s="246"/>
      <c r="O20" s="246"/>
      <c r="R20" s="26">
        <v>8</v>
      </c>
      <c r="T20" s="276">
        <f t="shared" si="0"/>
        <v>5.7189239270685297</v>
      </c>
      <c r="U20" s="276">
        <f t="shared" si="1"/>
        <v>18.527950861262227</v>
      </c>
      <c r="V20" s="276">
        <f t="shared" si="2"/>
        <v>25.681928670253399</v>
      </c>
      <c r="W20" s="276">
        <f t="shared" si="3"/>
        <v>13.460549913226822</v>
      </c>
      <c r="X20" s="276">
        <f t="shared" si="4"/>
        <v>0</v>
      </c>
      <c r="Y20" s="276">
        <f t="shared" si="5"/>
        <v>0</v>
      </c>
      <c r="Z20" s="276">
        <f t="shared" si="6"/>
        <v>0</v>
      </c>
      <c r="AA20" s="276">
        <f t="shared" si="7"/>
        <v>0</v>
      </c>
      <c r="AB20" s="276">
        <f t="shared" si="8"/>
        <v>0</v>
      </c>
      <c r="AC20" s="276">
        <f t="shared" si="9"/>
        <v>0</v>
      </c>
      <c r="AD20" s="276">
        <f t="shared" si="10"/>
        <v>0</v>
      </c>
      <c r="AE20" s="276">
        <f t="shared" si="11"/>
        <v>0</v>
      </c>
      <c r="AF20" s="557"/>
      <c r="AG20" s="562">
        <f>IF(AND(R18&gt;0,12-'Input 4_RSV Season'!$AG$27+1&gt;R18),IF(AG19&gt;0,AG19+1,1),0)</f>
        <v>6</v>
      </c>
      <c r="AH20" s="549">
        <f t="shared" si="14"/>
        <v>84.655404073062087</v>
      </c>
      <c r="AI20" s="549">
        <f t="shared" si="19"/>
        <v>1.9141148959175758</v>
      </c>
      <c r="AK20" s="549">
        <f t="shared" si="15"/>
        <v>84.655404073062087</v>
      </c>
      <c r="AL20" s="549">
        <f t="shared" si="16"/>
        <v>1.9141148959175758</v>
      </c>
      <c r="AN20" s="599"/>
      <c r="AP20" s="26">
        <v>8</v>
      </c>
      <c r="AR20" s="275">
        <f t="shared" si="13"/>
        <v>38.88944260147273</v>
      </c>
      <c r="AS20" s="275">
        <f t="shared" si="12"/>
        <v>125.99252774311826</v>
      </c>
      <c r="AT20" s="275">
        <f t="shared" si="12"/>
        <v>174.6405274232927</v>
      </c>
      <c r="AU20" s="275">
        <f t="shared" si="12"/>
        <v>91.533527969661435</v>
      </c>
      <c r="AV20" s="275">
        <f t="shared" si="12"/>
        <v>0</v>
      </c>
      <c r="AW20" s="275">
        <f t="shared" si="12"/>
        <v>0</v>
      </c>
      <c r="AX20" s="275">
        <f t="shared" si="12"/>
        <v>0</v>
      </c>
      <c r="AY20" s="275">
        <f t="shared" si="12"/>
        <v>0</v>
      </c>
      <c r="AZ20" s="275">
        <f t="shared" si="12"/>
        <v>0</v>
      </c>
      <c r="BA20" s="275">
        <f t="shared" si="12"/>
        <v>0</v>
      </c>
      <c r="BB20" s="275">
        <f t="shared" si="12"/>
        <v>0</v>
      </c>
      <c r="BC20" s="275">
        <f t="shared" si="12"/>
        <v>0</v>
      </c>
      <c r="BD20" s="275"/>
      <c r="BE20" s="562">
        <f>IF(AND(AP18&gt;0,12-'Input 4_RSV Season'!$AG$27+1&gt;AP18),IF(BE19&gt;0,BE19+1,1),0)</f>
        <v>6</v>
      </c>
      <c r="BF20" s="549">
        <f t="shared" si="17"/>
        <v>575.66799621539678</v>
      </c>
      <c r="BG20" s="565">
        <f t="shared" si="18"/>
        <v>13.016235628713323</v>
      </c>
      <c r="BI20" s="693"/>
      <c r="BJ20" s="565">
        <f t="shared" si="20"/>
        <v>588.68423184411006</v>
      </c>
      <c r="BL20" s="5"/>
    </row>
    <row r="21" spans="2:64" x14ac:dyDescent="0.3">
      <c r="B21" s="26">
        <v>9</v>
      </c>
      <c r="D21" s="856">
        <f>'WiS percent RSV_base'!E17</f>
        <v>2.966403162055336E-3</v>
      </c>
      <c r="E21" s="856">
        <f>'WiS percent RSV_base'!F18</f>
        <v>8.3725296442687756E-3</v>
      </c>
      <c r="F21" s="856">
        <f>'WiS percent RSV_base'!G19</f>
        <v>9.3418972332015814E-3</v>
      </c>
      <c r="G21" s="246"/>
      <c r="H21" s="246"/>
      <c r="I21" s="246"/>
      <c r="J21" s="246"/>
      <c r="K21" s="246"/>
      <c r="L21" s="246"/>
      <c r="M21" s="246"/>
      <c r="N21" s="246"/>
      <c r="O21" s="246"/>
      <c r="R21" s="26">
        <v>9</v>
      </c>
      <c r="T21" s="276">
        <f t="shared" si="0"/>
        <v>6.3917385067236516</v>
      </c>
      <c r="U21" s="276">
        <f t="shared" si="1"/>
        <v>18.04037320701849</v>
      </c>
      <c r="V21" s="276">
        <f t="shared" si="2"/>
        <v>20.129079228036442</v>
      </c>
      <c r="W21" s="276">
        <f t="shared" si="3"/>
        <v>0</v>
      </c>
      <c r="X21" s="276">
        <f t="shared" si="4"/>
        <v>0</v>
      </c>
      <c r="Y21" s="276">
        <f t="shared" si="5"/>
        <v>0</v>
      </c>
      <c r="Z21" s="276">
        <f t="shared" si="6"/>
        <v>0</v>
      </c>
      <c r="AA21" s="276">
        <f t="shared" si="7"/>
        <v>0</v>
      </c>
      <c r="AB21" s="276">
        <f t="shared" si="8"/>
        <v>0</v>
      </c>
      <c r="AC21" s="276">
        <f t="shared" si="9"/>
        <v>0</v>
      </c>
      <c r="AD21" s="276">
        <f t="shared" si="10"/>
        <v>0</v>
      </c>
      <c r="AE21" s="276">
        <f t="shared" si="11"/>
        <v>0</v>
      </c>
      <c r="AF21" s="557"/>
      <c r="AG21" s="562">
        <f>IF(AND(R19&gt;0,12-'Input 4_RSV Season'!$AG$27+1&gt;R19),IF(AG20&gt;0,AG20+1,1),0)</f>
        <v>0</v>
      </c>
      <c r="AH21" s="549">
        <f t="shared" si="14"/>
        <v>0</v>
      </c>
      <c r="AI21" s="549">
        <f t="shared" si="19"/>
        <v>0</v>
      </c>
      <c r="AK21" s="549">
        <f t="shared" si="15"/>
        <v>0</v>
      </c>
      <c r="AL21" s="549">
        <f t="shared" si="16"/>
        <v>0</v>
      </c>
      <c r="AN21" s="599"/>
      <c r="AP21" s="26">
        <v>9</v>
      </c>
      <c r="AR21" s="275">
        <f t="shared" si="13"/>
        <v>43.464671142822468</v>
      </c>
      <c r="AS21" s="275">
        <f t="shared" si="12"/>
        <v>122.67693490777309</v>
      </c>
      <c r="AT21" s="275">
        <f t="shared" si="12"/>
        <v>136.88041338582397</v>
      </c>
      <c r="AU21" s="275">
        <f t="shared" si="12"/>
        <v>0</v>
      </c>
      <c r="AV21" s="275">
        <f t="shared" si="12"/>
        <v>0</v>
      </c>
      <c r="AW21" s="275">
        <f t="shared" si="12"/>
        <v>0</v>
      </c>
      <c r="AX21" s="275">
        <f t="shared" si="12"/>
        <v>0</v>
      </c>
      <c r="AY21" s="275">
        <f t="shared" si="12"/>
        <v>0</v>
      </c>
      <c r="AZ21" s="275">
        <f t="shared" si="12"/>
        <v>0</v>
      </c>
      <c r="BA21" s="275">
        <f t="shared" si="12"/>
        <v>0</v>
      </c>
      <c r="BB21" s="275">
        <f t="shared" si="12"/>
        <v>0</v>
      </c>
      <c r="BC21" s="275">
        <f t="shared" si="12"/>
        <v>0</v>
      </c>
      <c r="BD21" s="275"/>
      <c r="BE21" s="562">
        <f>IF(AND(AP19&gt;0,12-'Input 4_RSV Season'!$AG$27+1&gt;AP19),IF(BE20&gt;0,BE20+1,1),0)</f>
        <v>0</v>
      </c>
      <c r="BF21" s="549">
        <f t="shared" si="17"/>
        <v>0</v>
      </c>
      <c r="BG21" s="565">
        <f t="shared" si="18"/>
        <v>0</v>
      </c>
      <c r="BI21" s="693"/>
      <c r="BJ21" s="565">
        <f t="shared" si="20"/>
        <v>0</v>
      </c>
      <c r="BL21" s="5"/>
    </row>
    <row r="22" spans="2:64" x14ac:dyDescent="0.3">
      <c r="B22" s="26">
        <v>10</v>
      </c>
      <c r="D22" s="856">
        <f>'WiS percent RSV_base'!E18</f>
        <v>2.888339920948617E-3</v>
      </c>
      <c r="E22" s="856">
        <f>'WiS percent RSV_base'!F19</f>
        <v>6.5622529644268762E-3</v>
      </c>
      <c r="F22" s="246"/>
      <c r="G22" s="246"/>
      <c r="H22" s="246"/>
      <c r="I22" s="246"/>
      <c r="J22" s="246"/>
      <c r="K22" s="246"/>
      <c r="L22" s="246"/>
      <c r="M22" s="246"/>
      <c r="N22" s="246"/>
      <c r="O22" s="246"/>
      <c r="R22" s="26">
        <v>10</v>
      </c>
      <c r="T22" s="276">
        <f t="shared" si="0"/>
        <v>6.2235348618098723</v>
      </c>
      <c r="U22" s="276">
        <f t="shared" si="1"/>
        <v>14.139751973068542</v>
      </c>
      <c r="V22" s="276">
        <f t="shared" si="2"/>
        <v>0</v>
      </c>
      <c r="W22" s="276">
        <f t="shared" si="3"/>
        <v>0</v>
      </c>
      <c r="X22" s="276">
        <f t="shared" si="4"/>
        <v>0</v>
      </c>
      <c r="Y22" s="276">
        <f t="shared" si="5"/>
        <v>0</v>
      </c>
      <c r="Z22" s="276">
        <f t="shared" si="6"/>
        <v>0</v>
      </c>
      <c r="AA22" s="276">
        <f t="shared" si="7"/>
        <v>0</v>
      </c>
      <c r="AB22" s="276">
        <f t="shared" si="8"/>
        <v>0</v>
      </c>
      <c r="AC22" s="276">
        <f t="shared" si="9"/>
        <v>0</v>
      </c>
      <c r="AD22" s="276">
        <f t="shared" si="10"/>
        <v>0</v>
      </c>
      <c r="AE22" s="276">
        <f t="shared" si="11"/>
        <v>0</v>
      </c>
      <c r="AF22" s="557"/>
      <c r="AG22" s="562">
        <f>IF(AND(R20&gt;0,12-'Input 4_RSV Season'!$AG$27+1&gt;R20),IF(AG21&gt;0,AG21+1,1),0)</f>
        <v>0</v>
      </c>
      <c r="AH22" s="549">
        <f t="shared" si="14"/>
        <v>0</v>
      </c>
      <c r="AI22" s="549">
        <f t="shared" si="19"/>
        <v>0</v>
      </c>
      <c r="AK22" s="549">
        <f t="shared" si="15"/>
        <v>0</v>
      </c>
      <c r="AL22" s="549">
        <f t="shared" si="16"/>
        <v>0</v>
      </c>
      <c r="AN22" s="599"/>
      <c r="AP22" s="26">
        <v>10</v>
      </c>
      <c r="AR22" s="275">
        <f t="shared" si="13"/>
        <v>42.320864007485042</v>
      </c>
      <c r="AS22" s="275">
        <f t="shared" si="12"/>
        <v>96.152192225011305</v>
      </c>
      <c r="AT22" s="275">
        <f t="shared" si="12"/>
        <v>0</v>
      </c>
      <c r="AU22" s="275">
        <f t="shared" si="12"/>
        <v>0</v>
      </c>
      <c r="AV22" s="275">
        <f t="shared" si="12"/>
        <v>0</v>
      </c>
      <c r="AW22" s="275">
        <f t="shared" si="12"/>
        <v>0</v>
      </c>
      <c r="AX22" s="275">
        <f t="shared" si="12"/>
        <v>0</v>
      </c>
      <c r="AY22" s="275">
        <f t="shared" si="12"/>
        <v>0</v>
      </c>
      <c r="AZ22" s="275">
        <f t="shared" si="12"/>
        <v>0</v>
      </c>
      <c r="BA22" s="275">
        <f t="shared" si="12"/>
        <v>0</v>
      </c>
      <c r="BB22" s="275">
        <f t="shared" si="12"/>
        <v>0</v>
      </c>
      <c r="BC22" s="275">
        <f t="shared" si="12"/>
        <v>0</v>
      </c>
      <c r="BD22" s="275"/>
      <c r="BE22" s="562">
        <f>IF(AND(AP20&gt;0,12-'Input 4_RSV Season'!$AG$27+1&gt;AP20),IF(BE21&gt;0,BE21+1,1),0)</f>
        <v>0</v>
      </c>
      <c r="BF22" s="549">
        <f t="shared" si="17"/>
        <v>0</v>
      </c>
      <c r="BG22" s="565">
        <f t="shared" si="18"/>
        <v>0</v>
      </c>
      <c r="BI22" s="693"/>
      <c r="BJ22" s="565">
        <f t="shared" si="20"/>
        <v>0</v>
      </c>
      <c r="BL22" s="5"/>
    </row>
    <row r="23" spans="2:64" x14ac:dyDescent="0.3">
      <c r="B23" s="26">
        <v>11</v>
      </c>
      <c r="D23" s="856">
        <f>'WiS percent RSV_base'!E19</f>
        <v>2.2638339920948614E-3</v>
      </c>
      <c r="E23" s="246"/>
      <c r="F23" s="246"/>
      <c r="G23" s="246"/>
      <c r="H23" s="246"/>
      <c r="I23" s="246"/>
      <c r="J23" s="246"/>
      <c r="K23" s="246"/>
      <c r="L23" s="246"/>
      <c r="M23" s="246"/>
      <c r="N23" s="246"/>
      <c r="O23" s="246"/>
      <c r="R23" s="26">
        <v>11</v>
      </c>
      <c r="T23" s="276">
        <f t="shared" si="0"/>
        <v>4.8779057024996284</v>
      </c>
      <c r="U23" s="276">
        <f t="shared" si="1"/>
        <v>0</v>
      </c>
      <c r="V23" s="276">
        <f t="shared" si="2"/>
        <v>0</v>
      </c>
      <c r="W23" s="276">
        <f t="shared" si="3"/>
        <v>0</v>
      </c>
      <c r="X23" s="276">
        <f t="shared" si="4"/>
        <v>0</v>
      </c>
      <c r="Y23" s="276">
        <f t="shared" si="5"/>
        <v>0</v>
      </c>
      <c r="Z23" s="276">
        <f t="shared" si="6"/>
        <v>0</v>
      </c>
      <c r="AA23" s="276">
        <f t="shared" si="7"/>
        <v>0</v>
      </c>
      <c r="AB23" s="276">
        <f t="shared" si="8"/>
        <v>0</v>
      </c>
      <c r="AC23" s="276">
        <f t="shared" si="9"/>
        <v>0</v>
      </c>
      <c r="AD23" s="276">
        <f t="shared" si="10"/>
        <v>0</v>
      </c>
      <c r="AE23" s="276">
        <f t="shared" si="11"/>
        <v>0</v>
      </c>
      <c r="AF23" s="557"/>
      <c r="AG23" s="562">
        <f>IF(AND(R21&gt;0,12-'Input 4_RSV Season'!$AG$27+1&gt;R21),IF(AG22&gt;0,AG22+1,1),0)</f>
        <v>0</v>
      </c>
      <c r="AH23" s="549">
        <f t="shared" si="14"/>
        <v>0</v>
      </c>
      <c r="AI23" s="549">
        <f t="shared" si="19"/>
        <v>0</v>
      </c>
      <c r="AK23" s="549">
        <f t="shared" si="15"/>
        <v>0</v>
      </c>
      <c r="AL23" s="549">
        <f t="shared" si="16"/>
        <v>0</v>
      </c>
      <c r="AN23" s="599"/>
      <c r="AP23" s="26">
        <v>11</v>
      </c>
      <c r="AR23" s="275">
        <f t="shared" si="13"/>
        <v>33.170406924785567</v>
      </c>
      <c r="AS23" s="275">
        <f t="shared" si="12"/>
        <v>0</v>
      </c>
      <c r="AT23" s="275">
        <f t="shared" si="12"/>
        <v>0</v>
      </c>
      <c r="AU23" s="275">
        <f t="shared" si="12"/>
        <v>0</v>
      </c>
      <c r="AV23" s="275">
        <f t="shared" si="12"/>
        <v>0</v>
      </c>
      <c r="AW23" s="275">
        <f t="shared" si="12"/>
        <v>0</v>
      </c>
      <c r="AX23" s="275">
        <f t="shared" si="12"/>
        <v>0</v>
      </c>
      <c r="AY23" s="275">
        <f t="shared" si="12"/>
        <v>0</v>
      </c>
      <c r="AZ23" s="275">
        <f t="shared" si="12"/>
        <v>0</v>
      </c>
      <c r="BA23" s="275">
        <f t="shared" si="12"/>
        <v>0</v>
      </c>
      <c r="BB23" s="275">
        <f t="shared" si="12"/>
        <v>0</v>
      </c>
      <c r="BC23" s="275">
        <f t="shared" si="12"/>
        <v>0</v>
      </c>
      <c r="BD23" s="275"/>
      <c r="BE23" s="562">
        <f>IF(AND(AP21&gt;0,12-'Input 4_RSV Season'!$AG$27+1&gt;AP21),IF(BE22&gt;0,BE22+1,1),0)</f>
        <v>0</v>
      </c>
      <c r="BF23" s="549">
        <f t="shared" si="17"/>
        <v>0</v>
      </c>
      <c r="BG23" s="565">
        <f t="shared" si="18"/>
        <v>0</v>
      </c>
      <c r="BI23" s="693"/>
      <c r="BJ23" s="565">
        <f t="shared" si="20"/>
        <v>0</v>
      </c>
      <c r="BL23" s="5"/>
    </row>
    <row r="24" spans="2:64" x14ac:dyDescent="0.3">
      <c r="C24" s="13"/>
      <c r="D24" s="14"/>
      <c r="E24" s="547"/>
      <c r="F24" s="13"/>
      <c r="G24" s="13"/>
      <c r="H24" s="14"/>
      <c r="I24" s="574"/>
      <c r="J24" s="574"/>
      <c r="K24" s="574"/>
      <c r="L24" s="597"/>
      <c r="M24" s="574"/>
      <c r="N24" s="574"/>
      <c r="O24" s="574"/>
      <c r="S24" s="13"/>
      <c r="T24" s="14"/>
      <c r="U24" s="547"/>
      <c r="V24" s="13"/>
      <c r="W24" s="13"/>
      <c r="X24" s="14"/>
      <c r="Y24" s="574"/>
      <c r="Z24" s="574"/>
      <c r="AA24" s="574"/>
      <c r="AB24" s="597"/>
      <c r="AC24" s="574"/>
      <c r="AD24" s="574"/>
      <c r="AE24" s="574"/>
      <c r="AF24" s="557"/>
      <c r="AG24" s="562">
        <f>IF(AND(R22&gt;0,12-'Input 4_RSV Season'!$AG$27+1&gt;R22),IF(AG23&gt;0,AG23+1,1),0)</f>
        <v>0</v>
      </c>
      <c r="AH24" s="549">
        <f t="shared" si="14"/>
        <v>0</v>
      </c>
      <c r="AI24" s="549">
        <f t="shared" si="19"/>
        <v>0</v>
      </c>
      <c r="AK24" s="549">
        <f t="shared" si="15"/>
        <v>0</v>
      </c>
      <c r="AL24" s="549">
        <f t="shared" si="16"/>
        <v>0</v>
      </c>
      <c r="AN24" s="599"/>
      <c r="AQ24" s="13"/>
      <c r="AR24" s="14"/>
      <c r="AS24" s="547"/>
      <c r="AT24" s="13"/>
      <c r="AU24" s="13"/>
      <c r="AV24" s="14"/>
      <c r="AW24" s="574"/>
      <c r="AX24" s="574"/>
      <c r="AY24" s="574"/>
      <c r="AZ24" s="597"/>
      <c r="BA24" s="574"/>
      <c r="BB24" s="574"/>
      <c r="BC24" s="574"/>
      <c r="BD24" s="36"/>
      <c r="BE24" s="562">
        <f>IF(AND(AP22&gt;0,12-'Input 4_RSV Season'!$AG$27+1&gt;AP22),IF(BE23&gt;0,BE23+1,1),0)</f>
        <v>0</v>
      </c>
      <c r="BF24" s="549">
        <f t="shared" si="17"/>
        <v>0</v>
      </c>
      <c r="BG24" s="565">
        <f t="shared" si="18"/>
        <v>0</v>
      </c>
      <c r="BI24" s="693"/>
      <c r="BJ24" s="565">
        <f t="shared" si="20"/>
        <v>0</v>
      </c>
      <c r="BL24" s="5"/>
    </row>
    <row r="25" spans="2:64" x14ac:dyDescent="0.3">
      <c r="C25" s="13"/>
      <c r="D25" s="13"/>
      <c r="E25" s="575"/>
      <c r="F25" s="13"/>
      <c r="G25" s="14"/>
      <c r="H25" s="88"/>
      <c r="I25" s="70"/>
      <c r="L25" s="13"/>
      <c r="M25" s="13"/>
      <c r="N25" s="13"/>
      <c r="O25" s="70"/>
      <c r="S25" s="13"/>
      <c r="T25" s="13"/>
      <c r="U25" s="575"/>
      <c r="V25" s="13"/>
      <c r="W25" s="13" t="s">
        <v>513</v>
      </c>
      <c r="X25" s="88">
        <f>SUM(T13:AE23)</f>
        <v>1037.2139368204218</v>
      </c>
      <c r="Y25" s="70"/>
      <c r="AB25" s="13"/>
      <c r="AC25" s="13"/>
      <c r="AD25" s="13"/>
      <c r="AE25" s="70"/>
      <c r="AF25" s="557"/>
      <c r="AG25" s="562">
        <f>IF(AND(R23&gt;0,12-'Input 4_RSV Season'!$AG$27+1&gt;R23),IF(AG24&gt;0,AG24+1,1),0)</f>
        <v>0</v>
      </c>
      <c r="AH25" s="550">
        <f t="shared" si="14"/>
        <v>0</v>
      </c>
      <c r="AI25" s="549">
        <f t="shared" si="19"/>
        <v>0</v>
      </c>
      <c r="AJ25" s="13"/>
      <c r="AK25" s="550">
        <f t="shared" si="15"/>
        <v>0</v>
      </c>
      <c r="AL25" s="549">
        <f t="shared" si="16"/>
        <v>0</v>
      </c>
      <c r="AN25" s="599"/>
      <c r="AQ25" s="13"/>
      <c r="AR25" s="13"/>
      <c r="AS25" s="575"/>
      <c r="AT25" s="13"/>
      <c r="AU25" s="13"/>
      <c r="AV25" s="14"/>
      <c r="AW25" s="70"/>
      <c r="AX25" s="13"/>
      <c r="AY25" s="596"/>
      <c r="AZ25" s="13"/>
      <c r="BA25" s="13"/>
      <c r="BB25" s="13"/>
      <c r="BC25" s="70"/>
      <c r="BD25" s="70"/>
      <c r="BE25" s="562">
        <f>IF(AND(AP23&gt;0,12-'Input 4_RSV Season'!$AG$27+1&gt;AP23),IF(BE24&gt;0,BE24+1,1),0)</f>
        <v>0</v>
      </c>
      <c r="BF25" s="550">
        <f t="shared" si="17"/>
        <v>0</v>
      </c>
      <c r="BG25" s="566">
        <f t="shared" si="18"/>
        <v>0</v>
      </c>
      <c r="BI25" s="694"/>
      <c r="BJ25" s="566">
        <f t="shared" si="20"/>
        <v>0</v>
      </c>
      <c r="BL25" s="5"/>
    </row>
    <row r="26" spans="2:64" x14ac:dyDescent="0.3">
      <c r="S26" s="13"/>
      <c r="T26" s="14"/>
      <c r="U26" s="70"/>
      <c r="V26" s="13"/>
      <c r="W26" s="14"/>
      <c r="X26" s="854"/>
      <c r="Y26" s="70"/>
      <c r="Z26" s="13"/>
      <c r="AA26" s="13"/>
      <c r="AB26" s="13"/>
      <c r="AC26" s="13"/>
      <c r="AD26" s="13"/>
      <c r="AE26" s="70"/>
      <c r="AF26" s="70"/>
      <c r="AH26" s="5">
        <f>SUM(AH14:AH25)</f>
        <v>811.7401445535927</v>
      </c>
      <c r="AI26" s="5">
        <f>SUM(AI14:AI25)</f>
        <v>15.510931053125184</v>
      </c>
      <c r="AJ26" s="593"/>
      <c r="AK26" s="5">
        <f>SUM(AK14:AK25)</f>
        <v>811.7401445535927</v>
      </c>
      <c r="AL26" s="5">
        <f>SUM(AL14:AL25)</f>
        <v>15.510931053125184</v>
      </c>
      <c r="AN26" s="599"/>
      <c r="AQ26" s="13"/>
      <c r="AR26" s="14"/>
      <c r="AS26" s="70"/>
      <c r="AT26" s="13"/>
      <c r="AU26" s="13"/>
      <c r="AV26" s="14"/>
      <c r="AW26" s="70"/>
      <c r="AX26" s="13"/>
      <c r="AY26" s="13" t="s">
        <v>512</v>
      </c>
      <c r="AZ26" s="88">
        <f>SUM(AR13:BC23)</f>
        <v>7053.1925893446141</v>
      </c>
      <c r="BA26" s="13"/>
      <c r="BB26" s="13"/>
      <c r="BC26" s="70"/>
      <c r="BD26" s="70"/>
      <c r="BE26" s="538"/>
      <c r="BF26" s="5">
        <f>SUM(BF14:BF25)</f>
        <v>5519.940842281786</v>
      </c>
      <c r="BG26" s="5">
        <f>SUM(BG14:BG25)</f>
        <v>105.4763921637114</v>
      </c>
      <c r="BI26" s="5">
        <f>SUM(BI14:BI25)</f>
        <v>1879.4199090727368</v>
      </c>
      <c r="BJ26" s="5">
        <f>SUM(BJ14:BJ25)</f>
        <v>3745.9973253727608</v>
      </c>
    </row>
    <row r="27" spans="2:64" ht="15" thickBot="1" x14ac:dyDescent="0.35">
      <c r="S27" s="13"/>
      <c r="T27" s="14"/>
      <c r="U27" s="70"/>
      <c r="V27" s="13"/>
      <c r="W27" s="13"/>
      <c r="X27" s="14"/>
      <c r="Y27" s="70"/>
      <c r="Z27" s="13"/>
      <c r="AA27" s="510"/>
      <c r="AB27" s="510"/>
      <c r="AC27" s="510"/>
      <c r="AD27" s="510"/>
      <c r="AE27" s="70"/>
      <c r="AF27" s="70"/>
      <c r="AN27" s="599"/>
      <c r="AQ27" s="13"/>
      <c r="AR27" s="14"/>
      <c r="AS27" s="70"/>
      <c r="AT27" s="13"/>
      <c r="AU27" s="13"/>
      <c r="AV27" s="14"/>
      <c r="AW27" s="70"/>
      <c r="AX27" s="13"/>
      <c r="AY27" s="510"/>
      <c r="AZ27" s="855"/>
      <c r="BA27" s="510"/>
      <c r="BB27" s="510"/>
      <c r="BC27" s="70"/>
      <c r="BD27" s="70"/>
      <c r="BE27" s="538"/>
    </row>
    <row r="28" spans="2:64" ht="16.2" thickBot="1" x14ac:dyDescent="0.35">
      <c r="S28" s="13"/>
      <c r="T28" s="14"/>
      <c r="U28" s="575"/>
      <c r="V28" s="13"/>
      <c r="W28" s="13"/>
      <c r="X28" s="14"/>
      <c r="Y28" s="70"/>
      <c r="Z28" s="13"/>
      <c r="AA28" s="510"/>
      <c r="AB28" s="70"/>
      <c r="AC28" s="70"/>
      <c r="AD28" s="70"/>
      <c r="AE28" s="70"/>
      <c r="AF28" s="70"/>
      <c r="AH28" s="578">
        <f>AH26/('Input 1_Population'!$G$24*$I$4)</f>
        <v>4.1983401397796216E-2</v>
      </c>
      <c r="AI28" s="578">
        <f>AI26/('Input 1_Population'!$G$24*$I$4)</f>
        <v>8.0222919714660352E-4</v>
      </c>
      <c r="AJ28" s="576"/>
      <c r="AK28" s="577">
        <f>AK26/('Input 1_Population'!$G$24*$I$4)</f>
        <v>4.1983401397796216E-2</v>
      </c>
      <c r="AL28" s="578">
        <f>AL26/('Input 1_Population'!$G$24*$I$4)</f>
        <v>8.0222919714660352E-4</v>
      </c>
      <c r="AN28" s="599"/>
      <c r="AQ28" s="13"/>
      <c r="AR28" s="14"/>
      <c r="AS28" s="575"/>
      <c r="AT28" s="13"/>
      <c r="AU28" s="13"/>
      <c r="AV28" s="14"/>
      <c r="AW28" s="70"/>
      <c r="AX28" s="13"/>
      <c r="AY28" s="510"/>
      <c r="AZ28" s="70"/>
      <c r="BA28" s="70"/>
      <c r="BB28" s="70"/>
      <c r="BC28" s="70"/>
      <c r="BD28" s="70"/>
      <c r="BE28" s="538"/>
      <c r="BF28" s="577">
        <f>BF26/((1-'Input 1_Population'!$G$24)*$I$4)</f>
        <v>2.825518621039377E-3</v>
      </c>
      <c r="BG28" s="577">
        <f>BG26/((1-'Input 1_Population'!$G$24)*$I$4)</f>
        <v>5.3990707265519015E-5</v>
      </c>
      <c r="BI28" s="577">
        <f>BI26/((1-'Input 1_Population'!$G$24)*$I$4)</f>
        <v>9.62027692246428E-4</v>
      </c>
      <c r="BJ28" s="577">
        <f>BJ26/((1-'Input 1_Population'!$G$24)*$I$4)</f>
        <v>1.917481636058468E-3</v>
      </c>
    </row>
    <row r="29" spans="2:64" ht="16.2" thickBot="1" x14ac:dyDescent="0.35">
      <c r="C29" s="1141" t="s">
        <v>518</v>
      </c>
      <c r="D29" s="1141"/>
      <c r="E29" s="1141"/>
      <c r="F29" s="1141"/>
      <c r="G29" s="1141"/>
      <c r="H29" s="1141"/>
      <c r="I29" s="1141"/>
      <c r="J29" s="1141"/>
      <c r="K29" s="1141"/>
      <c r="L29" s="1141"/>
      <c r="M29" s="1141"/>
      <c r="N29" s="1141"/>
      <c r="O29" s="846"/>
      <c r="P29" s="846"/>
      <c r="Q29" s="230"/>
      <c r="AH29" s="598" t="s">
        <v>326</v>
      </c>
      <c r="AI29" s="578">
        <f>SUM(AH28:AI28)</f>
        <v>4.2785630594942822E-2</v>
      </c>
      <c r="AK29" s="598" t="s">
        <v>326</v>
      </c>
      <c r="AL29" s="578">
        <f>SUM(AK28:AL28)</f>
        <v>4.2785630594942822E-2</v>
      </c>
      <c r="AN29" s="599"/>
      <c r="BE29" s="538"/>
      <c r="BF29" s="598" t="s">
        <v>326</v>
      </c>
      <c r="BG29" s="577">
        <f>SUM(BF28:BG28)</f>
        <v>2.879509328304896E-3</v>
      </c>
      <c r="BI29" s="598" t="s">
        <v>326</v>
      </c>
      <c r="BJ29" s="578">
        <f>SUM(BI28:BJ28)</f>
        <v>2.879509328304896E-3</v>
      </c>
    </row>
    <row r="30" spans="2:64" x14ac:dyDescent="0.3">
      <c r="G30" s="845" t="s">
        <v>516</v>
      </c>
      <c r="H30" s="8">
        <f>'WiS percent RSV_base'!AX45-SUM('WiS percent RSV_base'!BG47:BH47)</f>
        <v>7615.7985020580236</v>
      </c>
      <c r="L30" s="845" t="s">
        <v>520</v>
      </c>
      <c r="M30" s="8">
        <f>'WiS percent RSV_base'!BV45-SUM('WiS percent RSV_base'!CE47:CF47)</f>
        <v>51788.441757081353</v>
      </c>
      <c r="N30" s="845"/>
      <c r="O30" s="8"/>
      <c r="AI30" s="559"/>
      <c r="AN30" s="599"/>
      <c r="BE30" s="538"/>
    </row>
    <row r="31" spans="2:64" x14ac:dyDescent="0.3">
      <c r="B31" s="592" t="s">
        <v>7</v>
      </c>
      <c r="G31" s="40" t="s">
        <v>517</v>
      </c>
      <c r="H31" s="22">
        <f>SUM(D33:O44)</f>
        <v>0.73855984963539834</v>
      </c>
      <c r="L31" s="40" t="s">
        <v>521</v>
      </c>
      <c r="M31" s="22">
        <f>H31</f>
        <v>0.73855984963539834</v>
      </c>
      <c r="N31" s="40"/>
      <c r="O31" s="22"/>
      <c r="R31" s="592" t="s">
        <v>7</v>
      </c>
      <c r="AF31" s="1"/>
      <c r="AG31" s="538"/>
      <c r="AN31" s="599"/>
      <c r="AP31" s="592" t="s">
        <v>7</v>
      </c>
      <c r="BD31" s="1"/>
      <c r="BE31" s="538"/>
      <c r="BI31" s="1" t="s">
        <v>348</v>
      </c>
    </row>
    <row r="32" spans="2:64" ht="60" customHeight="1" x14ac:dyDescent="0.3">
      <c r="B32" s="558" t="s">
        <v>519</v>
      </c>
      <c r="D32" s="13">
        <v>1</v>
      </c>
      <c r="E32" s="13">
        <v>2</v>
      </c>
      <c r="F32" s="13">
        <v>3</v>
      </c>
      <c r="G32" s="13">
        <v>4</v>
      </c>
      <c r="H32" s="13">
        <v>5</v>
      </c>
      <c r="I32" s="13">
        <v>6</v>
      </c>
      <c r="J32" s="13">
        <v>7</v>
      </c>
      <c r="K32" s="13">
        <v>8</v>
      </c>
      <c r="L32" s="13">
        <v>9</v>
      </c>
      <c r="M32" s="13">
        <v>10</v>
      </c>
      <c r="N32" s="13">
        <v>11</v>
      </c>
      <c r="O32" s="13">
        <v>12</v>
      </c>
      <c r="R32" s="558" t="s">
        <v>320</v>
      </c>
      <c r="T32" s="500">
        <v>1</v>
      </c>
      <c r="U32" s="500">
        <v>2</v>
      </c>
      <c r="V32" s="500">
        <v>3</v>
      </c>
      <c r="W32" s="500">
        <v>4</v>
      </c>
      <c r="X32" s="500">
        <v>5</v>
      </c>
      <c r="Y32" s="500">
        <v>6</v>
      </c>
      <c r="Z32" s="500">
        <v>7</v>
      </c>
      <c r="AA32" s="500">
        <v>8</v>
      </c>
      <c r="AB32" s="500">
        <v>9</v>
      </c>
      <c r="AC32" s="500">
        <v>10</v>
      </c>
      <c r="AD32" s="500">
        <v>11</v>
      </c>
      <c r="AE32" s="500">
        <v>12</v>
      </c>
      <c r="AG32" s="544" t="s">
        <v>315</v>
      </c>
      <c r="AH32" s="1112" t="s">
        <v>117</v>
      </c>
      <c r="AI32" s="1112"/>
      <c r="AK32" s="1112" t="s">
        <v>216</v>
      </c>
      <c r="AL32" s="1112"/>
      <c r="AN32" s="599"/>
      <c r="AP32" s="558" t="s">
        <v>320</v>
      </c>
      <c r="AR32" s="500">
        <v>1</v>
      </c>
      <c r="AS32" s="500">
        <v>2</v>
      </c>
      <c r="AT32" s="500">
        <v>3</v>
      </c>
      <c r="AU32" s="500">
        <v>4</v>
      </c>
      <c r="AV32" s="500">
        <v>5</v>
      </c>
      <c r="AW32" s="500">
        <v>6</v>
      </c>
      <c r="AX32" s="500">
        <v>7</v>
      </c>
      <c r="AY32" s="500">
        <v>8</v>
      </c>
      <c r="AZ32" s="500">
        <v>9</v>
      </c>
      <c r="BA32" s="500">
        <v>10</v>
      </c>
      <c r="BB32" s="500">
        <v>11</v>
      </c>
      <c r="BC32" s="500">
        <v>12</v>
      </c>
      <c r="BE32" s="544" t="s">
        <v>315</v>
      </c>
      <c r="BF32" s="1112" t="s">
        <v>216</v>
      </c>
      <c r="BG32" s="1112"/>
      <c r="BI32" s="1112" t="s">
        <v>345</v>
      </c>
      <c r="BJ32" s="1112"/>
    </row>
    <row r="33" spans="2:62" ht="30" customHeight="1" x14ac:dyDescent="0.3">
      <c r="B33" s="26">
        <v>0</v>
      </c>
      <c r="D33" s="276"/>
      <c r="E33" s="276"/>
      <c r="F33" s="276"/>
      <c r="G33" s="276"/>
      <c r="H33" s="276"/>
      <c r="I33" s="276"/>
      <c r="J33" s="276"/>
      <c r="K33" s="276"/>
      <c r="L33" s="276"/>
      <c r="M33" s="276"/>
      <c r="N33" s="276"/>
      <c r="O33" s="276"/>
      <c r="R33" s="26">
        <v>0</v>
      </c>
      <c r="T33" s="35"/>
      <c r="U33" s="35"/>
      <c r="V33" s="35"/>
      <c r="W33" s="35"/>
      <c r="X33" s="35"/>
      <c r="Y33" s="35"/>
      <c r="Z33" s="35"/>
      <c r="AA33" s="35"/>
      <c r="AB33" s="35"/>
      <c r="AC33" s="35"/>
      <c r="AD33" s="35"/>
      <c r="AE33" s="35"/>
      <c r="AF33" s="275"/>
      <c r="AG33" s="546" t="s">
        <v>317</v>
      </c>
      <c r="AH33" s="570" t="s">
        <v>312</v>
      </c>
      <c r="AI33" s="571" t="s">
        <v>313</v>
      </c>
      <c r="AJ33" s="572"/>
      <c r="AK33" s="570" t="s">
        <v>312</v>
      </c>
      <c r="AL33" s="571" t="s">
        <v>313</v>
      </c>
      <c r="AN33" s="599"/>
      <c r="AP33" s="26">
        <v>0</v>
      </c>
      <c r="AR33" s="275"/>
      <c r="AS33" s="35"/>
      <c r="AT33" s="35"/>
      <c r="AU33" s="35"/>
      <c r="AV33" s="35"/>
      <c r="AW33" s="35"/>
      <c r="AX33" s="35"/>
      <c r="AY33" s="35"/>
      <c r="AZ33" s="35"/>
      <c r="BA33" s="35"/>
      <c r="BB33" s="35"/>
      <c r="BC33" s="35"/>
      <c r="BD33" s="275"/>
      <c r="BE33" s="546" t="s">
        <v>317</v>
      </c>
      <c r="BF33" s="570" t="s">
        <v>312</v>
      </c>
      <c r="BG33" s="571" t="s">
        <v>313</v>
      </c>
      <c r="BI33" s="570" t="s">
        <v>312</v>
      </c>
      <c r="BJ33" s="571" t="s">
        <v>313</v>
      </c>
    </row>
    <row r="34" spans="2:62" x14ac:dyDescent="0.3">
      <c r="B34" s="26">
        <v>1</v>
      </c>
      <c r="D34" s="856">
        <f>'WiS percent RSV_base'!E34</f>
        <v>7.1017546127249819E-3</v>
      </c>
      <c r="E34" s="856">
        <f>'WiS percent RSV_base'!F35</f>
        <v>2.3215475921198606E-2</v>
      </c>
      <c r="F34" s="856">
        <f>'WiS percent RSV_base'!G36</f>
        <v>4.8021628375394497E-2</v>
      </c>
      <c r="G34" s="856">
        <f>'WiS percent RSV_base'!H37</f>
        <v>3.5409355780312575E-2</v>
      </c>
      <c r="H34" s="856">
        <f>'WiS percent RSV_base'!I38</f>
        <v>1.1680970691827964E-2</v>
      </c>
      <c r="I34" s="856">
        <f>'WiS percent RSV_base'!J39</f>
        <v>2.7313363707844591E-3</v>
      </c>
      <c r="J34" s="856">
        <f>'WiS percent RSV_base'!K40</f>
        <v>0</v>
      </c>
      <c r="K34" s="856">
        <f>'WiS percent RSV_base'!L41</f>
        <v>0</v>
      </c>
      <c r="L34" s="856">
        <f>'WiS percent RSV_base'!M42</f>
        <v>0</v>
      </c>
      <c r="M34" s="856">
        <f>'WiS percent RSV_base'!N43</f>
        <v>0</v>
      </c>
      <c r="N34" s="856">
        <f>'WiS percent RSV_base'!O44</f>
        <v>0</v>
      </c>
      <c r="O34" s="856"/>
      <c r="R34" s="26">
        <v>1</v>
      </c>
      <c r="T34" s="276">
        <f>D34/$H$31*$H$30</f>
        <v>73.231075542861902</v>
      </c>
      <c r="U34" s="276">
        <f t="shared" ref="U34:AE44" si="21">E34/$H$31*$H$30</f>
        <v>239.39073703033105</v>
      </c>
      <c r="V34" s="276">
        <f t="shared" si="21"/>
        <v>495.18403366803847</v>
      </c>
      <c r="W34" s="276">
        <f t="shared" si="21"/>
        <v>365.13021773884839</v>
      </c>
      <c r="X34" s="276">
        <f t="shared" si="21"/>
        <v>120.45052156751215</v>
      </c>
      <c r="Y34" s="276">
        <f t="shared" si="21"/>
        <v>28.164687603185815</v>
      </c>
      <c r="Z34" s="276">
        <f t="shared" si="21"/>
        <v>0</v>
      </c>
      <c r="AA34" s="276">
        <f t="shared" si="21"/>
        <v>0</v>
      </c>
      <c r="AB34" s="276">
        <f t="shared" si="21"/>
        <v>0</v>
      </c>
      <c r="AC34" s="276">
        <f t="shared" si="21"/>
        <v>0</v>
      </c>
      <c r="AD34" s="276">
        <f t="shared" si="21"/>
        <v>0</v>
      </c>
      <c r="AE34" s="276">
        <f t="shared" si="21"/>
        <v>0</v>
      </c>
      <c r="AF34" s="275"/>
      <c r="AG34" s="170"/>
      <c r="AH34" s="551"/>
      <c r="AI34" s="556"/>
      <c r="AK34" s="551"/>
      <c r="AL34" s="556"/>
      <c r="AN34" s="599"/>
      <c r="AP34" s="26">
        <v>1</v>
      </c>
      <c r="AR34" s="275">
        <f>D34/$M$31*$M$30</f>
        <v>497.98104421159138</v>
      </c>
      <c r="AS34" s="275">
        <f t="shared" ref="AS34:BC44" si="22">E34/$M$31*$M$30</f>
        <v>1627.8888206574588</v>
      </c>
      <c r="AT34" s="275">
        <f t="shared" si="22"/>
        <v>3367.3172261219624</v>
      </c>
      <c r="AU34" s="275">
        <f t="shared" si="22"/>
        <v>2482.9339970075162</v>
      </c>
      <c r="AV34" s="275">
        <f t="shared" si="22"/>
        <v>819.07955142503954</v>
      </c>
      <c r="AW34" s="275">
        <f t="shared" si="22"/>
        <v>191.523618061825</v>
      </c>
      <c r="AX34" s="275">
        <f t="shared" si="22"/>
        <v>0</v>
      </c>
      <c r="AY34" s="275">
        <f t="shared" si="22"/>
        <v>0</v>
      </c>
      <c r="AZ34" s="275">
        <f t="shared" si="22"/>
        <v>0</v>
      </c>
      <c r="BA34" s="275">
        <f t="shared" si="22"/>
        <v>0</v>
      </c>
      <c r="BB34" s="275">
        <f t="shared" si="22"/>
        <v>0</v>
      </c>
      <c r="BC34" s="275">
        <f t="shared" si="22"/>
        <v>0</v>
      </c>
      <c r="BD34" s="275"/>
      <c r="BE34" s="170"/>
      <c r="BF34" s="551"/>
      <c r="BG34" s="556"/>
      <c r="BI34" s="551"/>
      <c r="BJ34" s="556"/>
    </row>
    <row r="35" spans="2:62" x14ac:dyDescent="0.3">
      <c r="B35" s="26">
        <v>2</v>
      </c>
      <c r="D35" s="856">
        <f>'WiS percent RSV_base'!E35</f>
        <v>8.0088323046929692E-3</v>
      </c>
      <c r="E35" s="856">
        <f>'WiS percent RSV_base'!F36</f>
        <v>3.3732984349586929E-2</v>
      </c>
      <c r="F35" s="856">
        <f>'WiS percent RSV_base'!G37</f>
        <v>5.2951605432944492E-2</v>
      </c>
      <c r="G35" s="856">
        <f>'WiS percent RSV_base'!H38</f>
        <v>2.1764543682209366E-2</v>
      </c>
      <c r="H35" s="856">
        <f>'WiS percent RSV_base'!I39</f>
        <v>1.0308592109089734E-2</v>
      </c>
      <c r="I35" s="856">
        <f>'WiS percent RSV_base'!J40</f>
        <v>1.8732025721394643E-3</v>
      </c>
      <c r="J35" s="856">
        <f>'WiS percent RSV_base'!K41</f>
        <v>0</v>
      </c>
      <c r="K35" s="856">
        <f>'WiS percent RSV_base'!L42</f>
        <v>0</v>
      </c>
      <c r="L35" s="856">
        <f>'WiS percent RSV_base'!M43</f>
        <v>0</v>
      </c>
      <c r="M35" s="856">
        <f>'WiS percent RSV_base'!N44</f>
        <v>0</v>
      </c>
      <c r="N35" s="246"/>
      <c r="O35" s="246"/>
      <c r="R35" s="26">
        <v>2</v>
      </c>
      <c r="T35" s="276">
        <f t="shared" ref="T35:T44" si="23">D35/$H$31*$H$30</f>
        <v>82.584577403476644</v>
      </c>
      <c r="U35" s="276">
        <f t="shared" si="21"/>
        <v>347.84399911037053</v>
      </c>
      <c r="V35" s="276">
        <f t="shared" si="21"/>
        <v>546.02041735258979</v>
      </c>
      <c r="W35" s="276">
        <f t="shared" si="21"/>
        <v>224.42917693775769</v>
      </c>
      <c r="X35" s="276">
        <f t="shared" si="21"/>
        <v>106.29898224428196</v>
      </c>
      <c r="Y35" s="276">
        <f t="shared" si="21"/>
        <v>19.315879884336486</v>
      </c>
      <c r="Z35" s="276">
        <f t="shared" si="21"/>
        <v>0</v>
      </c>
      <c r="AA35" s="276">
        <f t="shared" si="21"/>
        <v>0</v>
      </c>
      <c r="AB35" s="276">
        <f t="shared" si="21"/>
        <v>0</v>
      </c>
      <c r="AC35" s="276">
        <f t="shared" si="21"/>
        <v>0</v>
      </c>
      <c r="AD35" s="276">
        <f t="shared" si="21"/>
        <v>0</v>
      </c>
      <c r="AE35" s="276">
        <f t="shared" si="21"/>
        <v>0</v>
      </c>
      <c r="AF35" s="275"/>
      <c r="AG35" s="562">
        <f>IF(AND(R33&gt;0,12-'Input 4_RSV Season'!$AG$27+1&gt;R33),IF(AG34&gt;0,AG34+1,1),0)</f>
        <v>0</v>
      </c>
      <c r="AH35" s="549">
        <f>IF($AG35&gt;0,SUMIF($T$7:$AE$7,"&gt;0",$T33:$AE33),0)</f>
        <v>0</v>
      </c>
      <c r="AI35" s="549">
        <f>IF($AG35&gt;0,SUMIF($T$7:$AE$7,0,$T33:$AE33),0)</f>
        <v>0</v>
      </c>
      <c r="AK35" s="563">
        <f>IF($AG35&gt;0,SUMIF($T$8:$AE$8,"&gt;0",$T33:$AE33),0)</f>
        <v>0</v>
      </c>
      <c r="AL35" s="564">
        <f>IF($AG35&gt;0,SUMIF($T$8:$AE$8,0,$T33:$AE33),0)</f>
        <v>0</v>
      </c>
      <c r="AN35" s="599"/>
      <c r="AP35" s="26">
        <v>2</v>
      </c>
      <c r="AR35" s="275">
        <f t="shared" ref="AR35:AR44" si="24">D35/$M$31*$M$30</f>
        <v>561.58609970279144</v>
      </c>
      <c r="AS35" s="275">
        <f t="shared" si="22"/>
        <v>2365.385413441501</v>
      </c>
      <c r="AT35" s="275">
        <f t="shared" si="22"/>
        <v>3713.0113900204137</v>
      </c>
      <c r="AU35" s="275">
        <f t="shared" si="22"/>
        <v>1526.1482240227233</v>
      </c>
      <c r="AV35" s="275">
        <f t="shared" si="22"/>
        <v>722.84720365269436</v>
      </c>
      <c r="AW35" s="275">
        <f t="shared" si="22"/>
        <v>131.35054979545703</v>
      </c>
      <c r="AX35" s="275">
        <f t="shared" si="22"/>
        <v>0</v>
      </c>
      <c r="AY35" s="275">
        <f t="shared" si="22"/>
        <v>0</v>
      </c>
      <c r="AZ35" s="275">
        <f t="shared" si="22"/>
        <v>0</v>
      </c>
      <c r="BA35" s="275">
        <f t="shared" si="22"/>
        <v>0</v>
      </c>
      <c r="BB35" s="275">
        <f t="shared" si="22"/>
        <v>0</v>
      </c>
      <c r="BC35" s="275">
        <f t="shared" si="22"/>
        <v>0</v>
      </c>
      <c r="BD35" s="275"/>
      <c r="BE35" s="562">
        <f>IF(AND(AP33&gt;0,12-'Input 4_RSV Season'!$AG$27+1&gt;AP33),IF(BE34&gt;0,BE34+1,1),0)</f>
        <v>0</v>
      </c>
      <c r="BF35" s="549">
        <f>IF($BE35&gt;0,SUMIF($AR$8:$BC$8,"&gt;0",$AR33:$BC33),0)</f>
        <v>0</v>
      </c>
      <c r="BG35" s="564">
        <f>IF($BE35&gt;0,SUMIF($AR$8:$BC$8,0,$AR33:$BC33),0)</f>
        <v>0</v>
      </c>
      <c r="BI35" s="693"/>
      <c r="BJ35" s="564"/>
    </row>
    <row r="36" spans="2:62" x14ac:dyDescent="0.3">
      <c r="B36" s="26">
        <v>3</v>
      </c>
      <c r="D36" s="856">
        <f>'WiS percent RSV_base'!E36</f>
        <v>1.1637143072564924E-2</v>
      </c>
      <c r="E36" s="856">
        <f>'WiS percent RSV_base'!F37</f>
        <v>3.7196066393080637E-2</v>
      </c>
      <c r="F36" s="856">
        <f>'WiS percent RSV_base'!G38</f>
        <v>3.254697816697364E-2</v>
      </c>
      <c r="G36" s="856">
        <f>'WiS percent RSV_base'!H39</f>
        <v>1.9207462220355229E-2</v>
      </c>
      <c r="H36" s="856">
        <f>'WiS percent RSV_base'!I40</f>
        <v>7.0698290625908818E-3</v>
      </c>
      <c r="I36" s="856">
        <f>'WiS percent RSV_base'!J41</f>
        <v>1.8565073620490946E-3</v>
      </c>
      <c r="J36" s="856">
        <f>'WiS percent RSV_base'!K42</f>
        <v>0</v>
      </c>
      <c r="K36" s="856">
        <f>'WiS percent RSV_base'!L43</f>
        <v>0</v>
      </c>
      <c r="L36" s="856">
        <f>'WiS percent RSV_base'!M44</f>
        <v>0</v>
      </c>
      <c r="M36" s="246"/>
      <c r="N36" s="246"/>
      <c r="O36" s="246"/>
      <c r="R36" s="26">
        <v>3</v>
      </c>
      <c r="T36" s="276">
        <f t="shared" si="23"/>
        <v>119.99858484593568</v>
      </c>
      <c r="U36" s="276">
        <f t="shared" si="21"/>
        <v>383.55421955135904</v>
      </c>
      <c r="V36" s="276">
        <f t="shared" si="21"/>
        <v>335.61427376930737</v>
      </c>
      <c r="W36" s="276">
        <f t="shared" si="21"/>
        <v>198.06135153208089</v>
      </c>
      <c r="X36" s="276">
        <f t="shared" si="21"/>
        <v>72.90186924088286</v>
      </c>
      <c r="Y36" s="276">
        <f t="shared" si="21"/>
        <v>19.143724092140971</v>
      </c>
      <c r="Z36" s="276">
        <f t="shared" si="21"/>
        <v>0</v>
      </c>
      <c r="AA36" s="276">
        <f t="shared" si="21"/>
        <v>0</v>
      </c>
      <c r="AB36" s="276">
        <f t="shared" si="21"/>
        <v>0</v>
      </c>
      <c r="AC36" s="276">
        <f t="shared" si="21"/>
        <v>0</v>
      </c>
      <c r="AD36" s="276">
        <f t="shared" si="21"/>
        <v>0</v>
      </c>
      <c r="AE36" s="276">
        <f t="shared" si="21"/>
        <v>0</v>
      </c>
      <c r="AF36" s="275"/>
      <c r="AG36" s="562">
        <f>IF(AND(R34&gt;0,12-'Input 4_RSV Season'!$AG$27+1&gt;R34),IF(AG35&gt;0,AG35+1,1),0)</f>
        <v>1</v>
      </c>
      <c r="AH36" s="549">
        <f t="shared" ref="AH36:AH46" si="25">IF($AG36&gt;0,SUMIF($T$7:$AE$7,"&gt;0",$T34:$AE34),0)</f>
        <v>1293.3865855475919</v>
      </c>
      <c r="AI36" s="549">
        <f t="shared" ref="AI36:AI46" si="26">IF($AG36&gt;0,SUMIF($T$7:$AE$7,0,$T34:$AE34),0)</f>
        <v>28.164687603185815</v>
      </c>
      <c r="AK36" s="549">
        <f t="shared" ref="AK36:AK46" si="27">IF($AG36&gt;0,SUMIF($T$8:$AE$8,"&gt;0",$T34:$AE34),0)</f>
        <v>1293.3865855475919</v>
      </c>
      <c r="AL36" s="565">
        <f t="shared" ref="AL36:AL46" si="28">IF($AG36&gt;0,SUMIF($T$8:$AE$8,0,$T34:$AE34),0)</f>
        <v>28.164687603185815</v>
      </c>
      <c r="AN36" s="599"/>
      <c r="AP36" s="26">
        <v>3</v>
      </c>
      <c r="AR36" s="275">
        <f t="shared" si="24"/>
        <v>816.00632166759203</v>
      </c>
      <c r="AS36" s="275">
        <f t="shared" si="22"/>
        <v>2608.2196574069776</v>
      </c>
      <c r="AT36" s="275">
        <f t="shared" si="22"/>
        <v>2282.2216561073751</v>
      </c>
      <c r="AU36" s="275">
        <f t="shared" si="22"/>
        <v>1346.8435076605758</v>
      </c>
      <c r="AV36" s="275">
        <f t="shared" si="22"/>
        <v>495.74239761511194</v>
      </c>
      <c r="AW36" s="275">
        <f t="shared" si="22"/>
        <v>130.1798675334654</v>
      </c>
      <c r="AX36" s="275">
        <f t="shared" si="22"/>
        <v>0</v>
      </c>
      <c r="AY36" s="275">
        <f t="shared" si="22"/>
        <v>0</v>
      </c>
      <c r="AZ36" s="275">
        <f t="shared" si="22"/>
        <v>0</v>
      </c>
      <c r="BA36" s="275">
        <f t="shared" si="22"/>
        <v>0</v>
      </c>
      <c r="BB36" s="275">
        <f t="shared" si="22"/>
        <v>0</v>
      </c>
      <c r="BC36" s="275">
        <f t="shared" si="22"/>
        <v>0</v>
      </c>
      <c r="BD36" s="275"/>
      <c r="BE36" s="562">
        <f>IF(AND(AP34&gt;0,12-'Input 4_RSV Season'!$AG$27+1&gt;AP34),IF(BE35&gt;0,BE35+1,1),0)</f>
        <v>1</v>
      </c>
      <c r="BF36" s="549">
        <f t="shared" ref="BF36:BF46" si="29">IF($BE36&gt;0,SUMIF($AR$8:$BC$8,"&gt;0",$AR34:$BC34),0)</f>
        <v>8795.2006394235686</v>
      </c>
      <c r="BG36" s="565">
        <f t="shared" ref="BG36:BG46" si="30">IF($BE36&gt;0,SUMIF($AR$8:$BC$8,0,$AR34:$BC34),0)</f>
        <v>191.523618061825</v>
      </c>
      <c r="BI36" s="693">
        <f>IF(SUM($AR$7:$BC$7)=4,SUM(AR34:AU34),IF(SUM($AR$7:$BC$7)=3,SUM(AR34:AT34),IF(SUM($AR$7:$BC$7)=2,SUM(AR34:AS34),IF(SUM($AR$7:$BC$7)=1,AR34,0))))</f>
        <v>5493.1870909910122</v>
      </c>
      <c r="BJ36" s="565">
        <f t="shared" ref="BJ36:BJ39" si="31">IF($BE36&gt;0,SUM($AR34:$BC34)-BI36,0)</f>
        <v>3493.5371664943814</v>
      </c>
    </row>
    <row r="37" spans="2:62" x14ac:dyDescent="0.3">
      <c r="B37" s="26">
        <v>4</v>
      </c>
      <c r="D37" s="856">
        <f>'WiS percent RSV_base'!E37</f>
        <v>1.2831830764425199E-2</v>
      </c>
      <c r="E37" s="856">
        <f>'WiS percent RSV_base'!F38</f>
        <v>2.2862754601953875E-2</v>
      </c>
      <c r="F37" s="856">
        <f>'WiS percent RSV_base'!G39</f>
        <v>2.8723085705668831E-2</v>
      </c>
      <c r="G37" s="856">
        <f>'WiS percent RSV_base'!H40</f>
        <v>1.3172843894400103E-2</v>
      </c>
      <c r="H37" s="856">
        <f>'WiS percent RSV_base'!I41</f>
        <v>7.0068181083788412E-3</v>
      </c>
      <c r="I37" s="856">
        <f>'WiS percent RSV_base'!J42</f>
        <v>1.8565073620490946E-3</v>
      </c>
      <c r="J37" s="856">
        <f>'WiS percent RSV_base'!K43</f>
        <v>0</v>
      </c>
      <c r="K37" s="856">
        <f>'WiS percent RSV_base'!L44</f>
        <v>0</v>
      </c>
      <c r="L37" s="246"/>
      <c r="M37" s="246"/>
      <c r="N37" s="246"/>
      <c r="O37" s="246"/>
      <c r="R37" s="26">
        <v>4</v>
      </c>
      <c r="T37" s="276">
        <f t="shared" si="23"/>
        <v>132.31783119894047</v>
      </c>
      <c r="U37" s="276">
        <f t="shared" si="21"/>
        <v>235.75358494837846</v>
      </c>
      <c r="V37" s="276">
        <f t="shared" si="21"/>
        <v>296.1834889883412</v>
      </c>
      <c r="W37" s="276">
        <f t="shared" si="21"/>
        <v>135.83425208985008</v>
      </c>
      <c r="X37" s="276">
        <f t="shared" si="21"/>
        <v>72.252119960661076</v>
      </c>
      <c r="Y37" s="276">
        <f t="shared" si="21"/>
        <v>19.143724092140971</v>
      </c>
      <c r="Z37" s="276">
        <f t="shared" si="21"/>
        <v>0</v>
      </c>
      <c r="AA37" s="276">
        <f t="shared" si="21"/>
        <v>0</v>
      </c>
      <c r="AB37" s="276">
        <f t="shared" si="21"/>
        <v>0</v>
      </c>
      <c r="AC37" s="276">
        <f t="shared" si="21"/>
        <v>0</v>
      </c>
      <c r="AD37" s="276">
        <f t="shared" si="21"/>
        <v>0</v>
      </c>
      <c r="AE37" s="276">
        <f t="shared" si="21"/>
        <v>0</v>
      </c>
      <c r="AF37" s="275"/>
      <c r="AG37" s="562">
        <f>IF(AND(R35&gt;0,12-'Input 4_RSV Season'!$AG$27+1&gt;R35),IF(AG36&gt;0,AG36+1,1),0)</f>
        <v>2</v>
      </c>
      <c r="AH37" s="549">
        <f t="shared" si="25"/>
        <v>1307.1771530484766</v>
      </c>
      <c r="AI37" s="549">
        <f t="shared" si="26"/>
        <v>19.315879884336486</v>
      </c>
      <c r="AK37" s="549">
        <f t="shared" si="27"/>
        <v>1307.1771530484766</v>
      </c>
      <c r="AL37" s="565">
        <f t="shared" si="28"/>
        <v>19.315879884336486</v>
      </c>
      <c r="AN37" s="599"/>
      <c r="AP37" s="26">
        <v>4</v>
      </c>
      <c r="AR37" s="275">
        <f t="shared" si="24"/>
        <v>899.77883377795308</v>
      </c>
      <c r="AS37" s="275">
        <f t="shared" si="22"/>
        <v>1603.1557032165304</v>
      </c>
      <c r="AT37" s="275">
        <f t="shared" si="22"/>
        <v>2014.0870802630629</v>
      </c>
      <c r="AU37" s="275">
        <f t="shared" si="22"/>
        <v>923.69096307772975</v>
      </c>
      <c r="AV37" s="275">
        <f t="shared" si="22"/>
        <v>491.32401617469196</v>
      </c>
      <c r="AW37" s="275">
        <f t="shared" si="22"/>
        <v>130.1798675334654</v>
      </c>
      <c r="AX37" s="275">
        <f t="shared" si="22"/>
        <v>0</v>
      </c>
      <c r="AY37" s="275">
        <f t="shared" si="22"/>
        <v>0</v>
      </c>
      <c r="AZ37" s="275">
        <f t="shared" si="22"/>
        <v>0</v>
      </c>
      <c r="BA37" s="275">
        <f t="shared" si="22"/>
        <v>0</v>
      </c>
      <c r="BB37" s="275">
        <f t="shared" si="22"/>
        <v>0</v>
      </c>
      <c r="BC37" s="275">
        <f t="shared" si="22"/>
        <v>0</v>
      </c>
      <c r="BD37" s="275"/>
      <c r="BE37" s="562">
        <f>IF(AND(AP35&gt;0,12-'Input 4_RSV Season'!$AG$27+1&gt;AP35),IF(BE36&gt;0,BE36+1,1),0)</f>
        <v>2</v>
      </c>
      <c r="BF37" s="549">
        <f t="shared" si="29"/>
        <v>8888.9783308401238</v>
      </c>
      <c r="BG37" s="565">
        <f t="shared" si="30"/>
        <v>131.35054979545703</v>
      </c>
      <c r="BI37" s="693">
        <f>IF(SUM($AR$7:$BC$7)=4,SUM(AR35:AT35),IF(SUM($AR$7:$BC$7)=3,SUM(AR35:AS35),IF(SUM($AR$7:$BC$7)=2,AR35,0)))</f>
        <v>2926.9715131442927</v>
      </c>
      <c r="BJ37" s="565">
        <f t="shared" si="31"/>
        <v>6093.3573674912886</v>
      </c>
    </row>
    <row r="38" spans="2:62" x14ac:dyDescent="0.3">
      <c r="B38" s="26">
        <v>5</v>
      </c>
      <c r="D38" s="856">
        <f>'WiS percent RSV_base'!E38</f>
        <v>7.8871511508923856E-3</v>
      </c>
      <c r="E38" s="856">
        <f>'WiS percent RSV_base'!F39</f>
        <v>2.0176646093859392E-2</v>
      </c>
      <c r="F38" s="856">
        <f>'WiS percent RSV_base'!G40</f>
        <v>1.9698839952176302E-2</v>
      </c>
      <c r="G38" s="856">
        <f>'WiS percent RSV_base'!H41</f>
        <v>1.305543886860331E-2</v>
      </c>
      <c r="H38" s="856">
        <f>'WiS percent RSV_base'!I42</f>
        <v>7.0068181083788412E-3</v>
      </c>
      <c r="I38" s="856">
        <f>'WiS percent RSV_base'!J43</f>
        <v>1.34897297530186E-3</v>
      </c>
      <c r="J38" s="856">
        <f>'WiS percent RSV_base'!K44</f>
        <v>0</v>
      </c>
      <c r="K38" s="246"/>
      <c r="L38" s="246"/>
      <c r="M38" s="246"/>
      <c r="N38" s="246"/>
      <c r="O38" s="246"/>
      <c r="R38" s="26">
        <v>5</v>
      </c>
      <c r="T38" s="276">
        <f t="shared" si="23"/>
        <v>81.329839349003933</v>
      </c>
      <c r="U38" s="276">
        <f t="shared" si="21"/>
        <v>208.05527293966296</v>
      </c>
      <c r="V38" s="276">
        <f t="shared" si="21"/>
        <v>203.12828523528046</v>
      </c>
      <c r="W38" s="276">
        <f t="shared" si="21"/>
        <v>134.62360813183005</v>
      </c>
      <c r="X38" s="276">
        <f t="shared" si="21"/>
        <v>72.252119960661076</v>
      </c>
      <c r="Y38" s="276">
        <f t="shared" si="21"/>
        <v>13.910188009397395</v>
      </c>
      <c r="Z38" s="276">
        <f t="shared" si="21"/>
        <v>0</v>
      </c>
      <c r="AA38" s="276">
        <f t="shared" si="21"/>
        <v>0</v>
      </c>
      <c r="AB38" s="276">
        <f t="shared" si="21"/>
        <v>0</v>
      </c>
      <c r="AC38" s="276">
        <f t="shared" si="21"/>
        <v>0</v>
      </c>
      <c r="AD38" s="276">
        <f t="shared" si="21"/>
        <v>0</v>
      </c>
      <c r="AE38" s="276">
        <f t="shared" si="21"/>
        <v>0</v>
      </c>
      <c r="AF38" s="275"/>
      <c r="AG38" s="562">
        <f>IF(AND(R36&gt;0,12-'Input 4_RSV Season'!$AG$27+1&gt;R36),IF(AG37&gt;0,AG37+1,1),0)</f>
        <v>3</v>
      </c>
      <c r="AH38" s="549">
        <f t="shared" si="25"/>
        <v>1110.1302989395658</v>
      </c>
      <c r="AI38" s="549">
        <f t="shared" si="26"/>
        <v>19.143724092140971</v>
      </c>
      <c r="AK38" s="549">
        <f t="shared" si="27"/>
        <v>1110.1302989395658</v>
      </c>
      <c r="AL38" s="565">
        <f t="shared" si="28"/>
        <v>19.143724092140971</v>
      </c>
      <c r="AN38" s="599"/>
      <c r="AP38" s="26">
        <v>5</v>
      </c>
      <c r="AR38" s="275">
        <f t="shared" si="24"/>
        <v>553.05371421006942</v>
      </c>
      <c r="AS38" s="275">
        <f t="shared" si="22"/>
        <v>1414.8035011663844</v>
      </c>
      <c r="AT38" s="275">
        <f t="shared" si="22"/>
        <v>1381.299330107064</v>
      </c>
      <c r="AU38" s="275">
        <f t="shared" si="22"/>
        <v>915.45842329985351</v>
      </c>
      <c r="AV38" s="275">
        <f t="shared" si="22"/>
        <v>491.32401617469196</v>
      </c>
      <c r="AW38" s="275">
        <f t="shared" si="22"/>
        <v>94.591126768920901</v>
      </c>
      <c r="AX38" s="275">
        <f t="shared" si="22"/>
        <v>0</v>
      </c>
      <c r="AY38" s="275">
        <f t="shared" si="22"/>
        <v>0</v>
      </c>
      <c r="AZ38" s="275">
        <f t="shared" si="22"/>
        <v>0</v>
      </c>
      <c r="BA38" s="275">
        <f t="shared" si="22"/>
        <v>0</v>
      </c>
      <c r="BB38" s="275">
        <f t="shared" si="22"/>
        <v>0</v>
      </c>
      <c r="BC38" s="275">
        <f t="shared" si="22"/>
        <v>0</v>
      </c>
      <c r="BD38" s="275"/>
      <c r="BE38" s="562">
        <f>IF(AND(AP36&gt;0,12-'Input 4_RSV Season'!$AG$27+1&gt;AP36),IF(BE37&gt;0,BE37+1,1),0)</f>
        <v>3</v>
      </c>
      <c r="BF38" s="549">
        <f t="shared" si="29"/>
        <v>7549.0335404576326</v>
      </c>
      <c r="BG38" s="565">
        <f t="shared" si="30"/>
        <v>130.1798675334654</v>
      </c>
      <c r="BI38" s="693">
        <f>IF(SUM($AR$7:$BC$7)=4,SUM(AR36:AS36),IF(SUM($AR$7:$BC$7)=3,AR36,0))</f>
        <v>816.00632166759203</v>
      </c>
      <c r="BJ38" s="565">
        <f t="shared" si="31"/>
        <v>6863.2070863235067</v>
      </c>
    </row>
    <row r="39" spans="2:62" x14ac:dyDescent="0.3">
      <c r="B39" s="26">
        <v>6</v>
      </c>
      <c r="D39" s="856">
        <f>'WiS percent RSV_base'!E39</f>
        <v>6.9605023642571699E-3</v>
      </c>
      <c r="E39" s="856">
        <f>'WiS percent RSV_base'!F40</f>
        <v>1.3837528678062493E-2</v>
      </c>
      <c r="F39" s="856">
        <f>'WiS percent RSV_base'!G41</f>
        <v>1.9523270968645319E-2</v>
      </c>
      <c r="G39" s="856">
        <f>'WiS percent RSV_base'!H42</f>
        <v>1.305543886860331E-2</v>
      </c>
      <c r="H39" s="856">
        <f>'WiS percent RSV_base'!I43</f>
        <v>5.0912851003328263E-3</v>
      </c>
      <c r="I39" s="856">
        <f>'WiS percent RSV_base'!J44</f>
        <v>1.8565073620490946E-3</v>
      </c>
      <c r="J39" s="246"/>
      <c r="K39" s="246"/>
      <c r="L39" s="246"/>
      <c r="M39" s="246"/>
      <c r="N39" s="246"/>
      <c r="O39" s="246"/>
      <c r="R39" s="26">
        <v>6</v>
      </c>
      <c r="T39" s="276">
        <f t="shared" si="23"/>
        <v>71.774526472634818</v>
      </c>
      <c r="U39" s="276">
        <f t="shared" si="21"/>
        <v>142.68827398429207</v>
      </c>
      <c r="V39" s="276">
        <f t="shared" si="21"/>
        <v>201.31787271090184</v>
      </c>
      <c r="W39" s="276">
        <f t="shared" si="21"/>
        <v>134.62360813183005</v>
      </c>
      <c r="X39" s="276">
        <f t="shared" si="21"/>
        <v>52.499741841919196</v>
      </c>
      <c r="Y39" s="276">
        <f t="shared" si="21"/>
        <v>19.143724092140971</v>
      </c>
      <c r="Z39" s="276">
        <f t="shared" si="21"/>
        <v>0</v>
      </c>
      <c r="AA39" s="276">
        <f t="shared" si="21"/>
        <v>0</v>
      </c>
      <c r="AB39" s="276">
        <f t="shared" si="21"/>
        <v>0</v>
      </c>
      <c r="AC39" s="276">
        <f t="shared" si="21"/>
        <v>0</v>
      </c>
      <c r="AD39" s="276">
        <f t="shared" si="21"/>
        <v>0</v>
      </c>
      <c r="AE39" s="276">
        <f t="shared" si="21"/>
        <v>0</v>
      </c>
      <c r="AF39" s="275"/>
      <c r="AG39" s="562">
        <f>IF(AND(R37&gt;0,12-'Input 4_RSV Season'!$AG$27+1&gt;R37),IF(AG38&gt;0,AG38+1,1),0)</f>
        <v>4</v>
      </c>
      <c r="AH39" s="549">
        <f t="shared" si="25"/>
        <v>872.34127718617128</v>
      </c>
      <c r="AI39" s="549">
        <f t="shared" si="26"/>
        <v>19.143724092140971</v>
      </c>
      <c r="AK39" s="549">
        <f t="shared" si="27"/>
        <v>872.34127718617128</v>
      </c>
      <c r="AL39" s="565">
        <f t="shared" si="28"/>
        <v>19.143724092140971</v>
      </c>
      <c r="AN39" s="599"/>
      <c r="AP39" s="26">
        <v>6</v>
      </c>
      <c r="AR39" s="275">
        <f t="shared" si="24"/>
        <v>488.07631699626364</v>
      </c>
      <c r="AS39" s="275">
        <f t="shared" si="22"/>
        <v>970.29922268256939</v>
      </c>
      <c r="AT39" s="275">
        <f t="shared" si="22"/>
        <v>1368.9882843841847</v>
      </c>
      <c r="AU39" s="275">
        <f t="shared" si="22"/>
        <v>915.45842329985351</v>
      </c>
      <c r="AV39" s="275">
        <f t="shared" si="22"/>
        <v>357.00522038592726</v>
      </c>
      <c r="AW39" s="275">
        <f t="shared" si="22"/>
        <v>130.1798675334654</v>
      </c>
      <c r="AX39" s="275">
        <f t="shared" si="22"/>
        <v>0</v>
      </c>
      <c r="AY39" s="275">
        <f t="shared" si="22"/>
        <v>0</v>
      </c>
      <c r="AZ39" s="275">
        <f t="shared" si="22"/>
        <v>0</v>
      </c>
      <c r="BA39" s="275">
        <f t="shared" si="22"/>
        <v>0</v>
      </c>
      <c r="BB39" s="275">
        <f t="shared" si="22"/>
        <v>0</v>
      </c>
      <c r="BC39" s="275">
        <f t="shared" si="22"/>
        <v>0</v>
      </c>
      <c r="BD39" s="275"/>
      <c r="BE39" s="562">
        <f>IF(AND(AP37&gt;0,12-'Input 4_RSV Season'!$AG$27+1&gt;AP37),IF(BE38&gt;0,BE38+1,1),0)</f>
        <v>4</v>
      </c>
      <c r="BF39" s="549">
        <f t="shared" si="29"/>
        <v>5932.0365965099681</v>
      </c>
      <c r="BG39" s="565">
        <f t="shared" si="30"/>
        <v>130.1798675334654</v>
      </c>
      <c r="BI39" s="693">
        <f>IF(SUM($AR$7:$BC$7)=4,AR37,0)</f>
        <v>0</v>
      </c>
      <c r="BJ39" s="565">
        <f t="shared" si="31"/>
        <v>6062.2164640434339</v>
      </c>
    </row>
    <row r="40" spans="2:62" x14ac:dyDescent="0.3">
      <c r="B40" s="26">
        <v>7</v>
      </c>
      <c r="D40" s="856">
        <f>'WiS percent RSV_base'!E40</f>
        <v>4.7736452644844413E-3</v>
      </c>
      <c r="E40" s="856">
        <f>'WiS percent RSV_base'!F41</f>
        <v>1.371419954545944E-2</v>
      </c>
      <c r="F40" s="856">
        <f>'WiS percent RSV_base'!G42</f>
        <v>1.9523270968645319E-2</v>
      </c>
      <c r="G40" s="856">
        <f>'WiS percent RSV_base'!H43</f>
        <v>9.4863260843808216E-3</v>
      </c>
      <c r="H40" s="856">
        <f>'WiS percent RSV_base'!I44</f>
        <v>7.0068181083788412E-3</v>
      </c>
      <c r="I40" s="246"/>
      <c r="J40" s="246"/>
      <c r="K40" s="246"/>
      <c r="L40" s="246"/>
      <c r="M40" s="246"/>
      <c r="N40" s="246"/>
      <c r="O40" s="246"/>
      <c r="R40" s="26">
        <v>7</v>
      </c>
      <c r="T40" s="276">
        <f t="shared" si="23"/>
        <v>49.224339060083302</v>
      </c>
      <c r="U40" s="276">
        <f t="shared" si="21"/>
        <v>141.41654248710586</v>
      </c>
      <c r="V40" s="276">
        <f t="shared" si="21"/>
        <v>201.31787271090184</v>
      </c>
      <c r="W40" s="276">
        <f t="shared" si="21"/>
        <v>97.820031808020389</v>
      </c>
      <c r="X40" s="276">
        <f t="shared" si="21"/>
        <v>72.252119960661076</v>
      </c>
      <c r="Y40" s="276">
        <f t="shared" si="21"/>
        <v>0</v>
      </c>
      <c r="Z40" s="276">
        <f t="shared" si="21"/>
        <v>0</v>
      </c>
      <c r="AA40" s="276">
        <f t="shared" si="21"/>
        <v>0</v>
      </c>
      <c r="AB40" s="276">
        <f t="shared" si="21"/>
        <v>0</v>
      </c>
      <c r="AC40" s="276">
        <f t="shared" si="21"/>
        <v>0</v>
      </c>
      <c r="AD40" s="276">
        <f t="shared" si="21"/>
        <v>0</v>
      </c>
      <c r="AE40" s="276">
        <f t="shared" si="21"/>
        <v>0</v>
      </c>
      <c r="AF40" s="275"/>
      <c r="AG40" s="562">
        <f>IF(AND(R38&gt;0,12-'Input 4_RSV Season'!$AG$27+1&gt;R38),IF(AG39&gt;0,AG39+1,1),0)</f>
        <v>5</v>
      </c>
      <c r="AH40" s="549">
        <f t="shared" si="25"/>
        <v>699.38912561643838</v>
      </c>
      <c r="AI40" s="549">
        <f t="shared" si="26"/>
        <v>13.910188009397395</v>
      </c>
      <c r="AK40" s="549">
        <f t="shared" si="27"/>
        <v>699.38912561643838</v>
      </c>
      <c r="AL40" s="565">
        <f t="shared" si="28"/>
        <v>13.910188009397395</v>
      </c>
      <c r="AN40" s="599"/>
      <c r="AP40" s="26">
        <v>7</v>
      </c>
      <c r="AR40" s="275">
        <f t="shared" si="24"/>
        <v>334.73204625293886</v>
      </c>
      <c r="AS40" s="275">
        <f t="shared" si="22"/>
        <v>961.65127952140563</v>
      </c>
      <c r="AT40" s="275">
        <f t="shared" si="22"/>
        <v>1368.9882843841847</v>
      </c>
      <c r="AU40" s="275">
        <f t="shared" si="22"/>
        <v>665.18921405241144</v>
      </c>
      <c r="AV40" s="275">
        <f t="shared" si="22"/>
        <v>491.32401617469196</v>
      </c>
      <c r="AW40" s="275">
        <f t="shared" si="22"/>
        <v>0</v>
      </c>
      <c r="AX40" s="275">
        <f t="shared" si="22"/>
        <v>0</v>
      </c>
      <c r="AY40" s="275">
        <f t="shared" si="22"/>
        <v>0</v>
      </c>
      <c r="AZ40" s="275">
        <f t="shared" si="22"/>
        <v>0</v>
      </c>
      <c r="BA40" s="275">
        <f t="shared" si="22"/>
        <v>0</v>
      </c>
      <c r="BB40" s="275">
        <f t="shared" si="22"/>
        <v>0</v>
      </c>
      <c r="BC40" s="275">
        <f t="shared" si="22"/>
        <v>0</v>
      </c>
      <c r="BD40" s="275"/>
      <c r="BE40" s="562">
        <f>IF(AND(AP38&gt;0,12-'Input 4_RSV Season'!$AG$27+1&gt;AP38),IF(BE39&gt;0,BE39+1,1),0)</f>
        <v>5</v>
      </c>
      <c r="BF40" s="549">
        <f t="shared" si="29"/>
        <v>4755.938984958063</v>
      </c>
      <c r="BG40" s="565">
        <f t="shared" si="30"/>
        <v>94.591126768920901</v>
      </c>
      <c r="BI40" s="693"/>
      <c r="BJ40" s="565">
        <f>IF($BE40&gt;0,SUM($AR38:$BC38)-BI40,0)</f>
        <v>4850.5301117269837</v>
      </c>
    </row>
    <row r="41" spans="2:62" x14ac:dyDescent="0.3">
      <c r="B41" s="26">
        <v>8</v>
      </c>
      <c r="D41" s="856">
        <f>'WiS percent RSV_base'!E41</f>
        <v>4.7310994065122092E-3</v>
      </c>
      <c r="E41" s="856">
        <f>'WiS percent RSV_base'!F42</f>
        <v>1.371419954545944E-2</v>
      </c>
      <c r="F41" s="856">
        <f>'WiS percent RSV_base'!G43</f>
        <v>1.4185973869303431E-2</v>
      </c>
      <c r="G41" s="856">
        <f>'WiS percent RSV_base'!H44</f>
        <v>1.305543886860331E-2</v>
      </c>
      <c r="H41" s="246"/>
      <c r="I41" s="246"/>
      <c r="J41" s="246"/>
      <c r="K41" s="246"/>
      <c r="L41" s="246"/>
      <c r="M41" s="246"/>
      <c r="N41" s="246"/>
      <c r="O41" s="246"/>
      <c r="R41" s="26">
        <v>8</v>
      </c>
      <c r="T41" s="276">
        <f t="shared" si="23"/>
        <v>48.785619460617312</v>
      </c>
      <c r="U41" s="276">
        <f t="shared" si="21"/>
        <v>141.41654248710586</v>
      </c>
      <c r="V41" s="276">
        <f t="shared" si="21"/>
        <v>146.28133196979195</v>
      </c>
      <c r="W41" s="276">
        <f t="shared" si="21"/>
        <v>134.62360813183005</v>
      </c>
      <c r="X41" s="276">
        <f t="shared" si="21"/>
        <v>0</v>
      </c>
      <c r="Y41" s="276">
        <f t="shared" si="21"/>
        <v>0</v>
      </c>
      <c r="Z41" s="276">
        <f t="shared" si="21"/>
        <v>0</v>
      </c>
      <c r="AA41" s="276">
        <f t="shared" si="21"/>
        <v>0</v>
      </c>
      <c r="AB41" s="276">
        <f t="shared" si="21"/>
        <v>0</v>
      </c>
      <c r="AC41" s="276">
        <f t="shared" si="21"/>
        <v>0</v>
      </c>
      <c r="AD41" s="276">
        <f t="shared" si="21"/>
        <v>0</v>
      </c>
      <c r="AE41" s="276">
        <f t="shared" si="21"/>
        <v>0</v>
      </c>
      <c r="AF41" s="275"/>
      <c r="AG41" s="562">
        <f>IF(AND(R39&gt;0,12-'Input 4_RSV Season'!$AG$27+1&gt;R39),IF(AG40&gt;0,AG40+1,1),0)</f>
        <v>6</v>
      </c>
      <c r="AH41" s="549">
        <f t="shared" si="25"/>
        <v>602.90402314157802</v>
      </c>
      <c r="AI41" s="549">
        <f t="shared" si="26"/>
        <v>19.143724092140971</v>
      </c>
      <c r="AK41" s="549">
        <f t="shared" si="27"/>
        <v>602.90402314157802</v>
      </c>
      <c r="AL41" s="565">
        <f t="shared" si="28"/>
        <v>19.143724092140971</v>
      </c>
      <c r="AN41" s="599"/>
      <c r="AP41" s="26">
        <v>8</v>
      </c>
      <c r="AR41" s="275">
        <f t="shared" si="24"/>
        <v>331.74869468205702</v>
      </c>
      <c r="AS41" s="275">
        <f t="shared" si="22"/>
        <v>961.65127952140563</v>
      </c>
      <c r="AT41" s="275">
        <f t="shared" si="22"/>
        <v>994.73249440865197</v>
      </c>
      <c r="AU41" s="275">
        <f t="shared" si="22"/>
        <v>915.45842329985351</v>
      </c>
      <c r="AV41" s="275">
        <f t="shared" si="22"/>
        <v>0</v>
      </c>
      <c r="AW41" s="275">
        <f t="shared" si="22"/>
        <v>0</v>
      </c>
      <c r="AX41" s="275">
        <f t="shared" si="22"/>
        <v>0</v>
      </c>
      <c r="AY41" s="275">
        <f t="shared" si="22"/>
        <v>0</v>
      </c>
      <c r="AZ41" s="275">
        <f t="shared" si="22"/>
        <v>0</v>
      </c>
      <c r="BA41" s="275">
        <f t="shared" si="22"/>
        <v>0</v>
      </c>
      <c r="BB41" s="275">
        <f t="shared" si="22"/>
        <v>0</v>
      </c>
      <c r="BC41" s="275">
        <f t="shared" si="22"/>
        <v>0</v>
      </c>
      <c r="BD41" s="275"/>
      <c r="BE41" s="562">
        <f>IF(AND(AP39&gt;0,12-'Input 4_RSV Season'!$AG$27+1&gt;AP39),IF(BE40&gt;0,BE40+1,1),0)</f>
        <v>6</v>
      </c>
      <c r="BF41" s="549">
        <f t="shared" si="29"/>
        <v>4099.8274677487989</v>
      </c>
      <c r="BG41" s="565">
        <f t="shared" si="30"/>
        <v>130.1798675334654</v>
      </c>
      <c r="BI41" s="693"/>
      <c r="BJ41" s="565">
        <f t="shared" ref="BJ41:BJ46" si="32">IF($BE41&gt;0,SUM($AR39:$BC39)-BI41,0)</f>
        <v>4230.0073352822646</v>
      </c>
    </row>
    <row r="42" spans="2:62" x14ac:dyDescent="0.3">
      <c r="B42" s="26">
        <v>9</v>
      </c>
      <c r="D42" s="856">
        <f>'WiS percent RSV_base'!E42</f>
        <v>4.7310994065122092E-3</v>
      </c>
      <c r="E42" s="856">
        <f>'WiS percent RSV_base'!F43</f>
        <v>9.9649939143266423E-3</v>
      </c>
      <c r="F42" s="856">
        <f>'WiS percent RSV_base'!G44</f>
        <v>1.9523270968645319E-2</v>
      </c>
      <c r="G42" s="246"/>
      <c r="H42" s="246"/>
      <c r="I42" s="246"/>
      <c r="J42" s="246"/>
      <c r="K42" s="246"/>
      <c r="L42" s="246"/>
      <c r="M42" s="246"/>
      <c r="N42" s="246"/>
      <c r="O42" s="246"/>
      <c r="R42" s="26">
        <v>9</v>
      </c>
      <c r="T42" s="276">
        <f t="shared" si="23"/>
        <v>48.785619460617312</v>
      </c>
      <c r="U42" s="276">
        <f t="shared" si="21"/>
        <v>102.75590497264525</v>
      </c>
      <c r="V42" s="276">
        <f t="shared" si="21"/>
        <v>201.31787271090184</v>
      </c>
      <c r="W42" s="276">
        <f t="shared" si="21"/>
        <v>0</v>
      </c>
      <c r="X42" s="276">
        <f t="shared" si="21"/>
        <v>0</v>
      </c>
      <c r="Y42" s="276">
        <f t="shared" si="21"/>
        <v>0</v>
      </c>
      <c r="Z42" s="276">
        <f t="shared" si="21"/>
        <v>0</v>
      </c>
      <c r="AA42" s="276">
        <f t="shared" si="21"/>
        <v>0</v>
      </c>
      <c r="AB42" s="276">
        <f t="shared" si="21"/>
        <v>0</v>
      </c>
      <c r="AC42" s="276">
        <f t="shared" si="21"/>
        <v>0</v>
      </c>
      <c r="AD42" s="276">
        <f t="shared" si="21"/>
        <v>0</v>
      </c>
      <c r="AE42" s="276">
        <f t="shared" si="21"/>
        <v>0</v>
      </c>
      <c r="AF42" s="275"/>
      <c r="AG42" s="562">
        <f>IF(AND(R40&gt;0,12-'Input 4_RSV Season'!$AG$27+1&gt;R40),IF(AG41&gt;0,AG41+1,1),0)</f>
        <v>0</v>
      </c>
      <c r="AH42" s="549">
        <f t="shared" si="25"/>
        <v>0</v>
      </c>
      <c r="AI42" s="549">
        <f t="shared" si="26"/>
        <v>0</v>
      </c>
      <c r="AK42" s="549">
        <f t="shared" si="27"/>
        <v>0</v>
      </c>
      <c r="AL42" s="565">
        <f t="shared" si="28"/>
        <v>0</v>
      </c>
      <c r="AN42" s="599"/>
      <c r="AP42" s="26">
        <v>9</v>
      </c>
      <c r="AR42" s="275">
        <f t="shared" si="24"/>
        <v>331.74869468205702</v>
      </c>
      <c r="AS42" s="275">
        <f t="shared" si="22"/>
        <v>698.75380742202844</v>
      </c>
      <c r="AT42" s="275">
        <f t="shared" si="22"/>
        <v>1368.9882843841847</v>
      </c>
      <c r="AU42" s="275">
        <f t="shared" si="22"/>
        <v>0</v>
      </c>
      <c r="AV42" s="275">
        <f t="shared" si="22"/>
        <v>0</v>
      </c>
      <c r="AW42" s="275">
        <f t="shared" si="22"/>
        <v>0</v>
      </c>
      <c r="AX42" s="275">
        <f t="shared" si="22"/>
        <v>0</v>
      </c>
      <c r="AY42" s="275">
        <f t="shared" si="22"/>
        <v>0</v>
      </c>
      <c r="AZ42" s="275">
        <f t="shared" si="22"/>
        <v>0</v>
      </c>
      <c r="BA42" s="275">
        <f t="shared" si="22"/>
        <v>0</v>
      </c>
      <c r="BB42" s="275">
        <f t="shared" si="22"/>
        <v>0</v>
      </c>
      <c r="BC42" s="275">
        <f t="shared" si="22"/>
        <v>0</v>
      </c>
      <c r="BD42" s="275"/>
      <c r="BE42" s="562">
        <f>IF(AND(AP40&gt;0,12-'Input 4_RSV Season'!$AG$27+1&gt;AP40),IF(BE41&gt;0,BE41+1,1),0)</f>
        <v>0</v>
      </c>
      <c r="BF42" s="549">
        <f t="shared" si="29"/>
        <v>0</v>
      </c>
      <c r="BG42" s="565">
        <f t="shared" si="30"/>
        <v>0</v>
      </c>
      <c r="BI42" s="693"/>
      <c r="BJ42" s="565">
        <f t="shared" si="32"/>
        <v>0</v>
      </c>
    </row>
    <row r="43" spans="2:62" x14ac:dyDescent="0.3">
      <c r="B43" s="26">
        <v>10</v>
      </c>
      <c r="D43" s="856">
        <f>'WiS percent RSV_base'!E43</f>
        <v>3.4377053241563529E-3</v>
      </c>
      <c r="E43" s="856">
        <f>'WiS percent RSV_base'!F44</f>
        <v>1.371419954545944E-2</v>
      </c>
      <c r="F43" s="246"/>
      <c r="G43" s="246"/>
      <c r="H43" s="246"/>
      <c r="I43" s="246"/>
      <c r="J43" s="246"/>
      <c r="K43" s="246"/>
      <c r="L43" s="246"/>
      <c r="M43" s="246"/>
      <c r="N43" s="246"/>
      <c r="O43" s="246"/>
      <c r="R43" s="26">
        <v>10</v>
      </c>
      <c r="T43" s="276">
        <f t="shared" si="23"/>
        <v>35.448543636851426</v>
      </c>
      <c r="U43" s="276">
        <f t="shared" si="21"/>
        <v>141.41654248710586</v>
      </c>
      <c r="V43" s="276">
        <f t="shared" si="21"/>
        <v>0</v>
      </c>
      <c r="W43" s="276">
        <f t="shared" si="21"/>
        <v>0</v>
      </c>
      <c r="X43" s="276">
        <f t="shared" si="21"/>
        <v>0</v>
      </c>
      <c r="Y43" s="276">
        <f t="shared" si="21"/>
        <v>0</v>
      </c>
      <c r="Z43" s="276">
        <f t="shared" si="21"/>
        <v>0</v>
      </c>
      <c r="AA43" s="276">
        <f t="shared" si="21"/>
        <v>0</v>
      </c>
      <c r="AB43" s="276">
        <f t="shared" si="21"/>
        <v>0</v>
      </c>
      <c r="AC43" s="276">
        <f t="shared" si="21"/>
        <v>0</v>
      </c>
      <c r="AD43" s="276">
        <f t="shared" si="21"/>
        <v>0</v>
      </c>
      <c r="AE43" s="276">
        <f t="shared" si="21"/>
        <v>0</v>
      </c>
      <c r="AF43" s="275"/>
      <c r="AG43" s="562">
        <f>IF(AND(R41&gt;0,12-'Input 4_RSV Season'!$AG$27+1&gt;R41),IF(AG42&gt;0,AG42+1,1),0)</f>
        <v>0</v>
      </c>
      <c r="AH43" s="549">
        <f t="shared" si="25"/>
        <v>0</v>
      </c>
      <c r="AI43" s="549">
        <f t="shared" si="26"/>
        <v>0</v>
      </c>
      <c r="AK43" s="549">
        <f t="shared" si="27"/>
        <v>0</v>
      </c>
      <c r="AL43" s="565">
        <f t="shared" si="28"/>
        <v>0</v>
      </c>
      <c r="AN43" s="599"/>
      <c r="AP43" s="26">
        <v>10</v>
      </c>
      <c r="AR43" s="275">
        <f t="shared" si="24"/>
        <v>241.05480692725004</v>
      </c>
      <c r="AS43" s="275">
        <f t="shared" si="22"/>
        <v>961.65127952140563</v>
      </c>
      <c r="AT43" s="275">
        <f t="shared" si="22"/>
        <v>0</v>
      </c>
      <c r="AU43" s="275">
        <f t="shared" si="22"/>
        <v>0</v>
      </c>
      <c r="AV43" s="275">
        <f t="shared" si="22"/>
        <v>0</v>
      </c>
      <c r="AW43" s="275">
        <f t="shared" si="22"/>
        <v>0</v>
      </c>
      <c r="AX43" s="275">
        <f t="shared" si="22"/>
        <v>0</v>
      </c>
      <c r="AY43" s="275">
        <f t="shared" si="22"/>
        <v>0</v>
      </c>
      <c r="AZ43" s="275">
        <f t="shared" si="22"/>
        <v>0</v>
      </c>
      <c r="BA43" s="275">
        <f t="shared" si="22"/>
        <v>0</v>
      </c>
      <c r="BB43" s="275">
        <f t="shared" si="22"/>
        <v>0</v>
      </c>
      <c r="BC43" s="275">
        <f t="shared" si="22"/>
        <v>0</v>
      </c>
      <c r="BD43" s="275"/>
      <c r="BE43" s="562">
        <f>IF(AND(AP41&gt;0,12-'Input 4_RSV Season'!$AG$27+1&gt;AP41),IF(BE42&gt;0,BE42+1,1),0)</f>
        <v>0</v>
      </c>
      <c r="BF43" s="549">
        <f t="shared" si="29"/>
        <v>0</v>
      </c>
      <c r="BG43" s="565">
        <f t="shared" si="30"/>
        <v>0</v>
      </c>
      <c r="BI43" s="693"/>
      <c r="BJ43" s="565">
        <f t="shared" si="32"/>
        <v>0</v>
      </c>
    </row>
    <row r="44" spans="2:62" x14ac:dyDescent="0.3">
      <c r="B44" s="26">
        <v>11</v>
      </c>
      <c r="D44" s="856">
        <f>'WiS percent RSV_base'!E44</f>
        <v>4.7310994065122092E-3</v>
      </c>
      <c r="E44" s="246"/>
      <c r="F44" s="246"/>
      <c r="G44" s="246"/>
      <c r="H44" s="246"/>
      <c r="I44" s="246"/>
      <c r="J44" s="246"/>
      <c r="K44" s="246"/>
      <c r="L44" s="246"/>
      <c r="M44" s="246"/>
      <c r="N44" s="246"/>
      <c r="O44" s="246"/>
      <c r="R44" s="26">
        <v>11</v>
      </c>
      <c r="T44" s="276">
        <f t="shared" si="23"/>
        <v>48.785619460617312</v>
      </c>
      <c r="U44" s="276">
        <f t="shared" si="21"/>
        <v>0</v>
      </c>
      <c r="V44" s="276">
        <f t="shared" si="21"/>
        <v>0</v>
      </c>
      <c r="W44" s="276">
        <f t="shared" si="21"/>
        <v>0</v>
      </c>
      <c r="X44" s="276">
        <f t="shared" si="21"/>
        <v>0</v>
      </c>
      <c r="Y44" s="276">
        <f t="shared" si="21"/>
        <v>0</v>
      </c>
      <c r="Z44" s="276">
        <f t="shared" si="21"/>
        <v>0</v>
      </c>
      <c r="AA44" s="276">
        <f t="shared" si="21"/>
        <v>0</v>
      </c>
      <c r="AB44" s="276">
        <f t="shared" si="21"/>
        <v>0</v>
      </c>
      <c r="AC44" s="276">
        <f t="shared" si="21"/>
        <v>0</v>
      </c>
      <c r="AD44" s="276">
        <f t="shared" si="21"/>
        <v>0</v>
      </c>
      <c r="AE44" s="276">
        <f t="shared" si="21"/>
        <v>0</v>
      </c>
      <c r="AF44" s="275"/>
      <c r="AG44" s="562">
        <f>IF(AND(R42&gt;0,12-'Input 4_RSV Season'!$AG$27+1&gt;R42),IF(AG43&gt;0,AG43+1,1),0)</f>
        <v>0</v>
      </c>
      <c r="AH44" s="549">
        <f t="shared" si="25"/>
        <v>0</v>
      </c>
      <c r="AI44" s="549">
        <f t="shared" si="26"/>
        <v>0</v>
      </c>
      <c r="AK44" s="549">
        <f t="shared" si="27"/>
        <v>0</v>
      </c>
      <c r="AL44" s="565">
        <f t="shared" si="28"/>
        <v>0</v>
      </c>
      <c r="AN44" s="599"/>
      <c r="AP44" s="26">
        <v>11</v>
      </c>
      <c r="AR44" s="275">
        <f t="shared" si="24"/>
        <v>331.74869468205702</v>
      </c>
      <c r="AS44" s="275">
        <f t="shared" si="22"/>
        <v>0</v>
      </c>
      <c r="AT44" s="275">
        <f t="shared" si="22"/>
        <v>0</v>
      </c>
      <c r="AU44" s="275">
        <f t="shared" si="22"/>
        <v>0</v>
      </c>
      <c r="AV44" s="275">
        <f t="shared" si="22"/>
        <v>0</v>
      </c>
      <c r="AW44" s="275">
        <f t="shared" si="22"/>
        <v>0</v>
      </c>
      <c r="AX44" s="275">
        <f t="shared" si="22"/>
        <v>0</v>
      </c>
      <c r="AY44" s="275">
        <f t="shared" si="22"/>
        <v>0</v>
      </c>
      <c r="AZ44" s="275">
        <f t="shared" si="22"/>
        <v>0</v>
      </c>
      <c r="BA44" s="275">
        <f t="shared" si="22"/>
        <v>0</v>
      </c>
      <c r="BB44" s="275">
        <f t="shared" si="22"/>
        <v>0</v>
      </c>
      <c r="BC44" s="275">
        <f t="shared" si="22"/>
        <v>0</v>
      </c>
      <c r="BD44" s="275"/>
      <c r="BE44" s="562">
        <f>IF(AND(AP42&gt;0,12-'Input 4_RSV Season'!$AG$27+1&gt;AP42),IF(BE43&gt;0,BE43+1,1),0)</f>
        <v>0</v>
      </c>
      <c r="BF44" s="549">
        <f t="shared" si="29"/>
        <v>0</v>
      </c>
      <c r="BG44" s="565">
        <f t="shared" si="30"/>
        <v>0</v>
      </c>
      <c r="BI44" s="693"/>
      <c r="BJ44" s="565">
        <f t="shared" si="32"/>
        <v>0</v>
      </c>
    </row>
    <row r="45" spans="2:62" x14ac:dyDescent="0.3">
      <c r="C45" s="13"/>
      <c r="D45" s="14"/>
      <c r="E45" s="547"/>
      <c r="F45" s="13"/>
      <c r="G45" s="13"/>
      <c r="H45" s="14"/>
      <c r="I45" s="574"/>
      <c r="J45" s="574"/>
      <c r="K45" s="574"/>
      <c r="L45" s="597"/>
      <c r="M45" s="574"/>
      <c r="N45" s="574"/>
      <c r="O45" s="574"/>
      <c r="S45" s="13"/>
      <c r="T45" s="14"/>
      <c r="U45" s="547"/>
      <c r="V45" s="13"/>
      <c r="W45" s="13"/>
      <c r="X45" s="14"/>
      <c r="Y45" s="574"/>
      <c r="Z45" s="574"/>
      <c r="AA45" s="574"/>
      <c r="AB45" s="574"/>
      <c r="AC45" s="574"/>
      <c r="AD45" s="574"/>
      <c r="AE45" s="574"/>
      <c r="AF45" s="36"/>
      <c r="AG45" s="562">
        <f>IF(AND(R43&gt;0,12-'Input 4_RSV Season'!$AG$27+1&gt;R43),IF(AG44&gt;0,AG44+1,1),0)</f>
        <v>0</v>
      </c>
      <c r="AH45" s="549">
        <f t="shared" si="25"/>
        <v>0</v>
      </c>
      <c r="AI45" s="549">
        <f t="shared" si="26"/>
        <v>0</v>
      </c>
      <c r="AK45" s="549">
        <f t="shared" si="27"/>
        <v>0</v>
      </c>
      <c r="AL45" s="565">
        <f t="shared" si="28"/>
        <v>0</v>
      </c>
      <c r="AN45" s="599"/>
      <c r="AQ45" s="13"/>
      <c r="AR45" s="14"/>
      <c r="AS45" s="547"/>
      <c r="AT45" s="13"/>
      <c r="AU45" s="13"/>
      <c r="AV45" s="14"/>
      <c r="AW45" s="574"/>
      <c r="AX45" s="574"/>
      <c r="AY45" s="574"/>
      <c r="AZ45" s="574"/>
      <c r="BA45" s="574"/>
      <c r="BB45" s="574"/>
      <c r="BC45" s="574"/>
      <c r="BD45" s="36"/>
      <c r="BE45" s="562">
        <f>IF(AND(AP43&gt;0,12-'Input 4_RSV Season'!$AG$27+1&gt;AP43),IF(BE44&gt;0,BE44+1,1),0)</f>
        <v>0</v>
      </c>
      <c r="BF45" s="549">
        <f t="shared" si="29"/>
        <v>0</v>
      </c>
      <c r="BG45" s="565">
        <f t="shared" si="30"/>
        <v>0</v>
      </c>
      <c r="BI45" s="693"/>
      <c r="BJ45" s="565">
        <f t="shared" si="32"/>
        <v>0</v>
      </c>
    </row>
    <row r="46" spans="2:62" x14ac:dyDescent="0.3">
      <c r="C46" s="13"/>
      <c r="D46" s="13"/>
      <c r="E46" s="575"/>
      <c r="F46" s="13"/>
      <c r="G46" s="14"/>
      <c r="H46" s="88"/>
      <c r="I46" s="70"/>
      <c r="L46" s="13"/>
      <c r="M46" s="13"/>
      <c r="N46" s="13"/>
      <c r="O46" s="70"/>
      <c r="S46" s="13"/>
      <c r="T46" s="13"/>
      <c r="U46" s="575"/>
      <c r="V46" s="13"/>
      <c r="W46" s="13" t="s">
        <v>513</v>
      </c>
      <c r="X46" s="88">
        <f>SUM(T34:AE44)</f>
        <v>7615.7985020580236</v>
      </c>
      <c r="Y46" s="70"/>
      <c r="Z46" s="13"/>
      <c r="AA46" s="13"/>
      <c r="AB46" s="13"/>
      <c r="AC46" s="13"/>
      <c r="AD46" s="13"/>
      <c r="AE46" s="70"/>
      <c r="AF46" s="70"/>
      <c r="AG46" s="562">
        <f>IF(AND(R44&gt;0,12-'Input 4_RSV Season'!$AG$27+1&gt;R44),IF(AG45&gt;0,AG45+1,1),0)</f>
        <v>0</v>
      </c>
      <c r="AH46" s="550">
        <f t="shared" si="25"/>
        <v>0</v>
      </c>
      <c r="AI46" s="550">
        <f t="shared" si="26"/>
        <v>0</v>
      </c>
      <c r="AJ46" s="13"/>
      <c r="AK46" s="550">
        <f t="shared" si="27"/>
        <v>0</v>
      </c>
      <c r="AL46" s="566">
        <f t="shared" si="28"/>
        <v>0</v>
      </c>
      <c r="AN46" s="599"/>
      <c r="AQ46" s="13"/>
      <c r="AR46" s="13"/>
      <c r="AS46" s="575"/>
      <c r="AT46" s="13"/>
      <c r="AU46" s="13"/>
      <c r="AV46" s="14"/>
      <c r="AW46" s="70"/>
      <c r="AX46" s="13"/>
      <c r="AY46" s="13"/>
      <c r="AZ46" s="13"/>
      <c r="BA46" s="13"/>
      <c r="BB46" s="13"/>
      <c r="BC46" s="70"/>
      <c r="BD46" s="70"/>
      <c r="BE46" s="562">
        <f>IF(AND(AP44&gt;0,12-'Input 4_RSV Season'!$AG$27+1&gt;AP44),IF(BE45&gt;0,BE45+1,1),0)</f>
        <v>0</v>
      </c>
      <c r="BF46" s="550">
        <f t="shared" si="29"/>
        <v>0</v>
      </c>
      <c r="BG46" s="566">
        <f t="shared" si="30"/>
        <v>0</v>
      </c>
      <c r="BI46" s="694"/>
      <c r="BJ46" s="566">
        <f t="shared" si="32"/>
        <v>0</v>
      </c>
    </row>
    <row r="47" spans="2:62" x14ac:dyDescent="0.3">
      <c r="S47" s="13"/>
      <c r="T47" s="14"/>
      <c r="U47" s="70"/>
      <c r="V47" s="13"/>
      <c r="W47" s="13"/>
      <c r="X47" s="14"/>
      <c r="Y47" s="70"/>
      <c r="Z47" s="13"/>
      <c r="AA47" s="13"/>
      <c r="AB47" s="13"/>
      <c r="AC47" s="13"/>
      <c r="AD47" s="13"/>
      <c r="AE47" s="70"/>
      <c r="AF47" s="70"/>
      <c r="AG47" s="538"/>
      <c r="AH47" s="5">
        <f>SUM(AH35:AH46)</f>
        <v>5885.3284634798219</v>
      </c>
      <c r="AI47" s="5">
        <f>SUM(AI35:AI46)</f>
        <v>118.82192777334261</v>
      </c>
      <c r="AJ47" s="593"/>
      <c r="AK47" s="5">
        <f>SUM(AK35:AK46)</f>
        <v>5885.3284634798219</v>
      </c>
      <c r="AL47" s="5">
        <f>SUM(AL35:AL46)</f>
        <v>118.82192777334261</v>
      </c>
      <c r="AN47" s="599"/>
      <c r="AQ47" s="13"/>
      <c r="AR47" s="14"/>
      <c r="AS47" s="70"/>
      <c r="AT47" s="13"/>
      <c r="AU47" s="13"/>
      <c r="AV47" s="14"/>
      <c r="AW47" s="70"/>
      <c r="AX47" s="13"/>
      <c r="AY47" s="13" t="s">
        <v>512</v>
      </c>
      <c r="AZ47" s="88">
        <f>SUM(AR34:BC44)</f>
        <v>51788.441757081353</v>
      </c>
      <c r="BA47" s="13"/>
      <c r="BB47" s="13"/>
      <c r="BC47" s="70"/>
      <c r="BD47" s="70"/>
      <c r="BE47" s="538"/>
      <c r="BF47" s="5">
        <f>SUM(BF35:BF46)</f>
        <v>40021.015559938154</v>
      </c>
      <c r="BG47" s="5">
        <f>SUM(BG35:BG46)</f>
        <v>808.00489722659916</v>
      </c>
      <c r="BI47" s="5">
        <f>SUM(BI35:BI46)</f>
        <v>9236.1649258028956</v>
      </c>
      <c r="BJ47" s="5">
        <f>SUM(BJ35:BJ46)</f>
        <v>31592.85553136186</v>
      </c>
    </row>
    <row r="48" spans="2:62" ht="15" thickBot="1" x14ac:dyDescent="0.35">
      <c r="S48" s="13"/>
      <c r="T48" s="14"/>
      <c r="U48" s="70"/>
      <c r="V48" s="13"/>
      <c r="W48" s="13"/>
      <c r="X48" s="14"/>
      <c r="Y48" s="70"/>
      <c r="Z48" s="13"/>
      <c r="AA48" s="510"/>
      <c r="AB48" s="510"/>
      <c r="AC48" s="510"/>
      <c r="AD48" s="510"/>
      <c r="AE48" s="70"/>
      <c r="AF48" s="70"/>
      <c r="AG48" s="538"/>
      <c r="AN48" s="599"/>
      <c r="AQ48" s="13"/>
      <c r="AR48" s="14"/>
      <c r="AS48" s="70"/>
      <c r="AT48" s="13"/>
      <c r="AU48" s="13"/>
      <c r="AV48" s="14"/>
      <c r="AW48" s="70"/>
      <c r="AX48" s="13"/>
      <c r="AY48" s="510"/>
      <c r="AZ48" s="510"/>
      <c r="BA48" s="510"/>
      <c r="BB48" s="510"/>
      <c r="BC48" s="70"/>
      <c r="BD48" s="70"/>
      <c r="BE48" s="538"/>
    </row>
    <row r="49" spans="2:62" ht="16.2" thickBot="1" x14ac:dyDescent="0.35">
      <c r="S49" s="13"/>
      <c r="T49" s="14"/>
      <c r="U49" s="575"/>
      <c r="V49" s="13"/>
      <c r="W49" s="13"/>
      <c r="X49" s="14"/>
      <c r="Y49" s="70"/>
      <c r="Z49" s="13"/>
      <c r="AA49" s="510"/>
      <c r="AB49" s="70"/>
      <c r="AC49" s="70"/>
      <c r="AD49" s="70"/>
      <c r="AE49" s="70"/>
      <c r="AF49" s="70"/>
      <c r="AG49" s="538"/>
      <c r="AH49" s="577">
        <f>AH47/('Input 1_Population'!$G$24*$I$4)</f>
        <v>0.30439064631456758</v>
      </c>
      <c r="AI49" s="578">
        <f>AI47/('Input 1_Population'!$G$24*$I$4)</f>
        <v>6.1454995444528478E-3</v>
      </c>
      <c r="AJ49" s="576"/>
      <c r="AK49" s="577">
        <f>AK47/('Input 1_Population'!$G$24*$I$4)</f>
        <v>0.30439064631456758</v>
      </c>
      <c r="AL49" s="578">
        <f>AL47/('Input 1_Population'!$G$24*$I$4)</f>
        <v>6.1454995444528478E-3</v>
      </c>
      <c r="AN49" s="599"/>
      <c r="AQ49" s="13"/>
      <c r="AR49" s="14"/>
      <c r="AS49" s="575"/>
      <c r="AT49" s="13"/>
      <c r="AU49" s="13"/>
      <c r="AV49" s="14"/>
      <c r="AW49" s="70"/>
      <c r="AX49" s="13"/>
      <c r="AY49" s="510"/>
      <c r="AZ49" s="70"/>
      <c r="BA49" s="70"/>
      <c r="BB49" s="70"/>
      <c r="BC49" s="70"/>
      <c r="BD49" s="70"/>
      <c r="BE49" s="538"/>
      <c r="BF49" s="577">
        <f>BF47/((1-'Input 1_Population'!$G$24)*$I$4)</f>
        <v>2.0485749381829933E-2</v>
      </c>
      <c r="BG49" s="577">
        <f>BG47/((1-'Input 1_Population'!$G$24)*$I$4)</f>
        <v>4.1359734610145265E-4</v>
      </c>
      <c r="BI49" s="577">
        <f>BI47/((1-'Input 1_Population'!$G$24)*$I$4)</f>
        <v>4.7277600848452429E-3</v>
      </c>
      <c r="BJ49" s="577">
        <f>BJ47/((1-'Input 1_Population'!$G$24)*$I$4)</f>
        <v>1.6171586643086145E-2</v>
      </c>
    </row>
    <row r="50" spans="2:62" ht="16.2" thickBot="1" x14ac:dyDescent="0.35">
      <c r="S50" s="13"/>
      <c r="T50" s="14"/>
      <c r="U50" s="70"/>
      <c r="V50" s="13"/>
      <c r="W50" s="13"/>
      <c r="X50" s="14"/>
      <c r="Y50" s="70"/>
      <c r="Z50" s="13"/>
      <c r="AA50" s="510"/>
      <c r="AB50" s="70"/>
      <c r="AC50" s="70"/>
      <c r="AD50" s="70"/>
      <c r="AE50" s="70"/>
      <c r="AF50" s="70"/>
      <c r="AG50" s="538"/>
      <c r="AH50" s="598" t="s">
        <v>326</v>
      </c>
      <c r="AI50" s="578">
        <f>SUM(AH49:AI49)</f>
        <v>0.31053614585902045</v>
      </c>
      <c r="AK50" s="598" t="s">
        <v>326</v>
      </c>
      <c r="AL50" s="578">
        <f>SUM(AK49:AL49)</f>
        <v>0.31053614585902045</v>
      </c>
      <c r="AN50" s="599"/>
      <c r="AQ50" s="13"/>
      <c r="AR50" s="14"/>
      <c r="AS50" s="70"/>
      <c r="AT50" s="13"/>
      <c r="AU50" s="13"/>
      <c r="AV50" s="14"/>
      <c r="AW50" s="70"/>
      <c r="AX50" s="13"/>
      <c r="AY50" s="510"/>
      <c r="AZ50" s="70"/>
      <c r="BA50" s="70"/>
      <c r="BB50" s="70"/>
      <c r="BC50" s="70"/>
      <c r="BD50" s="70"/>
      <c r="BE50" s="538"/>
      <c r="BF50" s="598" t="s">
        <v>326</v>
      </c>
      <c r="BG50" s="578">
        <f>SUM(BF49:BG49)</f>
        <v>2.0899346727931385E-2</v>
      </c>
      <c r="BI50" s="598" t="s">
        <v>326</v>
      </c>
      <c r="BJ50" s="578">
        <f>SUM(BI49:BJ49)</f>
        <v>2.0899346727931388E-2</v>
      </c>
    </row>
    <row r="51" spans="2:62" x14ac:dyDescent="0.3">
      <c r="AN51" s="599"/>
      <c r="BE51" s="538"/>
    </row>
    <row r="52" spans="2:62" ht="15" thickBot="1" x14ac:dyDescent="0.35">
      <c r="C52" s="1141" t="s">
        <v>518</v>
      </c>
      <c r="D52" s="1141"/>
      <c r="E52" s="1141"/>
      <c r="F52" s="1141"/>
      <c r="G52" s="1141"/>
      <c r="H52" s="1141"/>
      <c r="I52" s="1141"/>
      <c r="J52" s="1141"/>
      <c r="K52" s="1141"/>
      <c r="L52" s="1141"/>
      <c r="M52" s="1141"/>
      <c r="N52" s="1141"/>
      <c r="O52" s="846"/>
      <c r="P52" s="846"/>
      <c r="AN52" s="599"/>
      <c r="BE52" s="538"/>
    </row>
    <row r="53" spans="2:62" x14ac:dyDescent="0.3">
      <c r="G53" s="845" t="s">
        <v>516</v>
      </c>
      <c r="H53" s="8">
        <f>'WiS percent RSV_base'!AX69-SUM('WiS percent RSV_base'!BG71:BH71)</f>
        <v>19553.027495779388</v>
      </c>
      <c r="L53" s="845" t="s">
        <v>520</v>
      </c>
      <c r="M53" s="8">
        <f>'WiS percent RSV_base'!BV69-SUM('WiS percent RSV_base'!CE71:CF71)</f>
        <v>132963.1850640662</v>
      </c>
      <c r="N53" s="845"/>
      <c r="O53" s="8"/>
      <c r="AN53" s="599"/>
      <c r="BE53" s="538"/>
    </row>
    <row r="54" spans="2:62" x14ac:dyDescent="0.3">
      <c r="B54" s="592" t="s">
        <v>6</v>
      </c>
      <c r="G54" s="40" t="s">
        <v>517</v>
      </c>
      <c r="H54" s="22">
        <f>SUM(D56:O67)</f>
        <v>0.71976917865555701</v>
      </c>
      <c r="L54" s="40" t="s">
        <v>521</v>
      </c>
      <c r="M54" s="22">
        <f>H54</f>
        <v>0.71976917865555701</v>
      </c>
      <c r="N54" s="40"/>
      <c r="O54" s="22"/>
      <c r="R54" s="592" t="s">
        <v>6</v>
      </c>
      <c r="AF54" s="1"/>
      <c r="AG54" s="538"/>
      <c r="AN54" s="599"/>
      <c r="AP54" s="592" t="s">
        <v>6</v>
      </c>
      <c r="BD54" s="1"/>
      <c r="BE54" s="538"/>
      <c r="BI54" s="1" t="s">
        <v>348</v>
      </c>
    </row>
    <row r="55" spans="2:62" ht="60" customHeight="1" x14ac:dyDescent="0.3">
      <c r="B55" s="558" t="s">
        <v>519</v>
      </c>
      <c r="D55" s="13">
        <v>1</v>
      </c>
      <c r="E55" s="13">
        <v>2</v>
      </c>
      <c r="F55" s="13">
        <v>3</v>
      </c>
      <c r="G55" s="13">
        <v>4</v>
      </c>
      <c r="H55" s="13">
        <v>5</v>
      </c>
      <c r="I55" s="13">
        <v>6</v>
      </c>
      <c r="J55" s="13">
        <v>7</v>
      </c>
      <c r="K55" s="13">
        <v>8</v>
      </c>
      <c r="L55" s="13">
        <v>9</v>
      </c>
      <c r="M55" s="13">
        <v>10</v>
      </c>
      <c r="N55" s="13">
        <v>11</v>
      </c>
      <c r="O55" s="13">
        <v>12</v>
      </c>
      <c r="R55" s="558" t="s">
        <v>320</v>
      </c>
      <c r="T55" s="500">
        <v>1</v>
      </c>
      <c r="U55" s="500">
        <v>2</v>
      </c>
      <c r="V55" s="500">
        <v>3</v>
      </c>
      <c r="W55" s="500">
        <v>4</v>
      </c>
      <c r="X55" s="500">
        <v>5</v>
      </c>
      <c r="Y55" s="500">
        <v>6</v>
      </c>
      <c r="Z55" s="500">
        <v>7</v>
      </c>
      <c r="AA55" s="500">
        <v>8</v>
      </c>
      <c r="AB55" s="500">
        <v>9</v>
      </c>
      <c r="AC55" s="500">
        <v>10</v>
      </c>
      <c r="AD55" s="500">
        <v>11</v>
      </c>
      <c r="AE55" s="500">
        <v>12</v>
      </c>
      <c r="AG55" s="544" t="s">
        <v>315</v>
      </c>
      <c r="AH55" s="1112" t="s">
        <v>117</v>
      </c>
      <c r="AI55" s="1112"/>
      <c r="AK55" s="1112" t="s">
        <v>216</v>
      </c>
      <c r="AL55" s="1112"/>
      <c r="AN55" s="599"/>
      <c r="AP55" s="558" t="s">
        <v>320</v>
      </c>
      <c r="AR55" s="500">
        <v>1</v>
      </c>
      <c r="AS55" s="500">
        <v>2</v>
      </c>
      <c r="AT55" s="500">
        <v>3</v>
      </c>
      <c r="AU55" s="500">
        <v>4</v>
      </c>
      <c r="AV55" s="500">
        <v>5</v>
      </c>
      <c r="AW55" s="500">
        <v>6</v>
      </c>
      <c r="AX55" s="500">
        <v>7</v>
      </c>
      <c r="AY55" s="500">
        <v>8</v>
      </c>
      <c r="AZ55" s="500">
        <v>9</v>
      </c>
      <c r="BA55" s="500">
        <v>10</v>
      </c>
      <c r="BB55" s="500">
        <v>11</v>
      </c>
      <c r="BC55" s="500">
        <v>12</v>
      </c>
      <c r="BE55" s="544" t="s">
        <v>315</v>
      </c>
      <c r="BF55" s="1112" t="s">
        <v>216</v>
      </c>
      <c r="BG55" s="1112"/>
      <c r="BI55" s="1112" t="s">
        <v>345</v>
      </c>
      <c r="BJ55" s="1112"/>
    </row>
    <row r="56" spans="2:62" ht="30" customHeight="1" x14ac:dyDescent="0.3">
      <c r="B56" s="26">
        <v>0</v>
      </c>
      <c r="D56" s="276"/>
      <c r="E56" s="276"/>
      <c r="F56" s="276"/>
      <c r="G56" s="276"/>
      <c r="H56" s="276"/>
      <c r="I56" s="276"/>
      <c r="J56" s="276"/>
      <c r="K56" s="276"/>
      <c r="L56" s="276"/>
      <c r="M56" s="276"/>
      <c r="N56" s="276"/>
      <c r="O56" s="276"/>
      <c r="R56" s="26">
        <v>0</v>
      </c>
      <c r="T56" s="275"/>
      <c r="U56" s="275"/>
      <c r="V56" s="275"/>
      <c r="W56" s="275"/>
      <c r="X56" s="275"/>
      <c r="Y56" s="275"/>
      <c r="Z56" s="35"/>
      <c r="AA56" s="35"/>
      <c r="AB56" s="35"/>
      <c r="AC56" s="35"/>
      <c r="AD56" s="35"/>
      <c r="AE56" s="35"/>
      <c r="AF56" s="275"/>
      <c r="AG56" s="546" t="s">
        <v>317</v>
      </c>
      <c r="AH56" s="570" t="s">
        <v>312</v>
      </c>
      <c r="AI56" s="571" t="s">
        <v>313</v>
      </c>
      <c r="AJ56" s="572"/>
      <c r="AK56" s="570" t="s">
        <v>312</v>
      </c>
      <c r="AL56" s="571" t="s">
        <v>313</v>
      </c>
      <c r="AN56" s="599"/>
      <c r="AP56" s="26">
        <v>0</v>
      </c>
      <c r="AR56" s="275"/>
      <c r="AS56" s="275"/>
      <c r="AT56" s="275"/>
      <c r="AU56" s="275"/>
      <c r="AV56" s="275"/>
      <c r="AW56" s="275"/>
      <c r="AX56" s="35"/>
      <c r="AY56" s="35"/>
      <c r="AZ56" s="35"/>
      <c r="BA56" s="35"/>
      <c r="BB56" s="35"/>
      <c r="BC56" s="35"/>
      <c r="BD56" s="275"/>
      <c r="BE56" s="546" t="s">
        <v>317</v>
      </c>
      <c r="BF56" s="570" t="s">
        <v>312</v>
      </c>
      <c r="BG56" s="571" t="s">
        <v>313</v>
      </c>
      <c r="BI56" s="570" t="s">
        <v>312</v>
      </c>
      <c r="BJ56" s="571" t="s">
        <v>313</v>
      </c>
    </row>
    <row r="57" spans="2:62" x14ac:dyDescent="0.3">
      <c r="B57" s="26">
        <v>1</v>
      </c>
      <c r="D57" s="856">
        <f>'WiS percent RSV_base'!E58</f>
        <v>7.5135125664337037E-3</v>
      </c>
      <c r="E57" s="856">
        <f>'WiS percent RSV_base'!F59</f>
        <v>2.7146354663499909E-2</v>
      </c>
      <c r="F57" s="856">
        <f>'WiS percent RSV_base'!G60</f>
        <v>3.8381015048572047E-2</v>
      </c>
      <c r="G57" s="856">
        <f>'WiS percent RSV_base'!H61</f>
        <v>2.9240952362411664E-2</v>
      </c>
      <c r="H57" s="856">
        <f>'WiS percent RSV_base'!I62</f>
        <v>1.7126684447213193E-2</v>
      </c>
      <c r="I57" s="856">
        <f>'WiS percent RSV_base'!J63</f>
        <v>1.9169583584791791E-3</v>
      </c>
      <c r="J57" s="856">
        <f>'WiS percent RSV_base'!K64</f>
        <v>0</v>
      </c>
      <c r="K57" s="856">
        <f>'WiS percent RSV_base'!L65</f>
        <v>0</v>
      </c>
      <c r="L57" s="856">
        <f>'WiS percent RSV_base'!M66</f>
        <v>0</v>
      </c>
      <c r="M57" s="856">
        <f>'WiS percent RSV_base'!N67</f>
        <v>0</v>
      </c>
      <c r="N57" s="856">
        <f>'WiS percent RSV_base'!O68</f>
        <v>0</v>
      </c>
      <c r="O57" s="856"/>
      <c r="R57" s="26">
        <v>1</v>
      </c>
      <c r="T57" s="276">
        <f>D57/$H$54*$H$53</f>
        <v>204.10976484958152</v>
      </c>
      <c r="U57" s="276">
        <f t="shared" ref="U57:AE67" si="33">E57/$H$54*$H$53</f>
        <v>737.44949754176957</v>
      </c>
      <c r="V57" s="276">
        <f t="shared" si="33"/>
        <v>1042.6468162507749</v>
      </c>
      <c r="W57" s="276">
        <f t="shared" si="33"/>
        <v>794.350692555313</v>
      </c>
      <c r="X57" s="276">
        <f t="shared" si="33"/>
        <v>465.25822699634062</v>
      </c>
      <c r="Y57" s="276">
        <f t="shared" si="33"/>
        <v>52.075499483904068</v>
      </c>
      <c r="Z57" s="276">
        <f t="shared" si="33"/>
        <v>0</v>
      </c>
      <c r="AA57" s="276">
        <f t="shared" si="33"/>
        <v>0</v>
      </c>
      <c r="AB57" s="276">
        <f t="shared" si="33"/>
        <v>0</v>
      </c>
      <c r="AC57" s="276">
        <f t="shared" si="33"/>
        <v>0</v>
      </c>
      <c r="AD57" s="276">
        <f t="shared" si="33"/>
        <v>0</v>
      </c>
      <c r="AE57" s="276">
        <f t="shared" si="33"/>
        <v>0</v>
      </c>
      <c r="AF57" s="275"/>
      <c r="AG57" s="170"/>
      <c r="AH57" s="551"/>
      <c r="AI57" s="556"/>
      <c r="AK57" s="551"/>
      <c r="AL57" s="556"/>
      <c r="AN57" s="599"/>
      <c r="AP57" s="26">
        <v>1</v>
      </c>
      <c r="AR57" s="275">
        <f>D57/$M$54*$M$53</f>
        <v>1387.9735218976211</v>
      </c>
      <c r="AS57" s="275">
        <f t="shared" ref="AS57:BC67" si="34">E57/$M$54*$M$53</f>
        <v>5014.7545712915444</v>
      </c>
      <c r="AT57" s="275">
        <f t="shared" si="34"/>
        <v>7090.1368913604774</v>
      </c>
      <c r="AU57" s="275">
        <f t="shared" si="34"/>
        <v>5401.6902580840579</v>
      </c>
      <c r="AV57" s="275">
        <f t="shared" si="34"/>
        <v>3163.8177643869731</v>
      </c>
      <c r="AW57" s="275">
        <f t="shared" si="34"/>
        <v>354.12031598056234</v>
      </c>
      <c r="AX57" s="275">
        <f t="shared" si="34"/>
        <v>0</v>
      </c>
      <c r="AY57" s="275">
        <f t="shared" si="34"/>
        <v>0</v>
      </c>
      <c r="AZ57" s="275">
        <f t="shared" si="34"/>
        <v>0</v>
      </c>
      <c r="BA57" s="275">
        <f t="shared" si="34"/>
        <v>0</v>
      </c>
      <c r="BB57" s="275">
        <f t="shared" si="34"/>
        <v>0</v>
      </c>
      <c r="BC57" s="275">
        <f t="shared" si="34"/>
        <v>0</v>
      </c>
      <c r="BD57" s="275"/>
      <c r="BE57" s="170"/>
      <c r="BF57" s="551"/>
      <c r="BG57" s="556"/>
      <c r="BI57" s="551"/>
      <c r="BJ57" s="556"/>
    </row>
    <row r="58" spans="2:62" x14ac:dyDescent="0.3">
      <c r="B58" s="26">
        <v>2</v>
      </c>
      <c r="D58" s="856">
        <f>'WiS percent RSV_base'!E59</f>
        <v>9.364899643740144E-3</v>
      </c>
      <c r="E58" s="856">
        <f>'WiS percent RSV_base'!F60</f>
        <v>2.6960897073996924E-2</v>
      </c>
      <c r="F58" s="856">
        <f>'WiS percent RSV_base'!G61</f>
        <v>4.3727295734615611E-2</v>
      </c>
      <c r="G58" s="856">
        <f>'WiS percent RSV_base'!H62</f>
        <v>3.1911258200790389E-2</v>
      </c>
      <c r="H58" s="856">
        <f>'WiS percent RSV_base'!I63</f>
        <v>7.2349718690988378E-3</v>
      </c>
      <c r="I58" s="856">
        <f>'WiS percent RSV_base'!J64</f>
        <v>1.5005431502715751E-3</v>
      </c>
      <c r="J58" s="856">
        <f>'WiS percent RSV_base'!K65</f>
        <v>0</v>
      </c>
      <c r="K58" s="856">
        <f>'WiS percent RSV_base'!L66</f>
        <v>0</v>
      </c>
      <c r="L58" s="856">
        <f>'WiS percent RSV_base'!M67</f>
        <v>0</v>
      </c>
      <c r="M58" s="856">
        <f>'WiS percent RSV_base'!N68</f>
        <v>0</v>
      </c>
      <c r="N58" s="246"/>
      <c r="O58" s="246"/>
      <c r="R58" s="26">
        <v>2</v>
      </c>
      <c r="T58" s="276">
        <f t="shared" ref="T58:T67" si="35">D58/$H$54*$H$53</f>
        <v>254.40397513449696</v>
      </c>
      <c r="U58" s="276">
        <f t="shared" si="33"/>
        <v>732.41141386940922</v>
      </c>
      <c r="V58" s="276">
        <f t="shared" si="33"/>
        <v>1187.8822283166608</v>
      </c>
      <c r="W58" s="276">
        <f t="shared" si="33"/>
        <v>866.89139730942088</v>
      </c>
      <c r="X58" s="276">
        <f t="shared" si="33"/>
        <v>196.54301418118632</v>
      </c>
      <c r="Y58" s="276">
        <f t="shared" si="33"/>
        <v>40.763292380298161</v>
      </c>
      <c r="Z58" s="276">
        <f t="shared" si="33"/>
        <v>0</v>
      </c>
      <c r="AA58" s="276">
        <f t="shared" si="33"/>
        <v>0</v>
      </c>
      <c r="AB58" s="276">
        <f t="shared" si="33"/>
        <v>0</v>
      </c>
      <c r="AC58" s="276">
        <f t="shared" si="33"/>
        <v>0</v>
      </c>
      <c r="AD58" s="276">
        <f t="shared" si="33"/>
        <v>0</v>
      </c>
      <c r="AE58" s="276">
        <f t="shared" si="33"/>
        <v>0</v>
      </c>
      <c r="AF58" s="275"/>
      <c r="AG58" s="562">
        <f>IF(AND(R12&gt;0,12-'Input 4_RSV Season'!$AG$27+1&gt;R12),IF(AG13&gt;0,AG13+1,1),0)</f>
        <v>0</v>
      </c>
      <c r="AH58" s="549">
        <f>IF($AG58&gt;0,SUMIF($T$7:$AE$7,"&gt;0",$T56:$AE56),0)</f>
        <v>0</v>
      </c>
      <c r="AI58" s="549">
        <f>IF($AG58&gt;0,SUMIF($T$7:$AE$7,0,$T56:$AE56),0)</f>
        <v>0</v>
      </c>
      <c r="AK58" s="563">
        <f>IF($AG58&gt;0,SUMIF($T$8:$AE$8,"&gt;0",$T56:$AE56),0)</f>
        <v>0</v>
      </c>
      <c r="AL58" s="564">
        <f>IF($AG58&gt;0,SUMIF($T$8:$AE$8,0,$T56:$AE56),0)</f>
        <v>0</v>
      </c>
      <c r="AN58" s="599"/>
      <c r="AP58" s="26">
        <v>2</v>
      </c>
      <c r="AR58" s="275">
        <f t="shared" ref="AR58:AR67" si="36">D58/$M$54*$M$53</f>
        <v>1729.9808346376947</v>
      </c>
      <c r="AS58" s="275">
        <f t="shared" si="34"/>
        <v>4980.4949328881876</v>
      </c>
      <c r="AT58" s="275">
        <f t="shared" si="34"/>
        <v>8077.7569914468022</v>
      </c>
      <c r="AU58" s="275">
        <f t="shared" si="34"/>
        <v>5894.9766891996587</v>
      </c>
      <c r="AV58" s="275">
        <f t="shared" si="34"/>
        <v>1336.5186119266384</v>
      </c>
      <c r="AW58" s="275">
        <f t="shared" si="34"/>
        <v>277.19580457564228</v>
      </c>
      <c r="AX58" s="275">
        <f t="shared" si="34"/>
        <v>0</v>
      </c>
      <c r="AY58" s="275">
        <f t="shared" si="34"/>
        <v>0</v>
      </c>
      <c r="AZ58" s="275">
        <f t="shared" si="34"/>
        <v>0</v>
      </c>
      <c r="BA58" s="275">
        <f t="shared" si="34"/>
        <v>0</v>
      </c>
      <c r="BB58" s="275">
        <f t="shared" si="34"/>
        <v>0</v>
      </c>
      <c r="BC58" s="275">
        <f t="shared" si="34"/>
        <v>0</v>
      </c>
      <c r="BD58" s="275"/>
      <c r="BE58" s="562">
        <f>IF(AND(AP56&gt;0,12-'Input 4_RSV Season'!$AG$27+1&gt;AP56),IF(BE57&gt;0,BE57+1,1),0)</f>
        <v>0</v>
      </c>
      <c r="BF58" s="549">
        <f>IF($BE58&gt;0,SUMIF($AR$8:$BC$8,"&gt;0",$AR56:$BC56),0)</f>
        <v>0</v>
      </c>
      <c r="BG58" s="564">
        <f>IF($BE58&gt;0,SUMIF($AR$8:$BC$8,0,$AR56:$BC56),0)</f>
        <v>0</v>
      </c>
      <c r="BI58" s="693"/>
      <c r="BJ58" s="564"/>
    </row>
    <row r="59" spans="2:62" x14ac:dyDescent="0.3">
      <c r="B59" s="26">
        <v>3</v>
      </c>
      <c r="D59" s="856">
        <f>'WiS percent RSV_base'!E60</f>
        <v>9.3009208246539622E-3</v>
      </c>
      <c r="E59" s="856">
        <f>'WiS percent RSV_base'!F61</f>
        <v>3.0716413261432433E-2</v>
      </c>
      <c r="F59" s="856">
        <f>'WiS percent RSV_base'!G62</f>
        <v>4.7720505382833338E-2</v>
      </c>
      <c r="G59" s="856">
        <f>'WiS percent RSV_base'!H63</f>
        <v>1.3480545875756809E-2</v>
      </c>
      <c r="H59" s="856">
        <f>'WiS percent RSV_base'!I64</f>
        <v>5.6633402768314295E-3</v>
      </c>
      <c r="I59" s="856">
        <f>'WiS percent RSV_base'!J65</f>
        <v>2.0118286059143029E-3</v>
      </c>
      <c r="J59" s="856">
        <f>'WiS percent RSV_base'!K66</f>
        <v>0</v>
      </c>
      <c r="K59" s="856">
        <f>'WiS percent RSV_base'!L67</f>
        <v>0</v>
      </c>
      <c r="L59" s="856">
        <f>'WiS percent RSV_base'!M68</f>
        <v>0</v>
      </c>
      <c r="M59" s="246"/>
      <c r="N59" s="246"/>
      <c r="O59" s="246"/>
      <c r="R59" s="26">
        <v>3</v>
      </c>
      <c r="T59" s="276">
        <f t="shared" si="35"/>
        <v>252.66594626935955</v>
      </c>
      <c r="U59" s="276">
        <f t="shared" si="33"/>
        <v>834.43260823470939</v>
      </c>
      <c r="V59" s="276">
        <f t="shared" si="33"/>
        <v>1296.3605299214275</v>
      </c>
      <c r="W59" s="276">
        <f t="shared" si="33"/>
        <v>366.20835120938989</v>
      </c>
      <c r="X59" s="276">
        <f t="shared" si="33"/>
        <v>153.84855511273821</v>
      </c>
      <c r="Y59" s="276">
        <f t="shared" si="33"/>
        <v>54.652715363160368</v>
      </c>
      <c r="Z59" s="276">
        <f t="shared" si="33"/>
        <v>0</v>
      </c>
      <c r="AA59" s="276">
        <f t="shared" si="33"/>
        <v>0</v>
      </c>
      <c r="AB59" s="276">
        <f t="shared" si="33"/>
        <v>0</v>
      </c>
      <c r="AC59" s="276">
        <f t="shared" si="33"/>
        <v>0</v>
      </c>
      <c r="AD59" s="276">
        <f t="shared" si="33"/>
        <v>0</v>
      </c>
      <c r="AE59" s="276">
        <f t="shared" si="33"/>
        <v>0</v>
      </c>
      <c r="AF59" s="275"/>
      <c r="AG59" s="562">
        <f>IF(AND(R13&gt;0,12-'Input 4_RSV Season'!$AG$27+1&gt;R13),IF(AG14&gt;0,AG14+1,1),0)</f>
        <v>1</v>
      </c>
      <c r="AH59" s="549">
        <f t="shared" ref="AH59:AH69" si="37">IF($AG59&gt;0,SUMIF($T$7:$AE$7,"&gt;0",$T57:$AE57),0)</f>
        <v>3243.8149981937795</v>
      </c>
      <c r="AI59" s="549">
        <f t="shared" ref="AI59:AI69" si="38">IF($AG59&gt;0,SUMIF($T$7:$AE$7,0,$T57:$AE57),0)</f>
        <v>52.075499483904068</v>
      </c>
      <c r="AK59" s="549">
        <f t="shared" ref="AK59:AK69" si="39">IF($AG59&gt;0,SUMIF($T$8:$AE$8,"&gt;0",$T57:$AE57),0)</f>
        <v>3243.8149981937795</v>
      </c>
      <c r="AL59" s="565">
        <f t="shared" ref="AL59:AL69" si="40">IF($AG59&gt;0,SUMIF($T$8:$AE$8,0,$T57:$AE57),0)</f>
        <v>52.075499483904068</v>
      </c>
      <c r="AN59" s="599"/>
      <c r="AP59" s="26">
        <v>3</v>
      </c>
      <c r="AR59" s="275">
        <f t="shared" si="36"/>
        <v>1718.1620074155758</v>
      </c>
      <c r="AS59" s="275">
        <f t="shared" si="34"/>
        <v>5674.2526105561883</v>
      </c>
      <c r="AT59" s="275">
        <f t="shared" si="34"/>
        <v>8815.4238563260951</v>
      </c>
      <c r="AU59" s="275">
        <f t="shared" si="34"/>
        <v>2490.2654478633094</v>
      </c>
      <c r="AV59" s="275">
        <f t="shared" si="34"/>
        <v>1046.1906172693596</v>
      </c>
      <c r="AW59" s="275">
        <f t="shared" si="34"/>
        <v>371.64572640498761</v>
      </c>
      <c r="AX59" s="275">
        <f t="shared" si="34"/>
        <v>0</v>
      </c>
      <c r="AY59" s="275">
        <f t="shared" si="34"/>
        <v>0</v>
      </c>
      <c r="AZ59" s="275">
        <f t="shared" si="34"/>
        <v>0</v>
      </c>
      <c r="BA59" s="275">
        <f t="shared" si="34"/>
        <v>0</v>
      </c>
      <c r="BB59" s="275">
        <f t="shared" si="34"/>
        <v>0</v>
      </c>
      <c r="BC59" s="275">
        <f t="shared" si="34"/>
        <v>0</v>
      </c>
      <c r="BD59" s="275"/>
      <c r="BE59" s="562">
        <f>IF(AND(AP57&gt;0,12-'Input 4_RSV Season'!$AG$27+1&gt;AP57),IF(BE58&gt;0,BE58+1,1),0)</f>
        <v>1</v>
      </c>
      <c r="BF59" s="549">
        <f t="shared" ref="BF59:BF69" si="41">IF($BE59&gt;0,SUMIF($AR$8:$BC$8,"&gt;0",$AR57:$BC57),0)</f>
        <v>22058.373007020673</v>
      </c>
      <c r="BG59" s="565">
        <f t="shared" ref="BG59:BG69" si="42">IF($BE59&gt;0,SUMIF($AR$8:$BC$8,0,$AR57:$BC57),0)</f>
        <v>354.12031598056234</v>
      </c>
      <c r="BI59" s="693">
        <f>IF(SUM($AR$7:$BC$7)=4,SUM(AR57:AU57),IF(SUM($AR$7:$BC$7)=3,SUM(AR57:AT57),IF(SUM($AR$7:$BC$7)=2,SUM(AR57:AS57),IF(SUM($AR$7:$BC$7)=1,AR57,0))))</f>
        <v>13492.864984549644</v>
      </c>
      <c r="BJ59" s="565">
        <f t="shared" ref="BJ59:BJ62" si="43">IF($BE59&gt;0,SUM($AR57:$BC57)-BI59,0)</f>
        <v>8919.6283384515918</v>
      </c>
    </row>
    <row r="60" spans="2:62" x14ac:dyDescent="0.3">
      <c r="B60" s="26">
        <v>4</v>
      </c>
      <c r="D60" s="856">
        <f>'WiS percent RSV_base'!E61</f>
        <v>1.0596491911149182E-2</v>
      </c>
      <c r="E60" s="856">
        <f>'WiS percent RSV_base'!F62</f>
        <v>3.3521459302665133E-2</v>
      </c>
      <c r="F60" s="856">
        <f>'WiS percent RSV_base'!G63</f>
        <v>2.015898144723266E-2</v>
      </c>
      <c r="G60" s="856">
        <f>'WiS percent RSV_base'!H64</f>
        <v>1.0552206669651723E-2</v>
      </c>
      <c r="H60" s="856">
        <f>'WiS percent RSV_base'!I65</f>
        <v>7.5930305449023704E-3</v>
      </c>
      <c r="I60" s="856">
        <f>'WiS percent RSV_base'!J66</f>
        <v>1.6453832226916113E-3</v>
      </c>
      <c r="J60" s="856">
        <f>'WiS percent RSV_base'!K67</f>
        <v>0</v>
      </c>
      <c r="K60" s="856">
        <f>'WiS percent RSV_base'!L68</f>
        <v>0</v>
      </c>
      <c r="L60" s="246"/>
      <c r="M60" s="246"/>
      <c r="N60" s="246"/>
      <c r="O60" s="246"/>
      <c r="R60" s="26">
        <v>4</v>
      </c>
      <c r="T60" s="276">
        <f t="shared" si="35"/>
        <v>287.86103078839324</v>
      </c>
      <c r="U60" s="276">
        <f t="shared" si="33"/>
        <v>910.63362377916212</v>
      </c>
      <c r="V60" s="276">
        <f t="shared" si="33"/>
        <v>547.63267199202346</v>
      </c>
      <c r="W60" s="276">
        <f t="shared" si="33"/>
        <v>286.65799157758062</v>
      </c>
      <c r="X60" s="276">
        <f t="shared" si="33"/>
        <v>206.26992572547627</v>
      </c>
      <c r="Y60" s="276">
        <f t="shared" si="33"/>
        <v>44.697973111987174</v>
      </c>
      <c r="Z60" s="276">
        <f t="shared" si="33"/>
        <v>0</v>
      </c>
      <c r="AA60" s="276">
        <f t="shared" si="33"/>
        <v>0</v>
      </c>
      <c r="AB60" s="276">
        <f t="shared" si="33"/>
        <v>0</v>
      </c>
      <c r="AC60" s="276">
        <f t="shared" si="33"/>
        <v>0</v>
      </c>
      <c r="AD60" s="276">
        <f t="shared" si="33"/>
        <v>0</v>
      </c>
      <c r="AE60" s="276">
        <f t="shared" si="33"/>
        <v>0</v>
      </c>
      <c r="AF60" s="275"/>
      <c r="AG60" s="562">
        <f>IF(AND(R14&gt;0,12-'Input 4_RSV Season'!$AG$27+1&gt;R14),IF(AG15&gt;0,AG15+1,1),0)</f>
        <v>2</v>
      </c>
      <c r="AH60" s="549">
        <f t="shared" si="37"/>
        <v>3238.1320288111738</v>
      </c>
      <c r="AI60" s="549">
        <f t="shared" si="38"/>
        <v>40.763292380298161</v>
      </c>
      <c r="AK60" s="549">
        <f t="shared" si="39"/>
        <v>3238.1320288111738</v>
      </c>
      <c r="AL60" s="565">
        <f t="shared" si="40"/>
        <v>40.763292380298161</v>
      </c>
      <c r="AN60" s="599"/>
      <c r="AP60" s="26">
        <v>4</v>
      </c>
      <c r="AR60" s="275">
        <f t="shared" si="36"/>
        <v>1957.4932586634889</v>
      </c>
      <c r="AS60" s="275">
        <f t="shared" si="34"/>
        <v>6192.4296414069795</v>
      </c>
      <c r="AT60" s="275">
        <f t="shared" si="34"/>
        <v>3723.9749357955911</v>
      </c>
      <c r="AU60" s="275">
        <f t="shared" si="34"/>
        <v>1949.3124321770974</v>
      </c>
      <c r="AV60" s="275">
        <f t="shared" si="34"/>
        <v>1402.6629028833404</v>
      </c>
      <c r="AW60" s="275">
        <f t="shared" si="34"/>
        <v>303.952156368658</v>
      </c>
      <c r="AX60" s="275">
        <f t="shared" si="34"/>
        <v>0</v>
      </c>
      <c r="AY60" s="275">
        <f t="shared" si="34"/>
        <v>0</v>
      </c>
      <c r="AZ60" s="275">
        <f t="shared" si="34"/>
        <v>0</v>
      </c>
      <c r="BA60" s="275">
        <f t="shared" si="34"/>
        <v>0</v>
      </c>
      <c r="BB60" s="275">
        <f t="shared" si="34"/>
        <v>0</v>
      </c>
      <c r="BC60" s="275">
        <f t="shared" si="34"/>
        <v>0</v>
      </c>
      <c r="BD60" s="275"/>
      <c r="BE60" s="562">
        <f>IF(AND(AP58&gt;0,12-'Input 4_RSV Season'!$AG$27+1&gt;AP58),IF(BE59&gt;0,BE59+1,1),0)</f>
        <v>2</v>
      </c>
      <c r="BF60" s="549">
        <f t="shared" si="41"/>
        <v>22019.728060098983</v>
      </c>
      <c r="BG60" s="565">
        <f t="shared" si="42"/>
        <v>277.19580457564228</v>
      </c>
      <c r="BI60" s="693">
        <f>IF(SUM($AR$7:$BC$7)=4,SUM(AR58:AT58),IF(SUM($AR$7:$BC$7)=3,SUM(AR58:AS58),IF(SUM($AR$7:$BC$7)=2,AR58,0)))</f>
        <v>6710.4757675258825</v>
      </c>
      <c r="BJ60" s="565">
        <f t="shared" si="43"/>
        <v>15586.448097148745</v>
      </c>
    </row>
    <row r="61" spans="2:62" x14ac:dyDescent="0.3">
      <c r="B61" s="26">
        <v>5</v>
      </c>
      <c r="D61" s="856">
        <f>'WiS percent RSV_base'!E62</f>
        <v>1.1564171549827711E-2</v>
      </c>
      <c r="E61" s="856">
        <f>'WiS percent RSV_base'!F63</f>
        <v>1.4160756906184903E-2</v>
      </c>
      <c r="F61" s="856">
        <f>'WiS percent RSV_base'!G64</f>
        <v>1.5779905386726887E-2</v>
      </c>
      <c r="G61" s="856">
        <f>'WiS percent RSV_base'!H65</f>
        <v>1.41476979383651E-2</v>
      </c>
      <c r="H61" s="856">
        <f>'WiS percent RSV_base'!I66</f>
        <v>6.2099947437070499E-3</v>
      </c>
      <c r="I61" s="856">
        <f>'WiS percent RSV_base'!J67</f>
        <v>1.7503922751961375E-3</v>
      </c>
      <c r="J61" s="856">
        <f>'WiS percent RSV_base'!K68</f>
        <v>0</v>
      </c>
      <c r="K61" s="246"/>
      <c r="L61" s="246"/>
      <c r="M61" s="246"/>
      <c r="N61" s="246"/>
      <c r="O61" s="246"/>
      <c r="R61" s="26">
        <v>5</v>
      </c>
      <c r="T61" s="276">
        <f t="shared" si="35"/>
        <v>314.14871737359749</v>
      </c>
      <c r="U61" s="276">
        <f t="shared" si="33"/>
        <v>384.6867542520655</v>
      </c>
      <c r="V61" s="276">
        <f t="shared" si="33"/>
        <v>428.67204245087737</v>
      </c>
      <c r="W61" s="276">
        <f t="shared" si="33"/>
        <v>384.33199836028911</v>
      </c>
      <c r="X61" s="276">
        <f t="shared" si="33"/>
        <v>168.69880174524189</v>
      </c>
      <c r="Y61" s="276">
        <f t="shared" si="33"/>
        <v>47.550616642461705</v>
      </c>
      <c r="Z61" s="276">
        <f t="shared" si="33"/>
        <v>0</v>
      </c>
      <c r="AA61" s="276">
        <f t="shared" si="33"/>
        <v>0</v>
      </c>
      <c r="AB61" s="276">
        <f t="shared" si="33"/>
        <v>0</v>
      </c>
      <c r="AC61" s="276">
        <f t="shared" si="33"/>
        <v>0</v>
      </c>
      <c r="AD61" s="276">
        <f t="shared" si="33"/>
        <v>0</v>
      </c>
      <c r="AE61" s="276">
        <f t="shared" si="33"/>
        <v>0</v>
      </c>
      <c r="AF61" s="275"/>
      <c r="AG61" s="562">
        <f>IF(AND(R15&gt;0,12-'Input 4_RSV Season'!$AG$27+1&gt;R15),IF(AG16&gt;0,AG16+1,1),0)</f>
        <v>3</v>
      </c>
      <c r="AH61" s="549">
        <f t="shared" si="37"/>
        <v>2903.5159907476245</v>
      </c>
      <c r="AI61" s="549">
        <f t="shared" si="38"/>
        <v>54.652715363160368</v>
      </c>
      <c r="AK61" s="549">
        <f t="shared" si="39"/>
        <v>2903.5159907476245</v>
      </c>
      <c r="AL61" s="565">
        <f t="shared" si="40"/>
        <v>54.652715363160368</v>
      </c>
      <c r="AN61" s="599"/>
      <c r="AP61" s="26">
        <v>5</v>
      </c>
      <c r="AR61" s="275">
        <f t="shared" si="36"/>
        <v>2136.2530203980414</v>
      </c>
      <c r="AS61" s="275">
        <f t="shared" si="34"/>
        <v>2615.9210438564119</v>
      </c>
      <c r="AT61" s="275">
        <f t="shared" si="34"/>
        <v>2915.0268481180447</v>
      </c>
      <c r="AU61" s="275">
        <f t="shared" si="34"/>
        <v>2613.5086566544292</v>
      </c>
      <c r="AV61" s="275">
        <f t="shared" si="34"/>
        <v>1147.174267584935</v>
      </c>
      <c r="AW61" s="275">
        <f t="shared" si="34"/>
        <v>323.35051141859429</v>
      </c>
      <c r="AX61" s="275">
        <f t="shared" si="34"/>
        <v>0</v>
      </c>
      <c r="AY61" s="275">
        <f t="shared" si="34"/>
        <v>0</v>
      </c>
      <c r="AZ61" s="275">
        <f t="shared" si="34"/>
        <v>0</v>
      </c>
      <c r="BA61" s="275">
        <f t="shared" si="34"/>
        <v>0</v>
      </c>
      <c r="BB61" s="275">
        <f t="shared" si="34"/>
        <v>0</v>
      </c>
      <c r="BC61" s="275">
        <f t="shared" si="34"/>
        <v>0</v>
      </c>
      <c r="BD61" s="275"/>
      <c r="BE61" s="562">
        <f>IF(AND(AP59&gt;0,12-'Input 4_RSV Season'!$AG$27+1&gt;AP59),IF(BE60&gt;0,BE60+1,1),0)</f>
        <v>3</v>
      </c>
      <c r="BF61" s="549">
        <f t="shared" si="41"/>
        <v>19744.294539430528</v>
      </c>
      <c r="BG61" s="565">
        <f t="shared" si="42"/>
        <v>371.64572640498761</v>
      </c>
      <c r="BI61" s="693">
        <f>IF(SUM($AR$7:$BC$7)=4,SUM(AR59:AS59),IF(SUM($AR$7:$BC$7)=3,AR59,0))</f>
        <v>1718.1620074155758</v>
      </c>
      <c r="BJ61" s="565">
        <f t="shared" si="43"/>
        <v>18397.778258419938</v>
      </c>
    </row>
    <row r="62" spans="2:62" x14ac:dyDescent="0.3">
      <c r="B62" s="26">
        <v>6</v>
      </c>
      <c r="D62" s="856">
        <f>'WiS percent RSV_base'!E63</f>
        <v>4.8851519458017797E-3</v>
      </c>
      <c r="E62" s="856">
        <f>'WiS percent RSV_base'!F64</f>
        <v>1.1084657464909378E-2</v>
      </c>
      <c r="F62" s="856">
        <f>'WiS percent RSV_base'!G65</f>
        <v>2.1156649210582672E-2</v>
      </c>
      <c r="G62" s="856">
        <f>'WiS percent RSV_base'!H66</f>
        <v>1.1570759436992621E-2</v>
      </c>
      <c r="H62" s="856">
        <f>'WiS percent RSV_base'!I67</f>
        <v>6.6063192321918736E-3</v>
      </c>
      <c r="I62" s="856">
        <f>'WiS percent RSV_base'!J68</f>
        <v>1.8691611345805677E-3</v>
      </c>
      <c r="J62" s="246"/>
      <c r="K62" s="246"/>
      <c r="L62" s="246"/>
      <c r="M62" s="246"/>
      <c r="N62" s="246"/>
      <c r="O62" s="246"/>
      <c r="R62" s="26">
        <v>6</v>
      </c>
      <c r="T62" s="276">
        <f t="shared" si="35"/>
        <v>132.70853094285229</v>
      </c>
      <c r="U62" s="276">
        <f t="shared" si="33"/>
        <v>301.12238564800901</v>
      </c>
      <c r="V62" s="276">
        <f t="shared" si="33"/>
        <v>574.73500672226714</v>
      </c>
      <c r="W62" s="276">
        <f t="shared" si="33"/>
        <v>314.32768188429679</v>
      </c>
      <c r="X62" s="276">
        <f t="shared" si="33"/>
        <v>179.46523055380706</v>
      </c>
      <c r="Y62" s="276">
        <f t="shared" si="33"/>
        <v>50.777054842446695</v>
      </c>
      <c r="Z62" s="276">
        <f t="shared" si="33"/>
        <v>0</v>
      </c>
      <c r="AA62" s="276">
        <f t="shared" si="33"/>
        <v>0</v>
      </c>
      <c r="AB62" s="276">
        <f t="shared" si="33"/>
        <v>0</v>
      </c>
      <c r="AC62" s="276">
        <f t="shared" si="33"/>
        <v>0</v>
      </c>
      <c r="AD62" s="276">
        <f t="shared" si="33"/>
        <v>0</v>
      </c>
      <c r="AE62" s="276">
        <f t="shared" si="33"/>
        <v>0</v>
      </c>
      <c r="AF62" s="275"/>
      <c r="AG62" s="562">
        <f>IF(AND(R16&gt;0,12-'Input 4_RSV Season'!$AG$27+1&gt;R16),IF(AG17&gt;0,AG17+1,1),0)</f>
        <v>4</v>
      </c>
      <c r="AH62" s="549">
        <f t="shared" si="37"/>
        <v>2239.0552438626355</v>
      </c>
      <c r="AI62" s="549">
        <f t="shared" si="38"/>
        <v>44.697973111987174</v>
      </c>
      <c r="AK62" s="549">
        <f t="shared" si="39"/>
        <v>2239.0552438626355</v>
      </c>
      <c r="AL62" s="565">
        <f t="shared" si="40"/>
        <v>44.697973111987174</v>
      </c>
      <c r="AN62" s="599"/>
      <c r="AP62" s="26">
        <v>6</v>
      </c>
      <c r="AR62" s="275">
        <f t="shared" si="36"/>
        <v>902.43564395046531</v>
      </c>
      <c r="AS62" s="275">
        <f t="shared" si="34"/>
        <v>2047.6722338007125</v>
      </c>
      <c r="AT62" s="275">
        <f t="shared" si="34"/>
        <v>3908.274413162128</v>
      </c>
      <c r="AU62" s="275">
        <f t="shared" si="34"/>
        <v>2137.4700028505622</v>
      </c>
      <c r="AV62" s="275">
        <f t="shared" si="34"/>
        <v>1220.3874140637267</v>
      </c>
      <c r="AW62" s="275">
        <f t="shared" si="34"/>
        <v>345.29071988886722</v>
      </c>
      <c r="AX62" s="275">
        <f t="shared" si="34"/>
        <v>0</v>
      </c>
      <c r="AY62" s="275">
        <f t="shared" si="34"/>
        <v>0</v>
      </c>
      <c r="AZ62" s="275">
        <f t="shared" si="34"/>
        <v>0</v>
      </c>
      <c r="BA62" s="275">
        <f t="shared" si="34"/>
        <v>0</v>
      </c>
      <c r="BB62" s="275">
        <f t="shared" si="34"/>
        <v>0</v>
      </c>
      <c r="BC62" s="275">
        <f t="shared" si="34"/>
        <v>0</v>
      </c>
      <c r="BD62" s="275"/>
      <c r="BE62" s="562">
        <f>IF(AND(AP60&gt;0,12-'Input 4_RSV Season'!$AG$27+1&gt;AP60),IF(BE61&gt;0,BE61+1,1),0)</f>
        <v>4</v>
      </c>
      <c r="BF62" s="549">
        <f t="shared" si="41"/>
        <v>15225.873170926498</v>
      </c>
      <c r="BG62" s="565">
        <f t="shared" si="42"/>
        <v>303.952156368658</v>
      </c>
      <c r="BI62" s="693">
        <f>IF(SUM($AR$7:$BC$7)=4,AR60,0)</f>
        <v>0</v>
      </c>
      <c r="BJ62" s="565">
        <f t="shared" si="43"/>
        <v>15529.825327295155</v>
      </c>
    </row>
    <row r="63" spans="2:62" x14ac:dyDescent="0.3">
      <c r="B63" s="26">
        <v>7</v>
      </c>
      <c r="D63" s="856">
        <f>'WiS percent RSV_base'!E64</f>
        <v>3.823964802304982E-3</v>
      </c>
      <c r="E63" s="856">
        <f>'WiS percent RSV_base'!F65</f>
        <v>1.4861572604979851E-2</v>
      </c>
      <c r="F63" s="856">
        <f>'WiS percent RSV_base'!G66</f>
        <v>1.7303062277337591E-2</v>
      </c>
      <c r="G63" s="856">
        <f>'WiS percent RSV_base'!H67</f>
        <v>1.2309210193314773E-2</v>
      </c>
      <c r="H63" s="856">
        <f>'WiS percent RSV_base'!I68</f>
        <v>7.0545758950298848E-3</v>
      </c>
      <c r="I63" s="246"/>
      <c r="J63" s="246"/>
      <c r="K63" s="246"/>
      <c r="L63" s="246"/>
      <c r="M63" s="246"/>
      <c r="N63" s="246"/>
      <c r="O63" s="246"/>
      <c r="R63" s="26">
        <v>7</v>
      </c>
      <c r="T63" s="276">
        <f t="shared" si="35"/>
        <v>103.88064832398562</v>
      </c>
      <c r="U63" s="276">
        <f t="shared" si="33"/>
        <v>403.72489736012017</v>
      </c>
      <c r="V63" s="276">
        <f t="shared" si="33"/>
        <v>470.04965272605864</v>
      </c>
      <c r="W63" s="276">
        <f t="shared" si="33"/>
        <v>334.3882073566661</v>
      </c>
      <c r="X63" s="276">
        <f t="shared" si="33"/>
        <v>191.64243279246017</v>
      </c>
      <c r="Y63" s="276">
        <f t="shared" si="33"/>
        <v>0</v>
      </c>
      <c r="Z63" s="276">
        <f t="shared" si="33"/>
        <v>0</v>
      </c>
      <c r="AA63" s="276">
        <f t="shared" si="33"/>
        <v>0</v>
      </c>
      <c r="AB63" s="276">
        <f t="shared" si="33"/>
        <v>0</v>
      </c>
      <c r="AC63" s="276">
        <f t="shared" si="33"/>
        <v>0</v>
      </c>
      <c r="AD63" s="276">
        <f t="shared" si="33"/>
        <v>0</v>
      </c>
      <c r="AE63" s="276">
        <f t="shared" si="33"/>
        <v>0</v>
      </c>
      <c r="AF63" s="275"/>
      <c r="AG63" s="562">
        <f>IF(AND(R17&gt;0,12-'Input 4_RSV Season'!$AG$27+1&gt;R17),IF(AG18&gt;0,AG18+1,1),0)</f>
        <v>5</v>
      </c>
      <c r="AH63" s="549">
        <f t="shared" si="37"/>
        <v>1680.5383141820712</v>
      </c>
      <c r="AI63" s="549">
        <f t="shared" si="38"/>
        <v>47.550616642461705</v>
      </c>
      <c r="AK63" s="549">
        <f t="shared" si="39"/>
        <v>1680.5383141820712</v>
      </c>
      <c r="AL63" s="565">
        <f t="shared" si="40"/>
        <v>47.550616642461705</v>
      </c>
      <c r="AN63" s="599"/>
      <c r="AP63" s="26">
        <v>7</v>
      </c>
      <c r="AR63" s="275">
        <f t="shared" si="36"/>
        <v>706.40221166050776</v>
      </c>
      <c r="AS63" s="275">
        <f t="shared" si="34"/>
        <v>2745.3829466691022</v>
      </c>
      <c r="AT63" s="275">
        <f t="shared" si="34"/>
        <v>3196.400096005887</v>
      </c>
      <c r="AU63" s="275">
        <f t="shared" si="34"/>
        <v>2273.8842415888244</v>
      </c>
      <c r="AV63" s="275">
        <f t="shared" si="34"/>
        <v>1303.1940073224991</v>
      </c>
      <c r="AW63" s="275">
        <f t="shared" si="34"/>
        <v>0</v>
      </c>
      <c r="AX63" s="275">
        <f t="shared" si="34"/>
        <v>0</v>
      </c>
      <c r="AY63" s="275">
        <f t="shared" si="34"/>
        <v>0</v>
      </c>
      <c r="AZ63" s="275">
        <f t="shared" si="34"/>
        <v>0</v>
      </c>
      <c r="BA63" s="275">
        <f t="shared" si="34"/>
        <v>0</v>
      </c>
      <c r="BB63" s="275">
        <f t="shared" si="34"/>
        <v>0</v>
      </c>
      <c r="BC63" s="275">
        <f t="shared" si="34"/>
        <v>0</v>
      </c>
      <c r="BD63" s="275"/>
      <c r="BE63" s="562">
        <f>IF(AND(AP61&gt;0,12-'Input 4_RSV Season'!$AG$27+1&gt;AP61),IF(BE62&gt;0,BE62+1,1),0)</f>
        <v>5</v>
      </c>
      <c r="BF63" s="549">
        <f t="shared" si="41"/>
        <v>11427.883836611862</v>
      </c>
      <c r="BG63" s="565">
        <f t="shared" si="42"/>
        <v>323.35051141859429</v>
      </c>
      <c r="BI63" s="693"/>
      <c r="BJ63" s="565">
        <f>IF($BE63&gt;0,SUM($AR61:$BC61)-BI63,0)</f>
        <v>11751.234348030455</v>
      </c>
    </row>
    <row r="64" spans="2:62" x14ac:dyDescent="0.3">
      <c r="B64" s="26">
        <v>8</v>
      </c>
      <c r="D64" s="856">
        <f>'WiS percent RSV_base'!E65</f>
        <v>5.1269180602332241E-3</v>
      </c>
      <c r="E64" s="856">
        <f>'WiS percent RSV_base'!F66</f>
        <v>1.2154605096657386E-2</v>
      </c>
      <c r="F64" s="856">
        <f>'WiS percent RSV_base'!G67</f>
        <v>1.8407351023030351E-2</v>
      </c>
      <c r="G64" s="856">
        <f>'WiS percent RSV_base'!H68</f>
        <v>1.3144423462534313E-2</v>
      </c>
      <c r="H64" s="246"/>
      <c r="I64" s="246"/>
      <c r="J64" s="246"/>
      <c r="K64" s="246"/>
      <c r="L64" s="246"/>
      <c r="M64" s="246"/>
      <c r="N64" s="246"/>
      <c r="O64" s="246"/>
      <c r="R64" s="26">
        <v>8</v>
      </c>
      <c r="T64" s="276">
        <f t="shared" si="35"/>
        <v>139.27627463515063</v>
      </c>
      <c r="U64" s="276">
        <f t="shared" si="33"/>
        <v>330.1882529885504</v>
      </c>
      <c r="V64" s="276">
        <f t="shared" si="33"/>
        <v>500.04842017556501</v>
      </c>
      <c r="W64" s="276">
        <f t="shared" si="33"/>
        <v>357.07735340817356</v>
      </c>
      <c r="X64" s="276">
        <f t="shared" si="33"/>
        <v>0</v>
      </c>
      <c r="Y64" s="276">
        <f t="shared" si="33"/>
        <v>0</v>
      </c>
      <c r="Z64" s="276">
        <f t="shared" si="33"/>
        <v>0</v>
      </c>
      <c r="AA64" s="276">
        <f t="shared" si="33"/>
        <v>0</v>
      </c>
      <c r="AB64" s="276">
        <f t="shared" si="33"/>
        <v>0</v>
      </c>
      <c r="AC64" s="276">
        <f t="shared" si="33"/>
        <v>0</v>
      </c>
      <c r="AD64" s="276">
        <f t="shared" si="33"/>
        <v>0</v>
      </c>
      <c r="AE64" s="276">
        <f t="shared" si="33"/>
        <v>0</v>
      </c>
      <c r="AF64" s="275"/>
      <c r="AG64" s="562">
        <f>IF(AND(R18&gt;0,12-'Input 4_RSV Season'!$AG$27+1&gt;R18),IF(AG19&gt;0,AG19+1,1),0)</f>
        <v>6</v>
      </c>
      <c r="AH64" s="549">
        <f t="shared" si="37"/>
        <v>1502.3588357512322</v>
      </c>
      <c r="AI64" s="549">
        <f t="shared" si="38"/>
        <v>50.777054842446695</v>
      </c>
      <c r="AK64" s="549">
        <f t="shared" si="39"/>
        <v>1502.3588357512322</v>
      </c>
      <c r="AL64" s="565">
        <f t="shared" si="40"/>
        <v>50.777054842446695</v>
      </c>
      <c r="AN64" s="599"/>
      <c r="AP64" s="26">
        <v>8</v>
      </c>
      <c r="AR64" s="275">
        <f t="shared" si="36"/>
        <v>947.09717374174272</v>
      </c>
      <c r="AS64" s="275">
        <f t="shared" si="34"/>
        <v>2245.3239938200863</v>
      </c>
      <c r="AT64" s="275">
        <f t="shared" si="34"/>
        <v>3400.3957007245726</v>
      </c>
      <c r="AU64" s="275">
        <f t="shared" si="34"/>
        <v>2428.173449541066</v>
      </c>
      <c r="AV64" s="275">
        <f t="shared" si="34"/>
        <v>0</v>
      </c>
      <c r="AW64" s="275">
        <f t="shared" si="34"/>
        <v>0</v>
      </c>
      <c r="AX64" s="275">
        <f t="shared" si="34"/>
        <v>0</v>
      </c>
      <c r="AY64" s="275">
        <f t="shared" si="34"/>
        <v>0</v>
      </c>
      <c r="AZ64" s="275">
        <f t="shared" si="34"/>
        <v>0</v>
      </c>
      <c r="BA64" s="275">
        <f t="shared" si="34"/>
        <v>0</v>
      </c>
      <c r="BB64" s="275">
        <f t="shared" si="34"/>
        <v>0</v>
      </c>
      <c r="BC64" s="275">
        <f t="shared" si="34"/>
        <v>0</v>
      </c>
      <c r="BD64" s="275"/>
      <c r="BE64" s="562">
        <f>IF(AND(AP62&gt;0,12-'Input 4_RSV Season'!$AG$27+1&gt;AP62),IF(BE63&gt;0,BE63+1,1),0)</f>
        <v>6</v>
      </c>
      <c r="BF64" s="549">
        <f t="shared" si="41"/>
        <v>10216.239707827595</v>
      </c>
      <c r="BG64" s="565">
        <f t="shared" si="42"/>
        <v>345.29071988886722</v>
      </c>
      <c r="BI64" s="693"/>
      <c r="BJ64" s="565">
        <f t="shared" ref="BJ64:BJ69" si="44">IF($BE64&gt;0,SUM($AR62:$BC62)-BI64,0)</f>
        <v>10561.530427716463</v>
      </c>
    </row>
    <row r="65" spans="2:62" x14ac:dyDescent="0.3">
      <c r="B65" s="26">
        <v>9</v>
      </c>
      <c r="D65" s="856">
        <f>'WiS percent RSV_base'!E66</f>
        <v>4.1930733739560418E-3</v>
      </c>
      <c r="E65" s="856">
        <f>'WiS percent RSV_base'!F67</f>
        <v>1.2930317129674691E-2</v>
      </c>
      <c r="F65" s="856">
        <f>'WiS percent RSV_base'!G68</f>
        <v>1.9656339673331132E-2</v>
      </c>
      <c r="G65" s="246"/>
      <c r="H65" s="246"/>
      <c r="I65" s="246"/>
      <c r="J65" s="246"/>
      <c r="K65" s="246"/>
      <c r="L65" s="246"/>
      <c r="M65" s="246"/>
      <c r="N65" s="246"/>
      <c r="O65" s="246"/>
      <c r="R65" s="26">
        <v>9</v>
      </c>
      <c r="T65" s="276">
        <f t="shared" si="35"/>
        <v>113.90773793054795</v>
      </c>
      <c r="U65" s="276">
        <f t="shared" si="33"/>
        <v>351.26100681044284</v>
      </c>
      <c r="V65" s="276">
        <f t="shared" si="33"/>
        <v>533.97806060121377</v>
      </c>
      <c r="W65" s="276">
        <f t="shared" si="33"/>
        <v>0</v>
      </c>
      <c r="X65" s="276">
        <f t="shared" si="33"/>
        <v>0</v>
      </c>
      <c r="Y65" s="276">
        <f t="shared" si="33"/>
        <v>0</v>
      </c>
      <c r="Z65" s="276">
        <f t="shared" si="33"/>
        <v>0</v>
      </c>
      <c r="AA65" s="276">
        <f t="shared" si="33"/>
        <v>0</v>
      </c>
      <c r="AB65" s="276">
        <f t="shared" si="33"/>
        <v>0</v>
      </c>
      <c r="AC65" s="276">
        <f t="shared" si="33"/>
        <v>0</v>
      </c>
      <c r="AD65" s="276">
        <f t="shared" si="33"/>
        <v>0</v>
      </c>
      <c r="AE65" s="276">
        <f t="shared" si="33"/>
        <v>0</v>
      </c>
      <c r="AF65" s="275"/>
      <c r="AG65" s="562">
        <f>IF(AND(R19&gt;0,12-'Input 4_RSV Season'!$AG$27+1&gt;R19),IF(AG20&gt;0,AG20+1,1),0)</f>
        <v>0</v>
      </c>
      <c r="AH65" s="549">
        <f t="shared" si="37"/>
        <v>0</v>
      </c>
      <c r="AI65" s="549">
        <f t="shared" si="38"/>
        <v>0</v>
      </c>
      <c r="AK65" s="549">
        <f t="shared" si="39"/>
        <v>0</v>
      </c>
      <c r="AL65" s="565">
        <f t="shared" si="40"/>
        <v>0</v>
      </c>
      <c r="AN65" s="599"/>
      <c r="AP65" s="26">
        <v>9</v>
      </c>
      <c r="AR65" s="275">
        <f t="shared" si="36"/>
        <v>774.58775332658001</v>
      </c>
      <c r="AS65" s="275">
        <f t="shared" si="34"/>
        <v>2388.621519834132</v>
      </c>
      <c r="AT65" s="275">
        <f t="shared" si="34"/>
        <v>3631.121763992604</v>
      </c>
      <c r="AU65" s="275">
        <f t="shared" si="34"/>
        <v>0</v>
      </c>
      <c r="AV65" s="275">
        <f t="shared" si="34"/>
        <v>0</v>
      </c>
      <c r="AW65" s="275">
        <f t="shared" si="34"/>
        <v>0</v>
      </c>
      <c r="AX65" s="275">
        <f t="shared" si="34"/>
        <v>0</v>
      </c>
      <c r="AY65" s="275">
        <f t="shared" si="34"/>
        <v>0</v>
      </c>
      <c r="AZ65" s="275">
        <f t="shared" si="34"/>
        <v>0</v>
      </c>
      <c r="BA65" s="275">
        <f t="shared" si="34"/>
        <v>0</v>
      </c>
      <c r="BB65" s="275">
        <f t="shared" si="34"/>
        <v>0</v>
      </c>
      <c r="BC65" s="275">
        <f t="shared" si="34"/>
        <v>0</v>
      </c>
      <c r="BD65" s="275"/>
      <c r="BE65" s="562">
        <f>IF(AND(AP63&gt;0,12-'Input 4_RSV Season'!$AG$27+1&gt;AP63),IF(BE64&gt;0,BE64+1,1),0)</f>
        <v>0</v>
      </c>
      <c r="BF65" s="549">
        <f t="shared" si="41"/>
        <v>0</v>
      </c>
      <c r="BG65" s="565">
        <f t="shared" si="42"/>
        <v>0</v>
      </c>
      <c r="BI65" s="693"/>
      <c r="BJ65" s="565">
        <f t="shared" si="44"/>
        <v>0</v>
      </c>
    </row>
    <row r="66" spans="2:62" x14ac:dyDescent="0.3">
      <c r="B66" s="26">
        <v>10</v>
      </c>
      <c r="D66" s="856">
        <f>'WiS percent RSV_base'!E67</f>
        <v>4.4606770884030597E-3</v>
      </c>
      <c r="E66" s="856">
        <f>'WiS percent RSV_base'!F68</f>
        <v>1.3807674187708063E-2</v>
      </c>
      <c r="F66" s="246"/>
      <c r="G66" s="246"/>
      <c r="H66" s="246"/>
      <c r="I66" s="246"/>
      <c r="J66" s="246"/>
      <c r="K66" s="246"/>
      <c r="L66" s="246"/>
      <c r="M66" s="246"/>
      <c r="N66" s="246"/>
      <c r="O66" s="246"/>
      <c r="R66" s="26">
        <v>10</v>
      </c>
      <c r="T66" s="276">
        <f t="shared" si="35"/>
        <v>121.17737789530561</v>
      </c>
      <c r="U66" s="276">
        <f t="shared" si="33"/>
        <v>375.09501802968691</v>
      </c>
      <c r="V66" s="276">
        <f t="shared" si="33"/>
        <v>0</v>
      </c>
      <c r="W66" s="276">
        <f t="shared" si="33"/>
        <v>0</v>
      </c>
      <c r="X66" s="276">
        <f t="shared" si="33"/>
        <v>0</v>
      </c>
      <c r="Y66" s="276">
        <f t="shared" si="33"/>
        <v>0</v>
      </c>
      <c r="Z66" s="276">
        <f t="shared" si="33"/>
        <v>0</v>
      </c>
      <c r="AA66" s="276">
        <f t="shared" si="33"/>
        <v>0</v>
      </c>
      <c r="AB66" s="276">
        <f t="shared" si="33"/>
        <v>0</v>
      </c>
      <c r="AC66" s="276">
        <f t="shared" si="33"/>
        <v>0</v>
      </c>
      <c r="AD66" s="276">
        <f t="shared" si="33"/>
        <v>0</v>
      </c>
      <c r="AE66" s="276">
        <f t="shared" si="33"/>
        <v>0</v>
      </c>
      <c r="AF66" s="275"/>
      <c r="AG66" s="562">
        <f>IF(AND(R20&gt;0,12-'Input 4_RSV Season'!$AG$27+1&gt;R20),IF(AG21&gt;0,AG21+1,1),0)</f>
        <v>0</v>
      </c>
      <c r="AH66" s="549">
        <f t="shared" si="37"/>
        <v>0</v>
      </c>
      <c r="AI66" s="549">
        <f t="shared" si="38"/>
        <v>0</v>
      </c>
      <c r="AK66" s="549">
        <f t="shared" si="39"/>
        <v>0</v>
      </c>
      <c r="AL66" s="565">
        <f t="shared" si="40"/>
        <v>0</v>
      </c>
      <c r="AN66" s="599"/>
      <c r="AP66" s="26">
        <v>10</v>
      </c>
      <c r="AR66" s="275">
        <f t="shared" si="36"/>
        <v>824.02227103448217</v>
      </c>
      <c r="AS66" s="275">
        <f t="shared" si="34"/>
        <v>2550.6959630500191</v>
      </c>
      <c r="AT66" s="275">
        <f t="shared" si="34"/>
        <v>0</v>
      </c>
      <c r="AU66" s="275">
        <f t="shared" si="34"/>
        <v>0</v>
      </c>
      <c r="AV66" s="275">
        <f t="shared" si="34"/>
        <v>0</v>
      </c>
      <c r="AW66" s="275">
        <f t="shared" si="34"/>
        <v>0</v>
      </c>
      <c r="AX66" s="275">
        <f t="shared" si="34"/>
        <v>0</v>
      </c>
      <c r="AY66" s="275">
        <f t="shared" si="34"/>
        <v>0</v>
      </c>
      <c r="AZ66" s="275">
        <f t="shared" si="34"/>
        <v>0</v>
      </c>
      <c r="BA66" s="275">
        <f t="shared" si="34"/>
        <v>0</v>
      </c>
      <c r="BB66" s="275">
        <f t="shared" si="34"/>
        <v>0</v>
      </c>
      <c r="BC66" s="275">
        <f t="shared" si="34"/>
        <v>0</v>
      </c>
      <c r="BD66" s="275"/>
      <c r="BE66" s="562">
        <f>IF(AND(AP64&gt;0,12-'Input 4_RSV Season'!$AG$27+1&gt;AP64),IF(BE65&gt;0,BE65+1,1),0)</f>
        <v>0</v>
      </c>
      <c r="BF66" s="549">
        <f t="shared" si="41"/>
        <v>0</v>
      </c>
      <c r="BG66" s="565">
        <f t="shared" si="42"/>
        <v>0</v>
      </c>
      <c r="BI66" s="693"/>
      <c r="BJ66" s="565">
        <f t="shared" si="44"/>
        <v>0</v>
      </c>
    </row>
    <row r="67" spans="2:62" x14ac:dyDescent="0.3">
      <c r="B67" s="26">
        <v>11</v>
      </c>
      <c r="D67" s="856">
        <f>'WiS percent RSV_base'!E68</f>
        <v>4.7633461171569299E-3</v>
      </c>
      <c r="E67" s="246"/>
      <c r="F67" s="246"/>
      <c r="G67" s="246"/>
      <c r="H67" s="246"/>
      <c r="I67" s="246"/>
      <c r="J67" s="246"/>
      <c r="K67" s="246"/>
      <c r="L67" s="246"/>
      <c r="M67" s="246"/>
      <c r="N67" s="246"/>
      <c r="O67" s="246"/>
      <c r="R67" s="26">
        <v>11</v>
      </c>
      <c r="T67" s="276">
        <f t="shared" si="35"/>
        <v>129.39959137268676</v>
      </c>
      <c r="U67" s="276">
        <f t="shared" si="33"/>
        <v>0</v>
      </c>
      <c r="V67" s="276">
        <f t="shared" si="33"/>
        <v>0</v>
      </c>
      <c r="W67" s="276">
        <f t="shared" si="33"/>
        <v>0</v>
      </c>
      <c r="X67" s="276">
        <f t="shared" si="33"/>
        <v>0</v>
      </c>
      <c r="Y67" s="276">
        <f t="shared" si="33"/>
        <v>0</v>
      </c>
      <c r="Z67" s="276">
        <f t="shared" si="33"/>
        <v>0</v>
      </c>
      <c r="AA67" s="276">
        <f t="shared" si="33"/>
        <v>0</v>
      </c>
      <c r="AB67" s="276">
        <f t="shared" si="33"/>
        <v>0</v>
      </c>
      <c r="AC67" s="276">
        <f t="shared" si="33"/>
        <v>0</v>
      </c>
      <c r="AD67" s="276">
        <f t="shared" si="33"/>
        <v>0</v>
      </c>
      <c r="AE67" s="276">
        <f t="shared" si="33"/>
        <v>0</v>
      </c>
      <c r="AF67" s="275"/>
      <c r="AG67" s="562">
        <f>IF(AND(R21&gt;0,12-'Input 4_RSV Season'!$AG$27+1&gt;R21),IF(AG22&gt;0,AG22+1,1),0)</f>
        <v>0</v>
      </c>
      <c r="AH67" s="549">
        <f t="shared" si="37"/>
        <v>0</v>
      </c>
      <c r="AI67" s="549">
        <f t="shared" si="38"/>
        <v>0</v>
      </c>
      <c r="AK67" s="549">
        <f t="shared" si="39"/>
        <v>0</v>
      </c>
      <c r="AL67" s="565">
        <f t="shared" si="40"/>
        <v>0</v>
      </c>
      <c r="AN67" s="599"/>
      <c r="AP67" s="26">
        <v>11</v>
      </c>
      <c r="AR67" s="275">
        <f t="shared" si="36"/>
        <v>879.93441520066165</v>
      </c>
      <c r="AS67" s="275">
        <f t="shared" si="34"/>
        <v>0</v>
      </c>
      <c r="AT67" s="275">
        <f t="shared" si="34"/>
        <v>0</v>
      </c>
      <c r="AU67" s="275">
        <f t="shared" si="34"/>
        <v>0</v>
      </c>
      <c r="AV67" s="275">
        <f t="shared" si="34"/>
        <v>0</v>
      </c>
      <c r="AW67" s="275">
        <f t="shared" si="34"/>
        <v>0</v>
      </c>
      <c r="AX67" s="275">
        <f t="shared" si="34"/>
        <v>0</v>
      </c>
      <c r="AY67" s="275">
        <f t="shared" si="34"/>
        <v>0</v>
      </c>
      <c r="AZ67" s="275">
        <f t="shared" si="34"/>
        <v>0</v>
      </c>
      <c r="BA67" s="275">
        <f t="shared" si="34"/>
        <v>0</v>
      </c>
      <c r="BB67" s="275">
        <f t="shared" si="34"/>
        <v>0</v>
      </c>
      <c r="BC67" s="275">
        <f t="shared" si="34"/>
        <v>0</v>
      </c>
      <c r="BD67" s="275"/>
      <c r="BE67" s="562">
        <f>IF(AND(AP65&gt;0,12-'Input 4_RSV Season'!$AG$27+1&gt;AP65),IF(BE66&gt;0,BE66+1,1),0)</f>
        <v>0</v>
      </c>
      <c r="BF67" s="549">
        <f t="shared" si="41"/>
        <v>0</v>
      </c>
      <c r="BG67" s="565">
        <f t="shared" si="42"/>
        <v>0</v>
      </c>
      <c r="BI67" s="693"/>
      <c r="BJ67" s="565">
        <f t="shared" si="44"/>
        <v>0</v>
      </c>
    </row>
    <row r="68" spans="2:62" x14ac:dyDescent="0.3">
      <c r="C68" s="13"/>
      <c r="D68" s="14"/>
      <c r="E68" s="547"/>
      <c r="F68" s="13"/>
      <c r="G68" s="13"/>
      <c r="H68" s="14"/>
      <c r="I68" s="574"/>
      <c r="J68" s="574"/>
      <c r="K68" s="574"/>
      <c r="L68" s="597"/>
      <c r="M68" s="574"/>
      <c r="N68" s="574"/>
      <c r="O68" s="574"/>
      <c r="S68" s="13"/>
      <c r="T68" s="14"/>
      <c r="U68" s="547"/>
      <c r="V68" s="13"/>
      <c r="W68" s="13"/>
      <c r="X68" s="14"/>
      <c r="Y68" s="574"/>
      <c r="Z68" s="574"/>
      <c r="AA68" s="574"/>
      <c r="AB68" s="574"/>
      <c r="AC68" s="574"/>
      <c r="AD68" s="574"/>
      <c r="AE68" s="574"/>
      <c r="AF68" s="36"/>
      <c r="AG68" s="562">
        <f>IF(AND(R22&gt;0,12-'Input 4_RSV Season'!$AG$27+1&gt;R22),IF(AG23&gt;0,AG23+1,1),0)</f>
        <v>0</v>
      </c>
      <c r="AH68" s="549">
        <f t="shared" si="37"/>
        <v>0</v>
      </c>
      <c r="AI68" s="549">
        <f t="shared" si="38"/>
        <v>0</v>
      </c>
      <c r="AK68" s="549">
        <f t="shared" si="39"/>
        <v>0</v>
      </c>
      <c r="AL68" s="565">
        <f t="shared" si="40"/>
        <v>0</v>
      </c>
      <c r="AN68" s="599"/>
      <c r="AQ68" s="13"/>
      <c r="AR68" s="14"/>
      <c r="AS68" s="547"/>
      <c r="AT68" s="13"/>
      <c r="AU68" s="13"/>
      <c r="AV68" s="14"/>
      <c r="AW68" s="574"/>
      <c r="AX68" s="574"/>
      <c r="AY68" s="574"/>
      <c r="AZ68" s="574"/>
      <c r="BA68" s="574"/>
      <c r="BB68" s="574"/>
      <c r="BC68" s="574"/>
      <c r="BD68" s="36"/>
      <c r="BE68" s="562">
        <f>IF(AND(AP66&gt;0,12-'Input 4_RSV Season'!$AG$27+1&gt;AP66),IF(BE67&gt;0,BE67+1,1),0)</f>
        <v>0</v>
      </c>
      <c r="BF68" s="549">
        <f t="shared" si="41"/>
        <v>0</v>
      </c>
      <c r="BG68" s="565">
        <f t="shared" si="42"/>
        <v>0</v>
      </c>
      <c r="BI68" s="693"/>
      <c r="BJ68" s="565">
        <f t="shared" si="44"/>
        <v>0</v>
      </c>
    </row>
    <row r="69" spans="2:62" x14ac:dyDescent="0.3">
      <c r="S69" s="13"/>
      <c r="T69" s="13"/>
      <c r="U69" s="575"/>
      <c r="V69" s="13"/>
      <c r="W69" s="13" t="s">
        <v>513</v>
      </c>
      <c r="X69" s="88">
        <f>SUM(T57:AE67)</f>
        <v>19553.027495779395</v>
      </c>
      <c r="Y69" s="70"/>
      <c r="Z69" s="13"/>
      <c r="AA69" s="13"/>
      <c r="AB69" s="13"/>
      <c r="AC69" s="13"/>
      <c r="AD69" s="13"/>
      <c r="AE69" s="70"/>
      <c r="AF69" s="70"/>
      <c r="AG69" s="562">
        <f>IF(AND(R23&gt;0,12-'Input 4_RSV Season'!$AG$27+1&gt;R23),IF(AG24&gt;0,AG24+1,1),0)</f>
        <v>0</v>
      </c>
      <c r="AH69" s="550">
        <f t="shared" si="37"/>
        <v>0</v>
      </c>
      <c r="AI69" s="550">
        <f t="shared" si="38"/>
        <v>0</v>
      </c>
      <c r="AJ69" s="13"/>
      <c r="AK69" s="550">
        <f t="shared" si="39"/>
        <v>0</v>
      </c>
      <c r="AL69" s="566">
        <f t="shared" si="40"/>
        <v>0</v>
      </c>
      <c r="AN69" s="599"/>
      <c r="AQ69" s="13"/>
      <c r="AR69" s="13"/>
      <c r="AS69" s="575"/>
      <c r="AT69" s="13"/>
      <c r="AU69" s="13"/>
      <c r="AV69" s="14"/>
      <c r="AW69" s="70"/>
      <c r="AX69" s="13"/>
      <c r="AY69" s="13"/>
      <c r="AZ69" s="13"/>
      <c r="BA69" s="13"/>
      <c r="BB69" s="13"/>
      <c r="BC69" s="70"/>
      <c r="BD69" s="70"/>
      <c r="BE69" s="562">
        <f>IF(AND(AP67&gt;0,12-'Input 4_RSV Season'!$AG$27+1&gt;AP67),IF(BE68&gt;0,BE68+1,1),0)</f>
        <v>0</v>
      </c>
      <c r="BF69" s="550">
        <f t="shared" si="41"/>
        <v>0</v>
      </c>
      <c r="BG69" s="566">
        <f t="shared" si="42"/>
        <v>0</v>
      </c>
      <c r="BI69" s="694"/>
      <c r="BJ69" s="566">
        <f t="shared" si="44"/>
        <v>0</v>
      </c>
    </row>
    <row r="70" spans="2:62" x14ac:dyDescent="0.3">
      <c r="S70" s="13"/>
      <c r="T70" s="14"/>
      <c r="U70" s="70"/>
      <c r="V70" s="13"/>
      <c r="W70" s="13"/>
      <c r="X70" s="14"/>
      <c r="Y70" s="70"/>
      <c r="Z70" s="13"/>
      <c r="AA70" s="13"/>
      <c r="AB70" s="13"/>
      <c r="AC70" s="13"/>
      <c r="AD70" s="13"/>
      <c r="AE70" s="70"/>
      <c r="AF70" s="70"/>
      <c r="AG70" s="538"/>
      <c r="AH70" s="5">
        <f>SUM(AH58:AH69)</f>
        <v>14807.415411548516</v>
      </c>
      <c r="AI70" s="5">
        <f>SUM(AI58:AI69)</f>
        <v>290.51715182425818</v>
      </c>
      <c r="AJ70" s="593"/>
      <c r="AK70" s="5">
        <f>SUM(AK58:AK69)</f>
        <v>14807.415411548516</v>
      </c>
      <c r="AL70" s="5">
        <f>SUM(AL58:AL69)</f>
        <v>290.51715182425818</v>
      </c>
      <c r="AN70" s="599"/>
      <c r="AQ70" s="13"/>
      <c r="AR70" s="14"/>
      <c r="AS70" s="70"/>
      <c r="AT70" s="13"/>
      <c r="AU70" s="13"/>
      <c r="AV70" s="14"/>
      <c r="AW70" s="70"/>
      <c r="AX70" s="13"/>
      <c r="AY70" s="13" t="s">
        <v>512</v>
      </c>
      <c r="AZ70" s="88">
        <f>SUM(AR57:BC67)</f>
        <v>132963.18506406623</v>
      </c>
      <c r="BA70" s="13"/>
      <c r="BB70" s="13"/>
      <c r="BC70" s="70"/>
      <c r="BD70" s="70"/>
      <c r="BE70" s="538"/>
      <c r="BF70" s="5">
        <f>SUM(BF58:BF69)</f>
        <v>100692.39232191614</v>
      </c>
      <c r="BG70" s="5">
        <f>SUM(BG58:BG69)</f>
        <v>1975.5552346373117</v>
      </c>
      <c r="BI70" s="5">
        <f>SUM(BI58:BI69)</f>
        <v>21921.502759491104</v>
      </c>
      <c r="BJ70" s="5">
        <f>SUM(BJ58:BJ69)</f>
        <v>80746.444797062344</v>
      </c>
    </row>
    <row r="71" spans="2:62" ht="15" thickBot="1" x14ac:dyDescent="0.35">
      <c r="S71" s="13"/>
      <c r="T71" s="14"/>
      <c r="U71" s="70"/>
      <c r="V71" s="13"/>
      <c r="W71" s="13"/>
      <c r="X71" s="14"/>
      <c r="Y71" s="70"/>
      <c r="Z71" s="13"/>
      <c r="AA71" s="510"/>
      <c r="AB71" s="510"/>
      <c r="AC71" s="510"/>
      <c r="AD71" s="510"/>
      <c r="AE71" s="70"/>
      <c r="AF71" s="70"/>
      <c r="AG71" s="538"/>
      <c r="AN71" s="599"/>
      <c r="AQ71" s="13"/>
      <c r="AR71" s="14"/>
      <c r="AS71" s="70"/>
      <c r="AT71" s="13"/>
      <c r="AU71" s="13"/>
      <c r="AV71" s="14"/>
      <c r="AW71" s="70"/>
      <c r="AX71" s="13"/>
      <c r="AY71" s="510"/>
      <c r="AZ71" s="510"/>
      <c r="BA71" s="510"/>
      <c r="BB71" s="510"/>
      <c r="BC71" s="70"/>
      <c r="BD71" s="70"/>
      <c r="BE71" s="538"/>
    </row>
    <row r="72" spans="2:62" ht="16.2" thickBot="1" x14ac:dyDescent="0.35">
      <c r="S72" s="13"/>
      <c r="T72" s="14"/>
      <c r="U72" s="575"/>
      <c r="V72" s="13"/>
      <c r="W72" s="13"/>
      <c r="X72" s="14"/>
      <c r="Y72" s="70"/>
      <c r="Z72" s="13"/>
      <c r="AA72" s="510"/>
      <c r="AB72" s="70"/>
      <c r="AC72" s="70"/>
      <c r="AD72" s="70"/>
      <c r="AE72" s="70"/>
      <c r="AF72" s="70"/>
      <c r="AG72" s="538"/>
      <c r="AH72" s="577">
        <f>AH70/('Input 1_Population'!$G$24*$I$4)</f>
        <v>0.76584319385710953</v>
      </c>
      <c r="AI72" s="578">
        <f>AI70/('Input 1_Population'!$G$24*$I$4)</f>
        <v>1.5025619072578801E-2</v>
      </c>
      <c r="AJ72" s="576"/>
      <c r="AK72" s="577">
        <f>AK70/('Input 1_Population'!$G$24*$I$4)</f>
        <v>0.76584319385710953</v>
      </c>
      <c r="AL72" s="578">
        <f>AL70/('Input 1_Population'!$G$24*$I$4)</f>
        <v>1.5025619072578801E-2</v>
      </c>
      <c r="AN72" s="599"/>
      <c r="AQ72" s="13"/>
      <c r="AR72" s="14"/>
      <c r="AS72" s="575"/>
      <c r="AT72" s="13"/>
      <c r="AU72" s="13"/>
      <c r="AV72" s="14"/>
      <c r="AW72" s="70"/>
      <c r="AX72" s="13"/>
      <c r="AY72" s="510"/>
      <c r="AZ72" s="70"/>
      <c r="BA72" s="70"/>
      <c r="BB72" s="70"/>
      <c r="BC72" s="70"/>
      <c r="BD72" s="70"/>
      <c r="BE72" s="538"/>
      <c r="BF72" s="577">
        <f>BF70/((1-'Input 1_Population'!$G$24)*$I$4)</f>
        <v>5.1541898297766689E-2</v>
      </c>
      <c r="BG72" s="577">
        <f>BG70/((1-'Input 1_Population'!$G$24)*$I$4)</f>
        <v>1.0112369429039231E-3</v>
      </c>
      <c r="BI72" s="577">
        <f>BI70/((1-'Input 1_Population'!$G$24)*$I$4)</f>
        <v>1.1221064866069132E-2</v>
      </c>
      <c r="BJ72" s="577">
        <f>BJ70/((1-'Input 1_Population'!$G$24)*$I$4)</f>
        <v>4.133207037460148E-2</v>
      </c>
    </row>
    <row r="73" spans="2:62" ht="16.2" thickBot="1" x14ac:dyDescent="0.35">
      <c r="S73" s="13"/>
      <c r="T73" s="14"/>
      <c r="U73" s="70"/>
      <c r="V73" s="13"/>
      <c r="W73" s="13"/>
      <c r="X73" s="14"/>
      <c r="Y73" s="70"/>
      <c r="Z73" s="13"/>
      <c r="AA73" s="510"/>
      <c r="AB73" s="70"/>
      <c r="AC73" s="70"/>
      <c r="AD73" s="70"/>
      <c r="AE73" s="70"/>
      <c r="AF73" s="70"/>
      <c r="AG73" s="538"/>
      <c r="AH73" s="598" t="s">
        <v>326</v>
      </c>
      <c r="AI73" s="578">
        <f>SUM(AH72:AI72)</f>
        <v>0.78086881292968835</v>
      </c>
      <c r="AK73" s="598" t="s">
        <v>326</v>
      </c>
      <c r="AL73" s="578">
        <f>SUM(AK72:AL72)</f>
        <v>0.78086881292968835</v>
      </c>
      <c r="AN73" s="599"/>
      <c r="AQ73" s="13"/>
      <c r="AR73" s="14"/>
      <c r="AS73" s="70"/>
      <c r="AT73" s="13"/>
      <c r="AU73" s="13"/>
      <c r="AV73" s="14"/>
      <c r="AW73" s="70"/>
      <c r="AX73" s="13"/>
      <c r="AY73" s="510"/>
      <c r="AZ73" s="70"/>
      <c r="BA73" s="70"/>
      <c r="BB73" s="70"/>
      <c r="BC73" s="70"/>
      <c r="BD73" s="70"/>
      <c r="BE73" s="538"/>
      <c r="BF73" s="598" t="s">
        <v>326</v>
      </c>
      <c r="BG73" s="578">
        <f>SUM(BF72:BG72)</f>
        <v>5.2553135240670609E-2</v>
      </c>
      <c r="BI73" s="598" t="s">
        <v>326</v>
      </c>
      <c r="BJ73" s="578">
        <f>SUM(BI72:BJ72)</f>
        <v>5.2553135240670609E-2</v>
      </c>
    </row>
    <row r="74" spans="2:62" x14ac:dyDescent="0.3">
      <c r="AN74" s="599"/>
    </row>
    <row r="79" spans="2:62" x14ac:dyDescent="0.3">
      <c r="R79" t="s">
        <v>522</v>
      </c>
    </row>
  </sheetData>
  <mergeCells count="20">
    <mergeCell ref="BI11:BJ11"/>
    <mergeCell ref="BI32:BJ32"/>
    <mergeCell ref="BI55:BJ55"/>
    <mergeCell ref="AQ3:BB3"/>
    <mergeCell ref="BF11:BG11"/>
    <mergeCell ref="BF32:BG32"/>
    <mergeCell ref="BF55:BG55"/>
    <mergeCell ref="R2:S2"/>
    <mergeCell ref="AH11:AI11"/>
    <mergeCell ref="AK11:AL11"/>
    <mergeCell ref="S3:AD3"/>
    <mergeCell ref="AG8:AM8"/>
    <mergeCell ref="U1:AM2"/>
    <mergeCell ref="C8:N8"/>
    <mergeCell ref="C29:N29"/>
    <mergeCell ref="AH32:AI32"/>
    <mergeCell ref="AK32:AL32"/>
    <mergeCell ref="AH55:AI55"/>
    <mergeCell ref="AK55:AL55"/>
    <mergeCell ref="C52:N5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CG74"/>
  <sheetViews>
    <sheetView topLeftCell="A31" workbookViewId="0">
      <pane xSplit="4" topLeftCell="AT1" activePane="topRight" state="frozen"/>
      <selection activeCell="BC23" sqref="BC23"/>
      <selection pane="topRight" activeCell="BC23" sqref="BC23"/>
    </sheetView>
  </sheetViews>
  <sheetFormatPr defaultRowHeight="14.4" x14ac:dyDescent="0.3"/>
  <cols>
    <col min="1" max="1" width="2.88671875" customWidth="1"/>
    <col min="2" max="2" width="12.5546875" style="24" customWidth="1"/>
    <col min="3" max="3" width="9.109375" style="24"/>
    <col min="4" max="4" width="3.44140625" customWidth="1"/>
    <col min="5" max="10" width="7.109375" style="27" bestFit="1" customWidth="1"/>
    <col min="11" max="16" width="9" style="39" customWidth="1"/>
    <col min="17" max="17" width="6.6640625" customWidth="1"/>
    <col min="18" max="18" width="2.88671875" customWidth="1"/>
    <col min="19" max="30" width="9.109375" customWidth="1"/>
    <col min="31" max="31" width="3.6640625" customWidth="1"/>
    <col min="32" max="32" width="9.6640625" style="5" bestFit="1" customWidth="1"/>
    <col min="33" max="35" width="10.6640625" style="5" bestFit="1" customWidth="1"/>
    <col min="36" max="37" width="9.6640625" style="5" bestFit="1" customWidth="1"/>
    <col min="38" max="40" width="7.5546875" style="5" bestFit="1" customWidth="1"/>
    <col min="41" max="43" width="8.5546875" style="5" bestFit="1" customWidth="1"/>
    <col min="45" max="53" width="9.6640625" customWidth="1"/>
    <col min="54" max="55" width="10.44140625" bestFit="1" customWidth="1"/>
    <col min="56" max="58" width="7.33203125" customWidth="1"/>
    <col min="59" max="59" width="10.88671875" customWidth="1"/>
    <col min="60" max="60" width="10.109375" customWidth="1"/>
    <col min="61" max="61" width="1.88671875" customWidth="1"/>
    <col min="62" max="62" width="10" customWidth="1"/>
    <col min="63" max="63" width="10.44140625" customWidth="1"/>
    <col min="64" max="64" width="7.109375" customWidth="1"/>
    <col min="65" max="65" width="7.33203125" customWidth="1"/>
    <col min="66" max="66" width="5.88671875" customWidth="1"/>
    <col min="67" max="71" width="9.6640625" customWidth="1"/>
    <col min="72" max="72" width="10.44140625" bestFit="1" customWidth="1"/>
    <col min="73" max="78" width="9.6640625" customWidth="1"/>
    <col min="79" max="79" width="4.5546875" customWidth="1"/>
    <col min="80" max="80" width="7.33203125" customWidth="1"/>
    <col min="81" max="81" width="10" customWidth="1"/>
    <col min="82" max="82" width="10.44140625" customWidth="1"/>
    <col min="84" max="84" width="13.21875" bestFit="1" customWidth="1"/>
  </cols>
  <sheetData>
    <row r="1" spans="2:85" ht="15.75" customHeight="1" thickBot="1" x14ac:dyDescent="0.35">
      <c r="AS1" s="1142" t="s">
        <v>330</v>
      </c>
      <c r="AT1" s="1142"/>
      <c r="AU1" s="1142"/>
      <c r="AV1" s="1142"/>
      <c r="AW1" s="1142"/>
      <c r="AX1" s="1142"/>
      <c r="AY1" s="1142"/>
      <c r="AZ1" s="1142"/>
      <c r="BA1" s="1142"/>
      <c r="BB1" s="1142"/>
      <c r="BC1" s="1142"/>
      <c r="BD1" s="1142"/>
      <c r="BE1" s="1142"/>
      <c r="BF1" s="1142"/>
      <c r="BG1" s="1142"/>
      <c r="BH1" s="1142"/>
      <c r="BI1" s="1142"/>
      <c r="BJ1" s="1142"/>
      <c r="BK1" s="1142"/>
      <c r="BL1" s="1142"/>
      <c r="BM1" s="1142"/>
      <c r="CB1" s="22"/>
      <c r="CC1" s="22"/>
      <c r="CD1" s="22"/>
    </row>
    <row r="2" spans="2:85" ht="18.600000000000001" thickBot="1" x14ac:dyDescent="0.4">
      <c r="B2" s="1130" t="s">
        <v>167</v>
      </c>
      <c r="C2" s="1131"/>
      <c r="E2" s="1132" t="s">
        <v>523</v>
      </c>
      <c r="F2" s="1132"/>
      <c r="G2" s="1132"/>
      <c r="H2" s="1132"/>
      <c r="I2" s="1132"/>
      <c r="J2" s="1132"/>
      <c r="K2" s="1132"/>
      <c r="L2" s="1132"/>
      <c r="M2" s="1132"/>
      <c r="N2" s="1132"/>
      <c r="O2" s="1132"/>
      <c r="P2" s="1132"/>
      <c r="S2" s="1144" t="s">
        <v>524</v>
      </c>
      <c r="T2" s="1144"/>
      <c r="U2" s="1144"/>
      <c r="V2" s="1144"/>
      <c r="W2" s="1144"/>
      <c r="X2" s="1144"/>
      <c r="Y2" s="1144"/>
      <c r="Z2" s="1144"/>
      <c r="AA2" s="1144"/>
      <c r="AB2" s="1144"/>
      <c r="AC2" s="1144"/>
      <c r="AD2" s="1144"/>
      <c r="AE2" s="1144"/>
      <c r="AF2" s="1144"/>
      <c r="AG2" s="1144"/>
      <c r="AH2" s="1144"/>
      <c r="AI2" s="1144"/>
      <c r="AJ2" s="1144"/>
      <c r="AK2" s="1144"/>
      <c r="AL2" s="1144"/>
      <c r="AM2" s="1144"/>
      <c r="AN2" s="1144"/>
      <c r="AO2" s="1144"/>
      <c r="AP2" s="1144"/>
      <c r="AQ2" s="1144"/>
      <c r="AS2" s="932"/>
      <c r="AT2" s="932"/>
      <c r="AU2" s="932"/>
      <c r="AV2" s="932"/>
      <c r="AW2" s="932"/>
      <c r="AX2" s="932"/>
      <c r="AY2" s="932"/>
      <c r="AZ2" s="932"/>
      <c r="BA2" s="932"/>
      <c r="BB2" s="932"/>
      <c r="BC2" s="932"/>
      <c r="BD2" s="932"/>
      <c r="BE2" s="932"/>
      <c r="BF2" s="932"/>
      <c r="BG2" s="932"/>
      <c r="BH2" s="932"/>
      <c r="BI2" s="932"/>
      <c r="BJ2" s="932"/>
      <c r="BK2" s="932"/>
      <c r="BL2" s="932"/>
      <c r="BM2" s="932"/>
      <c r="BN2" s="543"/>
      <c r="BO2" s="543"/>
      <c r="BP2" s="543"/>
      <c r="BQ2" s="543"/>
      <c r="BR2" s="543"/>
      <c r="BS2" s="543"/>
      <c r="BT2" s="543"/>
      <c r="BU2" s="543"/>
      <c r="BV2" s="543"/>
      <c r="BW2" s="543"/>
      <c r="BX2" s="543"/>
      <c r="BY2" s="543"/>
      <c r="BZ2" s="543"/>
      <c r="CA2" s="543"/>
      <c r="CB2" s="579"/>
      <c r="CC2" s="579"/>
      <c r="CD2" s="579"/>
    </row>
    <row r="3" spans="2:85" ht="15" thickBot="1" x14ac:dyDescent="0.35">
      <c r="E3" s="1134" t="s">
        <v>18</v>
      </c>
      <c r="F3" s="1134"/>
      <c r="G3" s="1134"/>
      <c r="H3" s="1134"/>
      <c r="I3" s="1134"/>
      <c r="J3" s="1134"/>
      <c r="K3" s="1134"/>
      <c r="L3" s="1134"/>
      <c r="M3" s="1134"/>
      <c r="N3" s="1134"/>
      <c r="O3" s="1134"/>
      <c r="P3" s="1134"/>
      <c r="S3" s="1143" t="s">
        <v>20</v>
      </c>
      <c r="T3" s="1143"/>
      <c r="U3" s="1143"/>
      <c r="V3" s="1143"/>
      <c r="W3" s="1143"/>
      <c r="X3" s="1143"/>
      <c r="Y3" s="1143"/>
      <c r="Z3" s="1143"/>
      <c r="AA3" s="1143"/>
      <c r="AB3" s="1143"/>
      <c r="AC3" s="1143"/>
      <c r="AD3" s="1143"/>
      <c r="AF3" s="1145" t="s">
        <v>19</v>
      </c>
      <c r="AG3" s="1145"/>
      <c r="AH3" s="1145"/>
      <c r="AI3" s="1145"/>
      <c r="AJ3" s="1145"/>
      <c r="AK3" s="1145"/>
      <c r="AL3" s="1145"/>
      <c r="AM3" s="1145"/>
      <c r="AN3" s="1145"/>
      <c r="AO3" s="1145"/>
      <c r="AP3" s="1145"/>
      <c r="AQ3" s="1145"/>
      <c r="BF3" s="545"/>
      <c r="BG3" s="545"/>
      <c r="BH3" s="545"/>
      <c r="BI3" s="545"/>
      <c r="BJ3" s="545"/>
      <c r="BK3" s="545"/>
      <c r="BL3" s="545"/>
      <c r="CB3" s="545"/>
      <c r="CC3" s="545"/>
      <c r="CD3" s="545"/>
    </row>
    <row r="4" spans="2:85" x14ac:dyDescent="0.3">
      <c r="AS4" s="22"/>
      <c r="AT4" s="22"/>
      <c r="AU4" s="22"/>
      <c r="AV4" s="22"/>
      <c r="AW4" s="22"/>
      <c r="AX4" s="22"/>
      <c r="AY4" s="22"/>
      <c r="AZ4" s="22"/>
      <c r="BA4" s="22"/>
      <c r="BB4" s="22"/>
      <c r="BC4" s="22"/>
      <c r="BD4" s="22"/>
      <c r="BE4" t="s">
        <v>316</v>
      </c>
      <c r="BM4" s="22"/>
      <c r="CB4" t="s">
        <v>316</v>
      </c>
    </row>
    <row r="5" spans="2:85" x14ac:dyDescent="0.3">
      <c r="E5" s="1133" t="s">
        <v>17</v>
      </c>
      <c r="F5" s="1133"/>
      <c r="G5" s="1133"/>
      <c r="H5" s="1133"/>
      <c r="I5" s="1133"/>
      <c r="J5" s="1133"/>
      <c r="K5" s="1133"/>
      <c r="L5" s="1133"/>
      <c r="M5" s="1133"/>
      <c r="N5" s="1133"/>
      <c r="O5" s="1133"/>
      <c r="P5" s="1133"/>
      <c r="S5" s="1136" t="s">
        <v>17</v>
      </c>
      <c r="T5" s="1136"/>
      <c r="U5" s="1136"/>
      <c r="V5" s="1136"/>
      <c r="W5" s="1136"/>
      <c r="X5" s="1136"/>
      <c r="Y5" s="1136"/>
      <c r="Z5" s="1136"/>
      <c r="AA5" s="1136"/>
      <c r="AB5" s="1136"/>
      <c r="AC5" s="1136"/>
      <c r="AD5" s="1136"/>
      <c r="AF5" s="1146" t="s">
        <v>17</v>
      </c>
      <c r="AG5" s="1146"/>
      <c r="AH5" s="1146"/>
      <c r="AI5" s="1146"/>
      <c r="AJ5" s="1146"/>
      <c r="AK5" s="1146"/>
      <c r="AL5" s="1146"/>
      <c r="AM5" s="1146"/>
      <c r="AN5" s="1146"/>
      <c r="AO5" s="1146"/>
      <c r="AP5" s="1146"/>
      <c r="AQ5" s="1146"/>
      <c r="AS5" s="22"/>
      <c r="AT5" s="22"/>
      <c r="AU5" s="22"/>
      <c r="AV5" s="22"/>
      <c r="AW5" s="22"/>
      <c r="AX5" s="22" t="s">
        <v>24</v>
      </c>
      <c r="AY5" s="22"/>
      <c r="BA5" s="40" t="s">
        <v>318</v>
      </c>
      <c r="BB5" s="49">
        <f>Antibody_Candidate!$C$48</f>
        <v>1972937.5</v>
      </c>
      <c r="BD5" s="22"/>
      <c r="BE5" s="22"/>
      <c r="BG5" s="1117" t="s">
        <v>311</v>
      </c>
      <c r="BH5" s="1117"/>
      <c r="BI5" s="1117"/>
      <c r="BJ5" s="1117"/>
      <c r="BK5" s="1117"/>
      <c r="BM5" s="22"/>
      <c r="CC5" s="1117"/>
      <c r="CD5" s="1117"/>
    </row>
    <row r="6" spans="2:85" x14ac:dyDescent="0.3">
      <c r="B6" s="1135" t="s">
        <v>108</v>
      </c>
      <c r="C6" s="1135"/>
      <c r="E6" s="41">
        <v>1</v>
      </c>
      <c r="F6" s="41">
        <v>2</v>
      </c>
      <c r="G6" s="41">
        <v>3</v>
      </c>
      <c r="H6" s="41">
        <v>4</v>
      </c>
      <c r="I6" s="41">
        <v>5</v>
      </c>
      <c r="J6" s="41">
        <v>6</v>
      </c>
      <c r="K6" s="41">
        <v>7</v>
      </c>
      <c r="L6" s="41">
        <v>8</v>
      </c>
      <c r="M6" s="41">
        <v>9</v>
      </c>
      <c r="N6" s="41">
        <v>10</v>
      </c>
      <c r="O6" s="272">
        <v>11</v>
      </c>
      <c r="P6" s="41">
        <v>12</v>
      </c>
      <c r="S6" s="1">
        <v>1</v>
      </c>
      <c r="T6" s="1">
        <v>2</v>
      </c>
      <c r="U6" s="1">
        <v>3</v>
      </c>
      <c r="V6" s="1">
        <v>4</v>
      </c>
      <c r="W6" s="1">
        <v>5</v>
      </c>
      <c r="X6" s="1">
        <v>6</v>
      </c>
      <c r="Y6" s="1">
        <v>7</v>
      </c>
      <c r="Z6" s="1">
        <v>8</v>
      </c>
      <c r="AA6" s="1">
        <v>9</v>
      </c>
      <c r="AB6" s="1">
        <v>10</v>
      </c>
      <c r="AC6" s="1">
        <v>11</v>
      </c>
      <c r="AD6" s="1">
        <v>12</v>
      </c>
      <c r="AF6" s="36">
        <v>1</v>
      </c>
      <c r="AG6" s="36">
        <v>2</v>
      </c>
      <c r="AH6" s="36">
        <v>3</v>
      </c>
      <c r="AI6" s="36">
        <v>4</v>
      </c>
      <c r="AJ6" s="36">
        <v>5</v>
      </c>
      <c r="AK6" s="36">
        <v>6</v>
      </c>
      <c r="AL6" s="36">
        <v>7</v>
      </c>
      <c r="AM6" s="36">
        <v>8</v>
      </c>
      <c r="AN6" s="36">
        <v>9</v>
      </c>
      <c r="AO6" s="36">
        <v>10</v>
      </c>
      <c r="AP6" s="36">
        <v>11</v>
      </c>
      <c r="AQ6" s="36">
        <v>12</v>
      </c>
      <c r="AS6" s="22"/>
      <c r="AT6" s="22"/>
      <c r="AU6" s="22"/>
      <c r="AV6" s="22"/>
      <c r="AX6" s="40" t="s">
        <v>156</v>
      </c>
      <c r="AY6" s="840">
        <f>Ratios!$N$2</f>
        <v>3945875</v>
      </c>
      <c r="BA6" s="40" t="s">
        <v>319</v>
      </c>
      <c r="BB6" s="49">
        <f>Antibody_Candidate!$AD$48</f>
        <v>1972937.5</v>
      </c>
      <c r="BD6" s="1"/>
      <c r="BE6" s="1"/>
      <c r="BG6" s="1129" t="s">
        <v>117</v>
      </c>
      <c r="BH6" s="1129"/>
      <c r="BI6" s="57"/>
      <c r="BJ6" s="1122" t="s">
        <v>216</v>
      </c>
      <c r="BK6" s="1122"/>
      <c r="BM6" s="1"/>
      <c r="BO6" s="1"/>
      <c r="CC6" s="1122" t="s">
        <v>216</v>
      </c>
      <c r="CD6" s="1122"/>
      <c r="CF6" s="1122" t="s">
        <v>226</v>
      </c>
      <c r="CG6" s="1122"/>
    </row>
    <row r="7" spans="2:85" ht="16.2" thickBot="1" x14ac:dyDescent="0.35">
      <c r="B7" s="31" t="s">
        <v>14</v>
      </c>
      <c r="C7" s="31" t="s">
        <v>511</v>
      </c>
      <c r="D7" s="25"/>
      <c r="E7" s="247">
        <f>'Input 4_RSV Season'!E15</f>
        <v>7.9000000000000001E-2</v>
      </c>
      <c r="F7" s="247">
        <f>'Input 4_RSV Season'!E16</f>
        <v>0.22899999999999998</v>
      </c>
      <c r="G7" s="247">
        <f>'Input 4_RSV Season'!E17</f>
        <v>0.32600000000000001</v>
      </c>
      <c r="H7" s="247">
        <f>'Input 4_RSV Season'!E18</f>
        <v>0.218</v>
      </c>
      <c r="I7" s="247">
        <f>'Input 4_RSV Season'!E19</f>
        <v>0.11700000000000001</v>
      </c>
      <c r="J7" s="247">
        <f>'Input 4_RSV Season'!E20</f>
        <v>3.1E-2</v>
      </c>
      <c r="K7" s="247">
        <f>'Input 4_RSV Season'!E21</f>
        <v>0</v>
      </c>
      <c r="L7" s="247">
        <f>'Input 4_RSV Season'!E22</f>
        <v>0</v>
      </c>
      <c r="M7" s="247">
        <f>'Input 4_RSV Season'!E23</f>
        <v>0</v>
      </c>
      <c r="N7" s="271">
        <f>'Input 4_RSV Season'!E24</f>
        <v>0</v>
      </c>
      <c r="O7" s="247">
        <f>'Input 4_RSV Season'!E13</f>
        <v>0</v>
      </c>
      <c r="P7" s="247">
        <f>'Input 4_RSV Season'!E14</f>
        <v>0</v>
      </c>
      <c r="Q7" s="248">
        <f>SUM(E7:P7)</f>
        <v>1</v>
      </c>
      <c r="R7" s="23"/>
      <c r="BF7" s="561" t="s">
        <v>314</v>
      </c>
      <c r="BG7" s="1123" t="s">
        <v>312</v>
      </c>
      <c r="BH7" s="1126" t="s">
        <v>313</v>
      </c>
      <c r="BI7" s="57"/>
      <c r="BJ7" s="1123" t="s">
        <v>312</v>
      </c>
      <c r="BK7" s="1126" t="s">
        <v>313</v>
      </c>
      <c r="CB7" s="561" t="s">
        <v>314</v>
      </c>
      <c r="CC7" s="1123" t="s">
        <v>312</v>
      </c>
      <c r="CD7" s="1126" t="s">
        <v>313</v>
      </c>
      <c r="CF7" s="1140" t="s">
        <v>313</v>
      </c>
      <c r="CG7" s="1140"/>
    </row>
    <row r="8" spans="2:85" x14ac:dyDescent="0.3">
      <c r="B8" s="26">
        <v>0</v>
      </c>
      <c r="C8" s="293">
        <f>'Input 2_RSV Rates'!V10*'Input 3_Clinical Severity'!$S$9</f>
        <v>10.3</v>
      </c>
      <c r="E8" s="20">
        <f>($C8/(SUM($C$8:$C$19)))*E$7</f>
        <v>1.1131326949384407E-2</v>
      </c>
      <c r="F8" s="20">
        <f t="shared" ref="F8:P8" si="0">($C8/(SUM($C$8:$C$19)))*F$7</f>
        <v>3.2266757865937072E-2</v>
      </c>
      <c r="G8" s="20">
        <f t="shared" si="0"/>
        <v>4.5934336525307803E-2</v>
      </c>
      <c r="H8" s="20">
        <f t="shared" si="0"/>
        <v>3.0716826265389879E-2</v>
      </c>
      <c r="I8" s="20">
        <f t="shared" si="0"/>
        <v>1.6485636114911082E-2</v>
      </c>
      <c r="J8" s="20">
        <f t="shared" si="0"/>
        <v>4.3679890560875513E-3</v>
      </c>
      <c r="K8" s="20">
        <f t="shared" si="0"/>
        <v>0</v>
      </c>
      <c r="L8" s="20">
        <f t="shared" si="0"/>
        <v>0</v>
      </c>
      <c r="M8" s="20">
        <f t="shared" si="0"/>
        <v>0</v>
      </c>
      <c r="N8" s="20">
        <f t="shared" si="0"/>
        <v>0</v>
      </c>
      <c r="O8" s="86">
        <f t="shared" si="0"/>
        <v>0</v>
      </c>
      <c r="P8" s="20">
        <f t="shared" si="0"/>
        <v>0</v>
      </c>
      <c r="S8" s="852">
        <f>IF('Input 5_Product Uptake'!$M$9=0,E8*Ratios!$N$23,E8*Ratios!$N$23*Ratios!$Z$23)</f>
        <v>49.719635134352067</v>
      </c>
      <c r="T8" s="852">
        <f>IF('Input 5_Product Uptake'!$M$9=0,F8*Ratios!$N$23,F8*Ratios!$N$23*Ratios!$Z$23)</f>
        <v>144.12400564261549</v>
      </c>
      <c r="U8" s="852">
        <f>IF('Input 5_Product Uptake'!$M$9=0,G8*Ratios!$N$23,G8*Ratios!$N$23*Ratios!$Z$23)</f>
        <v>205.17216523795921</v>
      </c>
      <c r="V8" s="852">
        <f>IF('Input 5_Product Uptake'!$M$9=0,H8*Ratios!$N$23,H8*Ratios!$N$23*Ratios!$Z$23)</f>
        <v>137.20101847200951</v>
      </c>
      <c r="W8" s="852">
        <f>IF('Input 5_Product Uptake'!$M$9=0,I8*Ratios!$N$23,I8*Ratios!$N$23*Ratios!$Z$23)</f>
        <v>73.635408996445477</v>
      </c>
      <c r="X8" s="852">
        <f>IF('Input 5_Product Uptake'!$M$9=0,J8*Ratios!$N$23,J8*Ratios!$N$23*Ratios!$Z$23)</f>
        <v>19.510236571707775</v>
      </c>
      <c r="Y8" s="852">
        <f>IF('Input 5_Product Uptake'!$M$9=0,K8*Ratios!$N$23,K8*Ratios!$N$23*Ratios!$Z$23)</f>
        <v>0</v>
      </c>
      <c r="Z8" s="852">
        <f>IF('Input 5_Product Uptake'!$M$9=0,L8*Ratios!$N$23,L8*Ratios!$N$23*Ratios!$Z$23)</f>
        <v>0</v>
      </c>
      <c r="AA8" s="852">
        <f>IF('Input 5_Product Uptake'!$M$9=0,M8*Ratios!$N$23,M8*Ratios!$N$23*Ratios!$Z$23)</f>
        <v>0</v>
      </c>
      <c r="AB8" s="852">
        <f>IF('Input 5_Product Uptake'!$M$9=0,N8*Ratios!$N$23,N8*Ratios!$N$23*Ratios!$Z$23)</f>
        <v>0</v>
      </c>
      <c r="AC8" s="852">
        <f>IF('Input 5_Product Uptake'!$M$9=0,O8*Ratios!$N$23,O8*Ratios!$N$23*Ratios!$Z$23)</f>
        <v>0</v>
      </c>
      <c r="AD8" s="852">
        <f>IF('Input 5_Product Uptake'!$M$9=0,P8*Ratios!$N$23,P8*Ratios!$N$23*Ratios!$Z$23)</f>
        <v>0</v>
      </c>
      <c r="AE8" s="294"/>
      <c r="AF8" s="860">
        <f>Ratios!$P$23*E8</f>
        <v>235.24751080237402</v>
      </c>
      <c r="AG8" s="860">
        <f>Ratios!$P$23*F8</f>
        <v>681.91999966764104</v>
      </c>
      <c r="AH8" s="860">
        <f>Ratios!$P$23*G8</f>
        <v>970.76820913384722</v>
      </c>
      <c r="AI8" s="860">
        <f>Ratios!$P$23*H8</f>
        <v>649.16401715085487</v>
      </c>
      <c r="AJ8" s="860">
        <f>Ratios!$P$23*I8</f>
        <v>348.40454131490833</v>
      </c>
      <c r="AK8" s="860">
        <f>Ratios!$P$23*J8</f>
        <v>92.312314365488533</v>
      </c>
      <c r="AL8" s="860">
        <f>Ratios!$P$23*K8</f>
        <v>0</v>
      </c>
      <c r="AM8" s="860">
        <f>Ratios!$P$23*L8</f>
        <v>0</v>
      </c>
      <c r="AN8" s="860">
        <f>Ratios!$P$23*M8</f>
        <v>0</v>
      </c>
      <c r="AO8" s="860">
        <f>Ratios!$P$23*N8</f>
        <v>0</v>
      </c>
      <c r="AP8" s="860">
        <f>Ratios!$P$23*O8</f>
        <v>0</v>
      </c>
      <c r="AQ8" s="860">
        <f>Ratios!$P$23*P8</f>
        <v>0</v>
      </c>
      <c r="AS8" s="275">
        <f>S8</f>
        <v>49.719635134352067</v>
      </c>
      <c r="AT8" s="275">
        <f t="shared" ref="AT8:BD19" si="1">T8</f>
        <v>144.12400564261549</v>
      </c>
      <c r="AU8" s="275">
        <f t="shared" si="1"/>
        <v>205.17216523795921</v>
      </c>
      <c r="AV8" s="275">
        <f t="shared" si="1"/>
        <v>137.20101847200951</v>
      </c>
      <c r="AW8" s="275">
        <f t="shared" si="1"/>
        <v>73.635408996445477</v>
      </c>
      <c r="AX8" s="275">
        <f t="shared" si="1"/>
        <v>19.510236571707775</v>
      </c>
      <c r="AY8" s="275">
        <f t="shared" si="1"/>
        <v>0</v>
      </c>
      <c r="AZ8" s="275">
        <f t="shared" si="1"/>
        <v>0</v>
      </c>
      <c r="BA8" s="275">
        <f t="shared" si="1"/>
        <v>0</v>
      </c>
      <c r="BB8" s="275">
        <f t="shared" si="1"/>
        <v>0</v>
      </c>
      <c r="BC8" s="275">
        <f t="shared" si="1"/>
        <v>0</v>
      </c>
      <c r="BD8" s="275">
        <f t="shared" si="1"/>
        <v>0</v>
      </c>
      <c r="BE8" s="275"/>
      <c r="BF8" s="573" t="s">
        <v>317</v>
      </c>
      <c r="BG8" s="1124"/>
      <c r="BH8" s="1127"/>
      <c r="BI8" s="57"/>
      <c r="BJ8" s="1124"/>
      <c r="BK8" s="1127"/>
      <c r="BM8" s="275"/>
      <c r="BO8" s="35">
        <f>AF8</f>
        <v>235.24751080237402</v>
      </c>
      <c r="BP8" s="35">
        <f t="shared" ref="BP8:BZ19" si="2">AG8</f>
        <v>681.91999966764104</v>
      </c>
      <c r="BQ8" s="35">
        <f t="shared" si="2"/>
        <v>970.76820913384722</v>
      </c>
      <c r="BR8" s="35">
        <f t="shared" si="2"/>
        <v>649.16401715085487</v>
      </c>
      <c r="BS8" s="35">
        <f t="shared" si="2"/>
        <v>348.40454131490833</v>
      </c>
      <c r="BT8" s="35">
        <f t="shared" si="2"/>
        <v>92.312314365488533</v>
      </c>
      <c r="BU8" s="35">
        <f t="shared" si="2"/>
        <v>0</v>
      </c>
      <c r="BV8" s="35">
        <f t="shared" si="2"/>
        <v>0</v>
      </c>
      <c r="BW8" s="35">
        <f t="shared" si="2"/>
        <v>0</v>
      </c>
      <c r="BX8" s="35">
        <f t="shared" si="2"/>
        <v>0</v>
      </c>
      <c r="BY8" s="35">
        <f t="shared" si="2"/>
        <v>0</v>
      </c>
      <c r="BZ8" s="35">
        <f t="shared" si="2"/>
        <v>0</v>
      </c>
      <c r="CA8" s="35"/>
      <c r="CB8" s="573" t="s">
        <v>317</v>
      </c>
      <c r="CC8" s="1124"/>
      <c r="CD8" s="1127"/>
      <c r="CF8" s="1139"/>
      <c r="CG8" s="1139"/>
    </row>
    <row r="9" spans="2:85" x14ac:dyDescent="0.3">
      <c r="B9" s="26">
        <v>1</v>
      </c>
      <c r="C9" s="293">
        <f>'Input 2_RSV Rates'!V11*'Input 3_Clinical Severity'!$S$9</f>
        <v>21.3</v>
      </c>
      <c r="E9" s="20">
        <f t="shared" ref="E9:P19" si="3">($C9/(SUM($C$8:$C$19)))*E$7</f>
        <v>2.301915184678523E-2</v>
      </c>
      <c r="F9" s="20">
        <f t="shared" si="3"/>
        <v>6.6726402188782494E-2</v>
      </c>
      <c r="G9" s="20">
        <f t="shared" si="3"/>
        <v>9.4990424076607405E-2</v>
      </c>
      <c r="H9" s="20">
        <f t="shared" si="3"/>
        <v>6.3521203830369369E-2</v>
      </c>
      <c r="I9" s="20">
        <f t="shared" si="3"/>
        <v>3.4091655266757871E-2</v>
      </c>
      <c r="J9" s="20">
        <f t="shared" si="3"/>
        <v>9.0328317373461024E-3</v>
      </c>
      <c r="K9" s="20">
        <f t="shared" si="3"/>
        <v>0</v>
      </c>
      <c r="L9" s="20">
        <f t="shared" si="3"/>
        <v>0</v>
      </c>
      <c r="M9" s="20">
        <f t="shared" si="3"/>
        <v>0</v>
      </c>
      <c r="N9" s="20">
        <f t="shared" si="3"/>
        <v>0</v>
      </c>
      <c r="O9" s="86">
        <f t="shared" si="3"/>
        <v>0</v>
      </c>
      <c r="P9" s="20">
        <f t="shared" si="3"/>
        <v>0</v>
      </c>
      <c r="S9" s="852">
        <f>IF('Input 5_Product Uptake'!$M$9=0,E9*Ratios!$N$23,E9*Ratios!$N$23*Ratios!$Z$23)</f>
        <v>102.81827459822323</v>
      </c>
      <c r="T9" s="852">
        <f>IF('Input 5_Product Uptake'!$M$9=0,F9*Ratios!$N$23,F9*Ratios!$N$23*Ratios!$Z$23)</f>
        <v>298.04284662016602</v>
      </c>
      <c r="U9" s="852">
        <f>IF('Input 5_Product Uptake'!$M$9=0,G9*Ratios!$N$23,G9*Ratios!$N$23*Ratios!$Z$23)</f>
        <v>424.28806986102245</v>
      </c>
      <c r="V9" s="852">
        <f>IF('Input 5_Product Uptake'!$M$9=0,H9*Ratios!$N$23,H9*Ratios!$N$23*Ratios!$Z$23)</f>
        <v>283.72637800522358</v>
      </c>
      <c r="W9" s="852">
        <f>IF('Input 5_Product Uptake'!$M$9=0,I9*Ratios!$N$23,I9*Ratios!$N$23*Ratios!$Z$23)</f>
        <v>152.27516617711538</v>
      </c>
      <c r="X9" s="852">
        <f>IF('Input 5_Product Uptake'!$M$9=0,J9*Ratios!$N$23,J9*Ratios!$N$23*Ratios!$Z$23)</f>
        <v>40.346411551201513</v>
      </c>
      <c r="Y9" s="852">
        <f>IF('Input 5_Product Uptake'!$M$9=0,K9*Ratios!$N$23,K9*Ratios!$N$23*Ratios!$Z$23)</f>
        <v>0</v>
      </c>
      <c r="Z9" s="852">
        <f>IF('Input 5_Product Uptake'!$M$9=0,L9*Ratios!$N$23,L9*Ratios!$N$23*Ratios!$Z$23)</f>
        <v>0</v>
      </c>
      <c r="AA9" s="852">
        <f>IF('Input 5_Product Uptake'!$M$9=0,M9*Ratios!$N$23,M9*Ratios!$N$23*Ratios!$Z$23)</f>
        <v>0</v>
      </c>
      <c r="AB9" s="852">
        <f>IF('Input 5_Product Uptake'!$M$9=0,N9*Ratios!$N$23,N9*Ratios!$N$23*Ratios!$Z$23)</f>
        <v>0</v>
      </c>
      <c r="AC9" s="852">
        <f>IF('Input 5_Product Uptake'!$M$9=0,O9*Ratios!$N$23,O9*Ratios!$N$23*Ratios!$Z$23)</f>
        <v>0</v>
      </c>
      <c r="AD9" s="852">
        <f>IF('Input 5_Product Uptake'!$M$9=0,P9*Ratios!$N$23,P9*Ratios!$N$23*Ratios!$Z$23)</f>
        <v>0</v>
      </c>
      <c r="AE9" s="294"/>
      <c r="AF9" s="860">
        <f>Ratios!$P$23*E9</f>
        <v>486.48271651364729</v>
      </c>
      <c r="AG9" s="860">
        <f>Ratios!$P$23*F9</f>
        <v>1410.1840769825976</v>
      </c>
      <c r="AH9" s="860">
        <f>Ratios!$P$23*G9</f>
        <v>2007.5109567525192</v>
      </c>
      <c r="AI9" s="860">
        <f>Ratios!$P$23*H9</f>
        <v>1342.4459772148748</v>
      </c>
      <c r="AJ9" s="860">
        <f>Ratios!$P$23*I9</f>
        <v>720.48706116578137</v>
      </c>
      <c r="AK9" s="860">
        <f>Ratios!$P$23*J9</f>
        <v>190.89828116358311</v>
      </c>
      <c r="AL9" s="860">
        <f>Ratios!$P$23*K9</f>
        <v>0</v>
      </c>
      <c r="AM9" s="860">
        <f>Ratios!$P$23*L9</f>
        <v>0</v>
      </c>
      <c r="AN9" s="860">
        <f>Ratios!$P$23*M9</f>
        <v>0</v>
      </c>
      <c r="AO9" s="860">
        <f>Ratios!$P$23*N9</f>
        <v>0</v>
      </c>
      <c r="AP9" s="860">
        <f>Ratios!$P$23*O9</f>
        <v>0</v>
      </c>
      <c r="AQ9" s="860">
        <f>Ratios!$P$23*P9</f>
        <v>0</v>
      </c>
      <c r="AS9" s="275">
        <f t="shared" ref="AS9:AS19" si="4">S9</f>
        <v>102.81827459822323</v>
      </c>
      <c r="AT9" s="275">
        <f t="shared" si="1"/>
        <v>298.04284662016602</v>
      </c>
      <c r="AU9" s="275">
        <f t="shared" si="1"/>
        <v>424.28806986102245</v>
      </c>
      <c r="AV9" s="275">
        <f t="shared" si="1"/>
        <v>283.72637800522358</v>
      </c>
      <c r="AW9" s="275">
        <f t="shared" si="1"/>
        <v>152.27516617711538</v>
      </c>
      <c r="AX9" s="275">
        <f t="shared" si="1"/>
        <v>40.346411551201513</v>
      </c>
      <c r="AY9" s="275">
        <f t="shared" si="1"/>
        <v>0</v>
      </c>
      <c r="AZ9" s="275">
        <f t="shared" si="1"/>
        <v>0</v>
      </c>
      <c r="BA9" s="275">
        <f t="shared" si="1"/>
        <v>0</v>
      </c>
      <c r="BB9" s="275">
        <f t="shared" si="1"/>
        <v>0</v>
      </c>
      <c r="BC9" s="275">
        <f t="shared" si="1"/>
        <v>0</v>
      </c>
      <c r="BD9" s="275">
        <f t="shared" si="1"/>
        <v>0</v>
      </c>
      <c r="BE9" s="275"/>
      <c r="BF9" s="518"/>
      <c r="BG9" s="1125"/>
      <c r="BH9" s="1128"/>
      <c r="BI9" s="57"/>
      <c r="BJ9" s="1125"/>
      <c r="BK9" s="1128"/>
      <c r="BM9" s="275"/>
      <c r="BO9" s="35">
        <f t="shared" ref="BO9:BO19" si="5">AF9</f>
        <v>486.48271651364729</v>
      </c>
      <c r="BP9" s="35">
        <f t="shared" si="2"/>
        <v>1410.1840769825976</v>
      </c>
      <c r="BQ9" s="35">
        <f t="shared" si="2"/>
        <v>2007.5109567525192</v>
      </c>
      <c r="BR9" s="35">
        <f t="shared" si="2"/>
        <v>1342.4459772148748</v>
      </c>
      <c r="BS9" s="35">
        <f t="shared" si="2"/>
        <v>720.48706116578137</v>
      </c>
      <c r="BT9" s="35">
        <f t="shared" si="2"/>
        <v>190.89828116358311</v>
      </c>
      <c r="BU9" s="35">
        <f t="shared" si="2"/>
        <v>0</v>
      </c>
      <c r="BV9" s="35">
        <f t="shared" si="2"/>
        <v>0</v>
      </c>
      <c r="BW9" s="35">
        <f t="shared" si="2"/>
        <v>0</v>
      </c>
      <c r="BX9" s="35">
        <f t="shared" si="2"/>
        <v>0</v>
      </c>
      <c r="BY9" s="35">
        <f t="shared" si="2"/>
        <v>0</v>
      </c>
      <c r="BZ9" s="35">
        <f t="shared" si="2"/>
        <v>0</v>
      </c>
      <c r="CA9" s="35"/>
      <c r="CB9" s="518"/>
      <c r="CC9" s="1125"/>
      <c r="CD9" s="1128"/>
      <c r="CF9" s="1139"/>
      <c r="CG9" s="1139"/>
    </row>
    <row r="10" spans="2:85" x14ac:dyDescent="0.3">
      <c r="B10" s="26">
        <v>2</v>
      </c>
      <c r="C10" s="293">
        <f>'Input 2_RSV Rates'!V12*'Input 3_Clinical Severity'!$S$9</f>
        <v>11.1</v>
      </c>
      <c r="E10" s="20">
        <f t="shared" si="3"/>
        <v>1.1995896032831738E-2</v>
      </c>
      <c r="F10" s="20">
        <f t="shared" si="3"/>
        <v>3.4772913816689469E-2</v>
      </c>
      <c r="G10" s="20">
        <f t="shared" si="3"/>
        <v>4.9502051983584136E-2</v>
      </c>
      <c r="H10" s="20">
        <f t="shared" si="3"/>
        <v>3.310259917920657E-2</v>
      </c>
      <c r="I10" s="20">
        <f t="shared" si="3"/>
        <v>1.7766073871409032E-2</v>
      </c>
      <c r="J10" s="20">
        <f t="shared" si="3"/>
        <v>4.7072503419972643E-3</v>
      </c>
      <c r="K10" s="20">
        <f t="shared" si="3"/>
        <v>0</v>
      </c>
      <c r="L10" s="20">
        <f t="shared" si="3"/>
        <v>0</v>
      </c>
      <c r="M10" s="20">
        <f t="shared" si="3"/>
        <v>0</v>
      </c>
      <c r="N10" s="20">
        <f t="shared" si="3"/>
        <v>0</v>
      </c>
      <c r="O10" s="86">
        <f t="shared" si="3"/>
        <v>0</v>
      </c>
      <c r="P10" s="20">
        <f t="shared" si="3"/>
        <v>0</v>
      </c>
      <c r="S10" s="852">
        <f>IF('Input 5_Product Uptake'!$M$9=0,E10*Ratios!$N$23,E10*Ratios!$N$23*Ratios!$Z$23)</f>
        <v>53.581354368088149</v>
      </c>
      <c r="T10" s="852">
        <f>IF('Input 5_Product Uptake'!$M$9=0,F10*Ratios!$N$23,F10*Ratios!$N$23*Ratios!$Z$23)</f>
        <v>155.31810316825553</v>
      </c>
      <c r="U10" s="852">
        <f>IF('Input 5_Product Uptake'!$M$9=0,G10*Ratios!$N$23,G10*Ratios!$N$23*Ratios!$Z$23)</f>
        <v>221.10786739236377</v>
      </c>
      <c r="V10" s="852">
        <f>IF('Input 5_Product Uptake'!$M$9=0,H10*Ratios!$N$23,H10*Ratios!$N$23*Ratios!$Z$23)</f>
        <v>147.85740825624325</v>
      </c>
      <c r="W10" s="852">
        <f>IF('Input 5_Product Uptake'!$M$9=0,I10*Ratios!$N$23,I10*Ratios!$N$23*Ratios!$Z$23)</f>
        <v>79.354664064130574</v>
      </c>
      <c r="X10" s="852">
        <f>IF('Input 5_Product Uptake'!$M$9=0,J10*Ratios!$N$23,J10*Ratios!$N$23*Ratios!$Z$23)</f>
        <v>21.025594752034589</v>
      </c>
      <c r="Y10" s="852">
        <f>IF('Input 5_Product Uptake'!$M$9=0,K10*Ratios!$N$23,K10*Ratios!$N$23*Ratios!$Z$23)</f>
        <v>0</v>
      </c>
      <c r="Z10" s="852">
        <f>IF('Input 5_Product Uptake'!$M$9=0,L10*Ratios!$N$23,L10*Ratios!$N$23*Ratios!$Z$23)</f>
        <v>0</v>
      </c>
      <c r="AA10" s="852">
        <f>IF('Input 5_Product Uptake'!$M$9=0,M10*Ratios!$N$23,M10*Ratios!$N$23*Ratios!$Z$23)</f>
        <v>0</v>
      </c>
      <c r="AB10" s="852">
        <f>IF('Input 5_Product Uptake'!$M$9=0,N10*Ratios!$N$23,N10*Ratios!$N$23*Ratios!$Z$23)</f>
        <v>0</v>
      </c>
      <c r="AC10" s="852">
        <f>IF('Input 5_Product Uptake'!$M$9=0,O10*Ratios!$N$23,O10*Ratios!$N$23*Ratios!$Z$23)</f>
        <v>0</v>
      </c>
      <c r="AD10" s="852">
        <f>IF('Input 5_Product Uptake'!$M$9=0,P10*Ratios!$N$23,P10*Ratios!$N$23*Ratios!$Z$23)</f>
        <v>0</v>
      </c>
      <c r="AE10" s="294"/>
      <c r="AF10" s="860">
        <f>Ratios!$P$23*E10</f>
        <v>253.51916212683022</v>
      </c>
      <c r="AG10" s="860">
        <f>Ratios!$P$23*F10</f>
        <v>734.88465983600156</v>
      </c>
      <c r="AH10" s="860">
        <f>Ratios!$P$23*G10</f>
        <v>1046.1676816879324</v>
      </c>
      <c r="AI10" s="860">
        <f>Ratios!$P$23*H10</f>
        <v>699.58452333732907</v>
      </c>
      <c r="AJ10" s="860">
        <f>Ratios!$P$23*I10</f>
        <v>375.46508821315371</v>
      </c>
      <c r="AK10" s="860">
        <f>Ratios!$P$23*J10</f>
        <v>99.482202859895409</v>
      </c>
      <c r="AL10" s="860">
        <f>Ratios!$P$23*K10</f>
        <v>0</v>
      </c>
      <c r="AM10" s="860">
        <f>Ratios!$P$23*L10</f>
        <v>0</v>
      </c>
      <c r="AN10" s="860">
        <f>Ratios!$P$23*M10</f>
        <v>0</v>
      </c>
      <c r="AO10" s="860">
        <f>Ratios!$P$23*N10</f>
        <v>0</v>
      </c>
      <c r="AP10" s="860">
        <f>Ratios!$P$23*O10</f>
        <v>0</v>
      </c>
      <c r="AQ10" s="860">
        <f>Ratios!$P$23*P10</f>
        <v>0</v>
      </c>
      <c r="AS10" s="275">
        <f t="shared" si="4"/>
        <v>53.581354368088149</v>
      </c>
      <c r="AT10" s="275">
        <f t="shared" si="1"/>
        <v>155.31810316825553</v>
      </c>
      <c r="AU10" s="275">
        <f t="shared" si="1"/>
        <v>221.10786739236377</v>
      </c>
      <c r="AV10" s="275">
        <f t="shared" si="1"/>
        <v>147.85740825624325</v>
      </c>
      <c r="AW10" s="275">
        <f t="shared" si="1"/>
        <v>79.354664064130574</v>
      </c>
      <c r="AX10" s="275">
        <f t="shared" si="1"/>
        <v>21.025594752034589</v>
      </c>
      <c r="AY10" s="275">
        <f t="shared" si="1"/>
        <v>0</v>
      </c>
      <c r="AZ10" s="275">
        <f t="shared" si="1"/>
        <v>0</v>
      </c>
      <c r="BA10" s="275">
        <f t="shared" si="1"/>
        <v>0</v>
      </c>
      <c r="BB10" s="275">
        <f t="shared" si="1"/>
        <v>0</v>
      </c>
      <c r="BC10" s="275">
        <f t="shared" si="1"/>
        <v>0</v>
      </c>
      <c r="BD10" s="275">
        <f t="shared" si="1"/>
        <v>0</v>
      </c>
      <c r="BE10" s="275"/>
      <c r="BF10" s="557">
        <f>IF($B8=0,1,IF(AND(BF9&gt;0,$B8&lt;='Input 4_RSV Season'!$AG$27-1),BF9+1,0))</f>
        <v>1</v>
      </c>
      <c r="BG10" s="549">
        <f>IF(AND($BF10&gt;0,$BF10&lt;='Input 6_Product Efficacy'!$Q$9/30),SUM($AS8:$BD8),0)</f>
        <v>629.36247005508949</v>
      </c>
      <c r="BH10" s="554">
        <f>IF(AND($BF10&gt;0,$BF10&gt;'Input 6_Product Efficacy'!$Q$9/30),SUM($AS8:$BD8),0)</f>
        <v>0</v>
      </c>
      <c r="BJ10" s="549">
        <f>IF(AND($BF10&gt;0,$BF10&lt;='Input 6_Product Efficacy'!$Q$12/30),SUM($AS8:$BD8),0)</f>
        <v>629.36247005508949</v>
      </c>
      <c r="BK10" s="554">
        <f>IF(AND($BF10&gt;0,$BF10&gt;'Input 6_Product Efficacy'!$Q$12/30),SUM($AS8:$BD8),0)</f>
        <v>0</v>
      </c>
      <c r="BM10" s="275"/>
      <c r="BO10" s="35">
        <f t="shared" si="5"/>
        <v>253.51916212683022</v>
      </c>
      <c r="BP10" s="35">
        <f t="shared" si="2"/>
        <v>734.88465983600156</v>
      </c>
      <c r="BQ10" s="35">
        <f t="shared" si="2"/>
        <v>1046.1676816879324</v>
      </c>
      <c r="BR10" s="35">
        <f t="shared" si="2"/>
        <v>699.58452333732907</v>
      </c>
      <c r="BS10" s="35">
        <f t="shared" si="2"/>
        <v>375.46508821315371</v>
      </c>
      <c r="BT10" s="35">
        <f t="shared" si="2"/>
        <v>99.482202859895409</v>
      </c>
      <c r="BU10" s="35">
        <f t="shared" si="2"/>
        <v>0</v>
      </c>
      <c r="BV10" s="35">
        <f t="shared" si="2"/>
        <v>0</v>
      </c>
      <c r="BW10" s="35">
        <f t="shared" si="2"/>
        <v>0</v>
      </c>
      <c r="BX10" s="35">
        <f t="shared" si="2"/>
        <v>0</v>
      </c>
      <c r="BY10" s="35">
        <f t="shared" si="2"/>
        <v>0</v>
      </c>
      <c r="BZ10" s="35">
        <f t="shared" si="2"/>
        <v>0</v>
      </c>
      <c r="CA10" s="35"/>
      <c r="CB10" s="557">
        <f>IF($B8=0,1,IF(AND(CB9&gt;0,$B8&lt;='Input 4_RSV Season'!$AG$27-1),CB9+1,0))</f>
        <v>1</v>
      </c>
      <c r="CC10" s="549">
        <f>IF(AND($CB10&gt;0,$CB10&lt;='Input 6_Product Efficacy'!$Q$12/30),SUM($BO8:$BZ8),0)</f>
        <v>2977.8165924351138</v>
      </c>
      <c r="CD10" s="554">
        <f>IF(AND($CB10&gt;0,$CB10&gt;'Input 6_Product Efficacy'!$Q$12/30),SUM($BO8:$BZ8),0)</f>
        <v>0</v>
      </c>
      <c r="CF10" s="564">
        <f>IF(AND($CB10&gt;0,$CB10&gt;'Input 6_Product Efficacy'!$Q$15/30),SUM($BO8:$BZ8),0)</f>
        <v>0</v>
      </c>
    </row>
    <row r="11" spans="2:85" x14ac:dyDescent="0.3">
      <c r="B11" s="26">
        <v>3</v>
      </c>
      <c r="C11" s="293">
        <f>'Input 2_RSV Rates'!V13*'Input 3_Clinical Severity'!$S$9</f>
        <v>7.7</v>
      </c>
      <c r="E11" s="20">
        <f t="shared" si="3"/>
        <v>8.3214774281805751E-3</v>
      </c>
      <c r="F11" s="20">
        <f t="shared" si="3"/>
        <v>2.4121751025991792E-2</v>
      </c>
      <c r="G11" s="20">
        <f t="shared" si="3"/>
        <v>3.4339261285909715E-2</v>
      </c>
      <c r="H11" s="20">
        <f t="shared" si="3"/>
        <v>2.2963064295485638E-2</v>
      </c>
      <c r="I11" s="20">
        <f t="shared" si="3"/>
        <v>1.2324213406292752E-2</v>
      </c>
      <c r="J11" s="20">
        <f t="shared" si="3"/>
        <v>3.2653898768809854E-3</v>
      </c>
      <c r="K11" s="20">
        <f t="shared" si="3"/>
        <v>0</v>
      </c>
      <c r="L11" s="20">
        <f t="shared" si="3"/>
        <v>0</v>
      </c>
      <c r="M11" s="20">
        <f t="shared" si="3"/>
        <v>0</v>
      </c>
      <c r="N11" s="20">
        <f t="shared" si="3"/>
        <v>0</v>
      </c>
      <c r="O11" s="86">
        <f t="shared" si="3"/>
        <v>0</v>
      </c>
      <c r="P11" s="20">
        <f t="shared" si="3"/>
        <v>0</v>
      </c>
      <c r="S11" s="852">
        <f>IF('Input 5_Product Uptake'!$M$9=0,E11*Ratios!$N$23,E11*Ratios!$N$23*Ratios!$Z$23)</f>
        <v>37.169047624709798</v>
      </c>
      <c r="T11" s="852">
        <f>IF('Input 5_Product Uptake'!$M$9=0,F11*Ratios!$N$23,F11*Ratios!$N$23*Ratios!$Z$23)</f>
        <v>107.74318868428536</v>
      </c>
      <c r="U11" s="852">
        <f>IF('Input 5_Product Uptake'!$M$9=0,G11*Ratios!$N$23,G11*Ratios!$N$23*Ratios!$Z$23)</f>
        <v>153.38113323614425</v>
      </c>
      <c r="V11" s="852">
        <f>IF('Input 5_Product Uptake'!$M$9=0,H11*Ratios!$N$23,H11*Ratios!$N$23*Ratios!$Z$23)</f>
        <v>102.56775167324983</v>
      </c>
      <c r="W11" s="852">
        <f>IF('Input 5_Product Uptake'!$M$9=0,I11*Ratios!$N$23,I11*Ratios!$N$23*Ratios!$Z$23)</f>
        <v>55.047830026468951</v>
      </c>
      <c r="X11" s="852">
        <f>IF('Input 5_Product Uptake'!$M$9=0,J11*Ratios!$N$23,J11*Ratios!$N$23*Ratios!$Z$23)</f>
        <v>14.585322485645619</v>
      </c>
      <c r="Y11" s="852">
        <f>IF('Input 5_Product Uptake'!$M$9=0,K11*Ratios!$N$23,K11*Ratios!$N$23*Ratios!$Z$23)</f>
        <v>0</v>
      </c>
      <c r="Z11" s="852">
        <f>IF('Input 5_Product Uptake'!$M$9=0,L11*Ratios!$N$23,L11*Ratios!$N$23*Ratios!$Z$23)</f>
        <v>0</v>
      </c>
      <c r="AA11" s="852">
        <f>IF('Input 5_Product Uptake'!$M$9=0,M11*Ratios!$N$23,M11*Ratios!$N$23*Ratios!$Z$23)</f>
        <v>0</v>
      </c>
      <c r="AB11" s="852">
        <f>IF('Input 5_Product Uptake'!$M$9=0,N11*Ratios!$N$23,N11*Ratios!$N$23*Ratios!$Z$23)</f>
        <v>0</v>
      </c>
      <c r="AC11" s="852">
        <f>IF('Input 5_Product Uptake'!$M$9=0,O11*Ratios!$N$23,O11*Ratios!$N$23*Ratios!$Z$23)</f>
        <v>0</v>
      </c>
      <c r="AD11" s="852">
        <f>IF('Input 5_Product Uptake'!$M$9=0,P11*Ratios!$N$23,P11*Ratios!$N$23*Ratios!$Z$23)</f>
        <v>0</v>
      </c>
      <c r="AE11" s="294"/>
      <c r="AF11" s="860">
        <f>Ratios!$P$23*E11</f>
        <v>175.86464399789125</v>
      </c>
      <c r="AG11" s="860">
        <f>Ratios!$P$23*F11</f>
        <v>509.78485412046956</v>
      </c>
      <c r="AH11" s="860">
        <f>Ratios!$P$23*G11</f>
        <v>725.71992333307026</v>
      </c>
      <c r="AI11" s="860">
        <f>Ratios!$P$23*H11</f>
        <v>485.29737204481381</v>
      </c>
      <c r="AJ11" s="860">
        <f>Ratios!$P$23*I11</f>
        <v>260.45776389561109</v>
      </c>
      <c r="AK11" s="860">
        <f>Ratios!$P$23*J11</f>
        <v>69.010176758666191</v>
      </c>
      <c r="AL11" s="860">
        <f>Ratios!$P$23*K11</f>
        <v>0</v>
      </c>
      <c r="AM11" s="860">
        <f>Ratios!$P$23*L11</f>
        <v>0</v>
      </c>
      <c r="AN11" s="860">
        <f>Ratios!$P$23*M11</f>
        <v>0</v>
      </c>
      <c r="AO11" s="860">
        <f>Ratios!$P$23*N11</f>
        <v>0</v>
      </c>
      <c r="AP11" s="860">
        <f>Ratios!$P$23*O11</f>
        <v>0</v>
      </c>
      <c r="AQ11" s="860">
        <f>Ratios!$P$23*P11</f>
        <v>0</v>
      </c>
      <c r="AS11" s="275">
        <f t="shared" si="4"/>
        <v>37.169047624709798</v>
      </c>
      <c r="AT11" s="275">
        <f t="shared" si="1"/>
        <v>107.74318868428536</v>
      </c>
      <c r="AU11" s="275">
        <f t="shared" si="1"/>
        <v>153.38113323614425</v>
      </c>
      <c r="AV11" s="275">
        <f t="shared" si="1"/>
        <v>102.56775167324983</v>
      </c>
      <c r="AW11" s="275">
        <f t="shared" si="1"/>
        <v>55.047830026468951</v>
      </c>
      <c r="AX11" s="275">
        <f t="shared" si="1"/>
        <v>14.585322485645619</v>
      </c>
      <c r="AY11" s="275">
        <f t="shared" si="1"/>
        <v>0</v>
      </c>
      <c r="AZ11" s="275">
        <f t="shared" si="1"/>
        <v>0</v>
      </c>
      <c r="BA11" s="275">
        <f t="shared" si="1"/>
        <v>0</v>
      </c>
      <c r="BB11" s="275">
        <f t="shared" si="1"/>
        <v>0</v>
      </c>
      <c r="BC11" s="275">
        <f t="shared" si="1"/>
        <v>0</v>
      </c>
      <c r="BD11" s="275">
        <f t="shared" si="1"/>
        <v>0</v>
      </c>
      <c r="BE11" s="275"/>
      <c r="BF11" s="557">
        <f>IF($B9=0,1,IF(AND(BF10&gt;0,$B9&lt;='Input 4_RSV Season'!$AG$27-1),BF10+1,0))</f>
        <v>2</v>
      </c>
      <c r="BG11" s="549">
        <f>IF(AND($BF11&gt;0,$BF11&lt;='Input 6_Product Efficacy'!$Q$9/30),SUM($AS9:$BD9),0)</f>
        <v>1301.4971468129522</v>
      </c>
      <c r="BH11" s="554">
        <f>IF(AND($BF11&gt;0,$BF11&gt;'Input 6_Product Efficacy'!$Q$9/30),SUM($AS9:$BD9),0)</f>
        <v>0</v>
      </c>
      <c r="BJ11" s="549">
        <f>IF(AND($BF11&gt;0,$BF11&lt;='Input 6_Product Efficacy'!$Q$12/30),SUM($AS9:$BD9),0)</f>
        <v>1301.4971468129522</v>
      </c>
      <c r="BK11" s="554">
        <f>IF(AND($BF11&gt;0,$BF11&gt;'Input 6_Product Efficacy'!$Q$12/30),SUM($AS9:$BD9),0)</f>
        <v>0</v>
      </c>
      <c r="BM11" s="275"/>
      <c r="BO11" s="35">
        <f t="shared" si="5"/>
        <v>175.86464399789125</v>
      </c>
      <c r="BP11" s="35">
        <f t="shared" si="2"/>
        <v>509.78485412046956</v>
      </c>
      <c r="BQ11" s="35">
        <f t="shared" si="2"/>
        <v>725.71992333307026</v>
      </c>
      <c r="BR11" s="35">
        <f t="shared" si="2"/>
        <v>485.29737204481381</v>
      </c>
      <c r="BS11" s="35">
        <f t="shared" si="2"/>
        <v>260.45776389561109</v>
      </c>
      <c r="BT11" s="35">
        <f t="shared" si="2"/>
        <v>69.010176758666191</v>
      </c>
      <c r="BU11" s="35">
        <f t="shared" si="2"/>
        <v>0</v>
      </c>
      <c r="BV11" s="35">
        <f t="shared" si="2"/>
        <v>0</v>
      </c>
      <c r="BW11" s="35">
        <f t="shared" si="2"/>
        <v>0</v>
      </c>
      <c r="BX11" s="35">
        <f t="shared" si="2"/>
        <v>0</v>
      </c>
      <c r="BY11" s="35">
        <f t="shared" si="2"/>
        <v>0</v>
      </c>
      <c r="BZ11" s="35">
        <f t="shared" si="2"/>
        <v>0</v>
      </c>
      <c r="CA11" s="35"/>
      <c r="CB11" s="557">
        <f>IF($B9=0,1,IF(AND(CB10&gt;0,$B9&lt;='Input 4_RSV Season'!$AG$27-1),CB10+1,0))</f>
        <v>2</v>
      </c>
      <c r="CC11" s="549">
        <f>IF(AND($CB11&gt;0,$CB11&lt;='Input 6_Product Efficacy'!$Q$12/30),SUM($BO9:$BZ9),0)</f>
        <v>6158.0090697930036</v>
      </c>
      <c r="CD11" s="554">
        <f>IF(AND($CB11&gt;0,$CB11&gt;'Input 6_Product Efficacy'!$Q$12/30),SUM($BO9:$BZ9),0)</f>
        <v>0</v>
      </c>
      <c r="CF11" s="565">
        <f>IF(AND($CB11&gt;0,$CB11&gt;'Input 6_Product Efficacy'!$Q$15/30),SUM($BO9:$BZ9),0)</f>
        <v>0</v>
      </c>
    </row>
    <row r="12" spans="2:85" x14ac:dyDescent="0.3">
      <c r="B12" s="26">
        <v>4</v>
      </c>
      <c r="C12" s="293">
        <f>'Input 2_RSV Rates'!V14*'Input 3_Clinical Severity'!$S$9</f>
        <v>6.3</v>
      </c>
      <c r="E12" s="20">
        <f t="shared" si="3"/>
        <v>6.8084815321477424E-3</v>
      </c>
      <c r="F12" s="20">
        <f t="shared" si="3"/>
        <v>1.97359781121751E-2</v>
      </c>
      <c r="G12" s="20">
        <f t="shared" si="3"/>
        <v>2.809575923392613E-2</v>
      </c>
      <c r="H12" s="20">
        <f t="shared" si="3"/>
        <v>1.8787961696306428E-2</v>
      </c>
      <c r="I12" s="20">
        <f t="shared" si="3"/>
        <v>1.0083447332421341E-2</v>
      </c>
      <c r="J12" s="20">
        <f t="shared" si="3"/>
        <v>2.6716826265389877E-3</v>
      </c>
      <c r="K12" s="20">
        <f t="shared" si="3"/>
        <v>0</v>
      </c>
      <c r="L12" s="20">
        <f t="shared" si="3"/>
        <v>0</v>
      </c>
      <c r="M12" s="20">
        <f t="shared" si="3"/>
        <v>0</v>
      </c>
      <c r="N12" s="20">
        <f t="shared" si="3"/>
        <v>0</v>
      </c>
      <c r="O12" s="86">
        <f t="shared" si="3"/>
        <v>0</v>
      </c>
      <c r="P12" s="20">
        <f t="shared" si="3"/>
        <v>0</v>
      </c>
      <c r="Q12" s="38"/>
      <c r="R12" s="38"/>
      <c r="S12" s="852">
        <f>IF('Input 5_Product Uptake'!$M$9=0,E12*Ratios!$N$23,E12*Ratios!$N$23*Ratios!$Z$23)</f>
        <v>30.411038965671651</v>
      </c>
      <c r="T12" s="852">
        <f>IF('Input 5_Product Uptake'!$M$9=0,F12*Ratios!$N$23,F12*Ratios!$N$23*Ratios!$Z$23)</f>
        <v>88.153518014415283</v>
      </c>
      <c r="U12" s="852">
        <f>IF('Input 5_Product Uptake'!$M$9=0,G12*Ratios!$N$23,G12*Ratios!$N$23*Ratios!$Z$23)</f>
        <v>125.49365446593619</v>
      </c>
      <c r="V12" s="852">
        <f>IF('Input 5_Product Uptake'!$M$9=0,H12*Ratios!$N$23,H12*Ratios!$N$23*Ratios!$Z$23)</f>
        <v>83.919069550840746</v>
      </c>
      <c r="W12" s="852">
        <f>IF('Input 5_Product Uptake'!$M$9=0,I12*Ratios!$N$23,I12*Ratios!$N$23*Ratios!$Z$23)</f>
        <v>45.039133658020042</v>
      </c>
      <c r="X12" s="852">
        <f>IF('Input 5_Product Uptake'!$M$9=0,J12*Ratios!$N$23,J12*Ratios!$N$23*Ratios!$Z$23)</f>
        <v>11.933445670073686</v>
      </c>
      <c r="Y12" s="852">
        <f>IF('Input 5_Product Uptake'!$M$9=0,K12*Ratios!$N$23,K12*Ratios!$N$23*Ratios!$Z$23)</f>
        <v>0</v>
      </c>
      <c r="Z12" s="852">
        <f>IF('Input 5_Product Uptake'!$M$9=0,L12*Ratios!$N$23,L12*Ratios!$N$23*Ratios!$Z$23)</f>
        <v>0</v>
      </c>
      <c r="AA12" s="852">
        <f>IF('Input 5_Product Uptake'!$M$9=0,M12*Ratios!$N$23,M12*Ratios!$N$23*Ratios!$Z$23)</f>
        <v>0</v>
      </c>
      <c r="AB12" s="852">
        <f>IF('Input 5_Product Uptake'!$M$9=0,N12*Ratios!$N$23,N12*Ratios!$N$23*Ratios!$Z$23)</f>
        <v>0</v>
      </c>
      <c r="AC12" s="852">
        <f>IF('Input 5_Product Uptake'!$M$9=0,O12*Ratios!$N$23,O12*Ratios!$N$23*Ratios!$Z$23)</f>
        <v>0</v>
      </c>
      <c r="AD12" s="852">
        <f>IF('Input 5_Product Uptake'!$M$9=0,P12*Ratios!$N$23,P12*Ratios!$N$23*Ratios!$Z$23)</f>
        <v>0</v>
      </c>
      <c r="AE12" s="294"/>
      <c r="AF12" s="860">
        <f>Ratios!$P$23*E12</f>
        <v>143.88925418009282</v>
      </c>
      <c r="AG12" s="860">
        <f>Ratios!$P$23*F12</f>
        <v>417.09669882583864</v>
      </c>
      <c r="AH12" s="860">
        <f>Ratios!$P$23*G12</f>
        <v>593.77084636342101</v>
      </c>
      <c r="AI12" s="860">
        <f>Ratios!$P$23*H12</f>
        <v>397.06148621848399</v>
      </c>
      <c r="AJ12" s="860">
        <f>Ratios!$P$23*I12</f>
        <v>213.10180682368178</v>
      </c>
      <c r="AK12" s="860">
        <f>Ratios!$P$23*J12</f>
        <v>56.46287189345415</v>
      </c>
      <c r="AL12" s="860">
        <f>Ratios!$P$23*K12</f>
        <v>0</v>
      </c>
      <c r="AM12" s="860">
        <f>Ratios!$P$23*L12</f>
        <v>0</v>
      </c>
      <c r="AN12" s="860">
        <f>Ratios!$P$23*M12</f>
        <v>0</v>
      </c>
      <c r="AO12" s="860">
        <f>Ratios!$P$23*N12</f>
        <v>0</v>
      </c>
      <c r="AP12" s="860">
        <f>Ratios!$P$23*O12</f>
        <v>0</v>
      </c>
      <c r="AQ12" s="860">
        <f>Ratios!$P$23*P12</f>
        <v>0</v>
      </c>
      <c r="AS12" s="275">
        <f t="shared" si="4"/>
        <v>30.411038965671651</v>
      </c>
      <c r="AT12" s="275">
        <f t="shared" si="1"/>
        <v>88.153518014415283</v>
      </c>
      <c r="AU12" s="275">
        <f t="shared" si="1"/>
        <v>125.49365446593619</v>
      </c>
      <c r="AV12" s="275">
        <f t="shared" si="1"/>
        <v>83.919069550840746</v>
      </c>
      <c r="AW12" s="275">
        <f t="shared" si="1"/>
        <v>45.039133658020042</v>
      </c>
      <c r="AX12" s="275">
        <f t="shared" si="1"/>
        <v>11.933445670073686</v>
      </c>
      <c r="AY12" s="275">
        <f t="shared" si="1"/>
        <v>0</v>
      </c>
      <c r="AZ12" s="275">
        <f t="shared" si="1"/>
        <v>0</v>
      </c>
      <c r="BA12" s="275">
        <f t="shared" si="1"/>
        <v>0</v>
      </c>
      <c r="BB12" s="275">
        <f t="shared" si="1"/>
        <v>0</v>
      </c>
      <c r="BC12" s="275">
        <f t="shared" si="1"/>
        <v>0</v>
      </c>
      <c r="BD12" s="275">
        <f t="shared" si="1"/>
        <v>0</v>
      </c>
      <c r="BE12" s="275"/>
      <c r="BF12" s="557">
        <f>IF($B10=0,1,IF(AND(BF11&gt;0,$B10&lt;='Input 4_RSV Season'!$AG$27-1),BF11+1,0))</f>
        <v>3</v>
      </c>
      <c r="BG12" s="549">
        <f>IF(AND($BF12&gt;0,$BF12&lt;='Input 6_Product Efficacy'!$Q$9/30),SUM($AS10:$BD10),0)</f>
        <v>678.24499200111597</v>
      </c>
      <c r="BH12" s="554">
        <f>IF(AND($BF12&gt;0,$BF12&gt;'Input 6_Product Efficacy'!$Q$9/30),SUM($AS10:$BD10),0)</f>
        <v>0</v>
      </c>
      <c r="BJ12" s="549">
        <f>IF(AND($BF12&gt;0,$BF12&lt;='Input 6_Product Efficacy'!$Q$12/30),SUM($AS10:$BD10),0)</f>
        <v>678.24499200111597</v>
      </c>
      <c r="BK12" s="554">
        <f>IF(AND($BF12&gt;0,$BF12&gt;'Input 6_Product Efficacy'!$Q$12/30),SUM($AS10:$BD10),0)</f>
        <v>0</v>
      </c>
      <c r="BM12" s="275"/>
      <c r="BO12" s="35">
        <f t="shared" si="5"/>
        <v>143.88925418009282</v>
      </c>
      <c r="BP12" s="35">
        <f t="shared" si="2"/>
        <v>417.09669882583864</v>
      </c>
      <c r="BQ12" s="35">
        <f t="shared" si="2"/>
        <v>593.77084636342101</v>
      </c>
      <c r="BR12" s="35">
        <f t="shared" si="2"/>
        <v>397.06148621848399</v>
      </c>
      <c r="BS12" s="35">
        <f t="shared" si="2"/>
        <v>213.10180682368178</v>
      </c>
      <c r="BT12" s="35">
        <f t="shared" si="2"/>
        <v>56.46287189345415</v>
      </c>
      <c r="BU12" s="35">
        <f t="shared" si="2"/>
        <v>0</v>
      </c>
      <c r="BV12" s="35">
        <f t="shared" si="2"/>
        <v>0</v>
      </c>
      <c r="BW12" s="35">
        <f t="shared" si="2"/>
        <v>0</v>
      </c>
      <c r="BX12" s="35">
        <f t="shared" si="2"/>
        <v>0</v>
      </c>
      <c r="BY12" s="35">
        <f t="shared" si="2"/>
        <v>0</v>
      </c>
      <c r="BZ12" s="35">
        <f t="shared" si="2"/>
        <v>0</v>
      </c>
      <c r="CA12" s="35"/>
      <c r="CB12" s="557">
        <f>IF($B10=0,1,IF(AND(CB11&gt;0,$B10&lt;='Input 4_RSV Season'!$AG$27-1),CB11+1,0))</f>
        <v>3</v>
      </c>
      <c r="CC12" s="549">
        <f>IF(AND($CB12&gt;0,$CB12&lt;='Input 6_Product Efficacy'!$Q$12/30),SUM($BO10:$BZ10),0)</f>
        <v>3209.1033180611421</v>
      </c>
      <c r="CD12" s="554">
        <f>IF(AND($CB12&gt;0,$CB12&gt;'Input 6_Product Efficacy'!$Q$12/30),SUM($BO10:$BZ10),0)</f>
        <v>0</v>
      </c>
      <c r="CF12" s="565">
        <f>IF(AND($CB12&gt;0,$CB12&gt;'Input 6_Product Efficacy'!$Q$15/30),SUM($BO10:$BZ10),0)</f>
        <v>0</v>
      </c>
    </row>
    <row r="13" spans="2:85" ht="15" thickBot="1" x14ac:dyDescent="0.35">
      <c r="B13" s="804">
        <v>5</v>
      </c>
      <c r="C13" s="806">
        <f>'Input 2_RSV Rates'!V15*'Input 3_Clinical Severity'!$S$9</f>
        <v>2.9</v>
      </c>
      <c r="E13" s="20">
        <f t="shared" si="3"/>
        <v>3.1340629274965799E-3</v>
      </c>
      <c r="F13" s="20">
        <f t="shared" si="3"/>
        <v>9.0848153214774276E-3</v>
      </c>
      <c r="G13" s="20">
        <f t="shared" si="3"/>
        <v>1.2932968536251711E-2</v>
      </c>
      <c r="H13" s="20">
        <f t="shared" si="3"/>
        <v>8.6484268125854996E-3</v>
      </c>
      <c r="I13" s="20">
        <f t="shared" si="3"/>
        <v>4.6415868673050616E-3</v>
      </c>
      <c r="J13" s="20">
        <f t="shared" si="3"/>
        <v>1.2298221614227085E-3</v>
      </c>
      <c r="K13" s="20">
        <f t="shared" si="3"/>
        <v>0</v>
      </c>
      <c r="L13" s="20">
        <f t="shared" si="3"/>
        <v>0</v>
      </c>
      <c r="M13" s="20">
        <f t="shared" si="3"/>
        <v>0</v>
      </c>
      <c r="N13" s="20">
        <f t="shared" si="3"/>
        <v>0</v>
      </c>
      <c r="O13" s="86">
        <f t="shared" si="3"/>
        <v>0</v>
      </c>
      <c r="P13" s="20">
        <f t="shared" si="3"/>
        <v>0</v>
      </c>
      <c r="S13" s="852">
        <f>IF('Input 5_Product Uptake'!$M$9=0,E13*Ratios!$N$23,E13*Ratios!$N$23*Ratios!$Z$23)</f>
        <v>13.998732222293299</v>
      </c>
      <c r="T13" s="852">
        <f>IF('Input 5_Product Uptake'!$M$9=0,F13*Ratios!$N$23,F13*Ratios!$N$23*Ratios!$Z$23)</f>
        <v>40.578603530445129</v>
      </c>
      <c r="U13" s="852">
        <f>IF('Input 5_Product Uptake'!$M$9=0,G13*Ratios!$N$23,G13*Ratios!$N$23*Ratios!$Z$23)</f>
        <v>57.76692030971666</v>
      </c>
      <c r="V13" s="852">
        <f>IF('Input 5_Product Uptake'!$M$9=0,H13*Ratios!$N$23,H13*Ratios!$N$23*Ratios!$Z$23)</f>
        <v>38.629412967847337</v>
      </c>
      <c r="W13" s="852">
        <f>IF('Input 5_Product Uptake'!$M$9=0,I13*Ratios!$N$23,I13*Ratios!$N$23*Ratios!$Z$23)</f>
        <v>20.732299620358432</v>
      </c>
      <c r="X13" s="852">
        <f>IF('Input 5_Product Uptake'!$M$9=0,J13*Ratios!$N$23,J13*Ratios!$N$23*Ratios!$Z$23)</f>
        <v>5.493173403684712</v>
      </c>
      <c r="Y13" s="852">
        <f>IF('Input 5_Product Uptake'!$M$9=0,K13*Ratios!$N$23,K13*Ratios!$N$23*Ratios!$Z$23)</f>
        <v>0</v>
      </c>
      <c r="Z13" s="852">
        <f>IF('Input 5_Product Uptake'!$M$9=0,L13*Ratios!$N$23,L13*Ratios!$N$23*Ratios!$Z$23)</f>
        <v>0</v>
      </c>
      <c r="AA13" s="852">
        <f>IF('Input 5_Product Uptake'!$M$9=0,M13*Ratios!$N$23,M13*Ratios!$N$23*Ratios!$Z$23)</f>
        <v>0</v>
      </c>
      <c r="AB13" s="852">
        <f>IF('Input 5_Product Uptake'!$M$9=0,N13*Ratios!$N$23,N13*Ratios!$N$23*Ratios!$Z$23)</f>
        <v>0</v>
      </c>
      <c r="AC13" s="852">
        <f>IF('Input 5_Product Uptake'!$M$9=0,O13*Ratios!$N$23,O13*Ratios!$N$23*Ratios!$Z$23)</f>
        <v>0</v>
      </c>
      <c r="AD13" s="852">
        <f>IF('Input 5_Product Uptake'!$M$9=0,P13*Ratios!$N$23,P13*Ratios!$N$23*Ratios!$Z$23)</f>
        <v>0</v>
      </c>
      <c r="AE13" s="294"/>
      <c r="AF13" s="860">
        <f>Ratios!$P$23*E13</f>
        <v>66.234736051153845</v>
      </c>
      <c r="AG13" s="860">
        <f>Ratios!$P$23*F13</f>
        <v>191.9968931103067</v>
      </c>
      <c r="AH13" s="860">
        <f>Ratios!$P$23*G13</f>
        <v>273.3230880085589</v>
      </c>
      <c r="AI13" s="860">
        <f>Ratios!$P$23*H13</f>
        <v>182.77433492596884</v>
      </c>
      <c r="AJ13" s="860">
        <f>Ratios!$P$23*I13</f>
        <v>98.094482506139229</v>
      </c>
      <c r="AK13" s="860">
        <f>Ratios!$P$23*J13</f>
        <v>25.990845792224924</v>
      </c>
      <c r="AL13" s="860">
        <f>Ratios!$P$23*K13</f>
        <v>0</v>
      </c>
      <c r="AM13" s="860">
        <f>Ratios!$P$23*L13</f>
        <v>0</v>
      </c>
      <c r="AN13" s="860">
        <f>Ratios!$P$23*M13</f>
        <v>0</v>
      </c>
      <c r="AO13" s="860">
        <f>Ratios!$P$23*N13</f>
        <v>0</v>
      </c>
      <c r="AP13" s="860">
        <f>Ratios!$P$23*O13</f>
        <v>0</v>
      </c>
      <c r="AQ13" s="860">
        <f>Ratios!$P$23*P13</f>
        <v>0</v>
      </c>
      <c r="AS13" s="275">
        <f t="shared" si="4"/>
        <v>13.998732222293299</v>
      </c>
      <c r="AT13" s="275">
        <f t="shared" si="1"/>
        <v>40.578603530445129</v>
      </c>
      <c r="AU13" s="275">
        <f t="shared" si="1"/>
        <v>57.76692030971666</v>
      </c>
      <c r="AV13" s="275">
        <f t="shared" si="1"/>
        <v>38.629412967847337</v>
      </c>
      <c r="AW13" s="275">
        <f t="shared" si="1"/>
        <v>20.732299620358432</v>
      </c>
      <c r="AX13" s="275">
        <f t="shared" si="1"/>
        <v>5.493173403684712</v>
      </c>
      <c r="AY13" s="275">
        <f t="shared" si="1"/>
        <v>0</v>
      </c>
      <c r="AZ13" s="275">
        <f t="shared" si="1"/>
        <v>0</v>
      </c>
      <c r="BA13" s="275">
        <f t="shared" si="1"/>
        <v>0</v>
      </c>
      <c r="BB13" s="275">
        <f t="shared" si="1"/>
        <v>0</v>
      </c>
      <c r="BC13" s="275">
        <f t="shared" si="1"/>
        <v>0</v>
      </c>
      <c r="BD13" s="275">
        <f t="shared" si="1"/>
        <v>0</v>
      </c>
      <c r="BE13" s="276"/>
      <c r="BF13" s="557">
        <f>IF($B11=0,1,IF(AND(BF12&gt;0,$B11&lt;='Input 4_RSV Season'!$AG$27-1),BF12+1,0))</f>
        <v>4</v>
      </c>
      <c r="BG13" s="549">
        <f>IF(AND($BF13&gt;0,$BF13&lt;='Input 6_Product Efficacy'!$Q$9/30),SUM($AS11:$BD11),0)</f>
        <v>470.49427373050383</v>
      </c>
      <c r="BH13" s="554">
        <f>IF(AND($BF13&gt;0,$BF13&gt;'Input 6_Product Efficacy'!$Q$9/30),SUM($AS11:$BD11),0)</f>
        <v>0</v>
      </c>
      <c r="BJ13" s="549">
        <f>IF(AND($BF13&gt;0,$BF13&lt;='Input 6_Product Efficacy'!$Q$12/30),SUM($AS11:$BD11),0)</f>
        <v>470.49427373050383</v>
      </c>
      <c r="BK13" s="554">
        <f>IF(AND($BF13&gt;0,$BF13&gt;'Input 6_Product Efficacy'!$Q$12/30),SUM($AS11:$BD11),0)</f>
        <v>0</v>
      </c>
      <c r="BM13" s="276"/>
      <c r="BN13" s="13"/>
      <c r="BO13" s="35">
        <f t="shared" si="5"/>
        <v>66.234736051153845</v>
      </c>
      <c r="BP13" s="35">
        <f t="shared" si="2"/>
        <v>191.9968931103067</v>
      </c>
      <c r="BQ13" s="35">
        <f t="shared" si="2"/>
        <v>273.3230880085589</v>
      </c>
      <c r="BR13" s="35">
        <f t="shared" si="2"/>
        <v>182.77433492596884</v>
      </c>
      <c r="BS13" s="35">
        <f t="shared" si="2"/>
        <v>98.094482506139229</v>
      </c>
      <c r="BT13" s="35">
        <f t="shared" si="2"/>
        <v>25.990845792224924</v>
      </c>
      <c r="BU13" s="35">
        <f t="shared" si="2"/>
        <v>0</v>
      </c>
      <c r="BV13" s="35">
        <f t="shared" si="2"/>
        <v>0</v>
      </c>
      <c r="BW13" s="35">
        <f t="shared" si="2"/>
        <v>0</v>
      </c>
      <c r="BX13" s="35">
        <f t="shared" si="2"/>
        <v>0</v>
      </c>
      <c r="BY13" s="35">
        <f t="shared" si="2"/>
        <v>0</v>
      </c>
      <c r="BZ13" s="35">
        <f t="shared" si="2"/>
        <v>0</v>
      </c>
      <c r="CA13" s="35"/>
      <c r="CB13" s="557">
        <f>IF($B11=0,1,IF(AND(CB12&gt;0,$B11&lt;='Input 4_RSV Season'!$AG$27-1),CB12+1,0))</f>
        <v>4</v>
      </c>
      <c r="CC13" s="549">
        <f>IF(AND($CB13&gt;0,$CB13&lt;='Input 6_Product Efficacy'!$Q$12/30),SUM($BO11:$BZ11),0)</f>
        <v>2226.134734150522</v>
      </c>
      <c r="CD13" s="554">
        <f>IF(AND($CB13&gt;0,$CB13&gt;'Input 6_Product Efficacy'!$Q$12/30),SUM($BO11:$BZ11),0)</f>
        <v>0</v>
      </c>
      <c r="CF13" s="565">
        <f>IF(AND($CB13&gt;0,$CB13&gt;'Input 6_Product Efficacy'!$Q$15/30),SUM($BO11:$BZ11),0)</f>
        <v>2226.134734150522</v>
      </c>
    </row>
    <row r="14" spans="2:85" ht="15" thickTop="1" x14ac:dyDescent="0.3">
      <c r="B14" s="26">
        <v>6</v>
      </c>
      <c r="C14" s="293">
        <f>'Input 2_RSV Rates'!V16*'Input 3_Clinical Severity'!$S$11</f>
        <v>2.5</v>
      </c>
      <c r="E14" s="20">
        <f t="shared" si="3"/>
        <v>2.7017783857729138E-3</v>
      </c>
      <c r="F14" s="20">
        <f t="shared" si="3"/>
        <v>7.8317373461012311E-3</v>
      </c>
      <c r="G14" s="20">
        <f t="shared" si="3"/>
        <v>1.1149110807113543E-2</v>
      </c>
      <c r="H14" s="20">
        <f t="shared" si="3"/>
        <v>7.4555403556771545E-3</v>
      </c>
      <c r="I14" s="20">
        <f t="shared" si="3"/>
        <v>4.0013679890560875E-3</v>
      </c>
      <c r="J14" s="20">
        <f t="shared" si="3"/>
        <v>1.0601915184678522E-3</v>
      </c>
      <c r="K14" s="20">
        <f t="shared" si="3"/>
        <v>0</v>
      </c>
      <c r="L14" s="20">
        <f t="shared" si="3"/>
        <v>0</v>
      </c>
      <c r="M14" s="20">
        <f t="shared" si="3"/>
        <v>0</v>
      </c>
      <c r="N14" s="20">
        <f t="shared" si="3"/>
        <v>0</v>
      </c>
      <c r="O14" s="86">
        <f t="shared" si="3"/>
        <v>0</v>
      </c>
      <c r="P14" s="20">
        <f t="shared" si="3"/>
        <v>0</v>
      </c>
      <c r="S14" s="852">
        <f>IF('Input 5_Product Uptake'!$M$9=0,E14*Ratios!$N$23,E14*Ratios!$N$23*Ratios!$Z$23)</f>
        <v>12.067872605425258</v>
      </c>
      <c r="T14" s="852">
        <f>IF('Input 5_Product Uptake'!$M$9=0,F14*Ratios!$N$23,F14*Ratios!$N$23*Ratios!$Z$23)</f>
        <v>34.98155476762512</v>
      </c>
      <c r="U14" s="852">
        <f>IF('Input 5_Product Uptake'!$M$9=0,G14*Ratios!$N$23,G14*Ratios!$N$23*Ratios!$Z$23)</f>
        <v>49.799069232514363</v>
      </c>
      <c r="V14" s="852">
        <f>IF('Input 5_Product Uptake'!$M$9=0,H14*Ratios!$N$23,H14*Ratios!$N$23*Ratios!$Z$23)</f>
        <v>33.301218075730461</v>
      </c>
      <c r="W14" s="852">
        <f>IF('Input 5_Product Uptake'!$M$9=0,I14*Ratios!$N$23,I14*Ratios!$N$23*Ratios!$Z$23)</f>
        <v>17.872672086515891</v>
      </c>
      <c r="X14" s="852">
        <f>IF('Input 5_Product Uptake'!$M$9=0,J14*Ratios!$N$23,J14*Ratios!$N$23*Ratios!$Z$23)</f>
        <v>4.7354943135213041</v>
      </c>
      <c r="Y14" s="852">
        <f>IF('Input 5_Product Uptake'!$M$9=0,K14*Ratios!$N$23,K14*Ratios!$N$23*Ratios!$Z$23)</f>
        <v>0</v>
      </c>
      <c r="Z14" s="852">
        <f>IF('Input 5_Product Uptake'!$M$9=0,L14*Ratios!$N$23,L14*Ratios!$N$23*Ratios!$Z$23)</f>
        <v>0</v>
      </c>
      <c r="AA14" s="852">
        <f>IF('Input 5_Product Uptake'!$M$9=0,M14*Ratios!$N$23,M14*Ratios!$N$23*Ratios!$Z$23)</f>
        <v>0</v>
      </c>
      <c r="AB14" s="852">
        <f>IF('Input 5_Product Uptake'!$M$9=0,N14*Ratios!$N$23,N14*Ratios!$N$23*Ratios!$Z$23)</f>
        <v>0</v>
      </c>
      <c r="AC14" s="852">
        <f>IF('Input 5_Product Uptake'!$M$9=0,O14*Ratios!$N$23,O14*Ratios!$N$23*Ratios!$Z$23)</f>
        <v>0</v>
      </c>
      <c r="AD14" s="852">
        <f>IF('Input 5_Product Uptake'!$M$9=0,P14*Ratios!$N$23,P14*Ratios!$N$23*Ratios!$Z$23)</f>
        <v>0</v>
      </c>
      <c r="AE14" s="294"/>
      <c r="AF14" s="860">
        <f>Ratios!$P$23*E14</f>
        <v>57.098910388925724</v>
      </c>
      <c r="AG14" s="860">
        <f>Ratios!$P$23*F14</f>
        <v>165.51456302612647</v>
      </c>
      <c r="AH14" s="860">
        <f>Ratios!$P$23*G14</f>
        <v>235.62335173151629</v>
      </c>
      <c r="AI14" s="860">
        <f>Ratios!$P$23*H14</f>
        <v>157.56408183273174</v>
      </c>
      <c r="AJ14" s="860">
        <f>Ratios!$P$23*I14</f>
        <v>84.564209057016583</v>
      </c>
      <c r="AK14" s="860">
        <f>Ratios!$P$23*J14</f>
        <v>22.405901545021486</v>
      </c>
      <c r="AL14" s="860">
        <f>Ratios!$P$23*K14</f>
        <v>0</v>
      </c>
      <c r="AM14" s="860">
        <f>Ratios!$P$23*L14</f>
        <v>0</v>
      </c>
      <c r="AN14" s="860">
        <f>Ratios!$P$23*M14</f>
        <v>0</v>
      </c>
      <c r="AO14" s="860">
        <f>Ratios!$P$23*N14</f>
        <v>0</v>
      </c>
      <c r="AP14" s="860">
        <f>Ratios!$P$23*O14</f>
        <v>0</v>
      </c>
      <c r="AQ14" s="860">
        <f>Ratios!$P$23*P14</f>
        <v>0</v>
      </c>
      <c r="AS14" s="275">
        <f t="shared" si="4"/>
        <v>12.067872605425258</v>
      </c>
      <c r="AT14" s="275">
        <f t="shared" si="1"/>
        <v>34.98155476762512</v>
      </c>
      <c r="AU14" s="275">
        <f t="shared" si="1"/>
        <v>49.799069232514363</v>
      </c>
      <c r="AV14" s="275">
        <f t="shared" si="1"/>
        <v>33.301218075730461</v>
      </c>
      <c r="AW14" s="275">
        <f t="shared" si="1"/>
        <v>17.872672086515891</v>
      </c>
      <c r="AX14" s="275">
        <f t="shared" si="1"/>
        <v>4.7354943135213041</v>
      </c>
      <c r="AY14" s="275">
        <f t="shared" si="1"/>
        <v>0</v>
      </c>
      <c r="AZ14" s="275">
        <f t="shared" si="1"/>
        <v>0</v>
      </c>
      <c r="BA14" s="275">
        <f t="shared" si="1"/>
        <v>0</v>
      </c>
      <c r="BB14" s="275">
        <f t="shared" si="1"/>
        <v>0</v>
      </c>
      <c r="BC14" s="275">
        <f t="shared" si="1"/>
        <v>0</v>
      </c>
      <c r="BD14" s="275">
        <f t="shared" si="1"/>
        <v>0</v>
      </c>
      <c r="BE14" s="276"/>
      <c r="BF14" s="557">
        <f>IF($B12=0,1,IF(AND(BF13&gt;0,$B12&lt;='Input 4_RSV Season'!$AG$27-1),BF13+1,0))</f>
        <v>5</v>
      </c>
      <c r="BG14" s="549">
        <f>IF(AND($BF14&gt;0,$BF14&lt;='Input 6_Product Efficacy'!$Q$9/30),SUM($AS12:$BD12),0)</f>
        <v>384.94986032495757</v>
      </c>
      <c r="BH14" s="554">
        <f>IF(AND($BF14&gt;0,$BF14&gt;'Input 6_Product Efficacy'!$Q$9/30),SUM($AS12:$BD12),0)</f>
        <v>0</v>
      </c>
      <c r="BJ14" s="549">
        <f>IF(AND($BF14&gt;0,$BF14&lt;='Input 6_Product Efficacy'!$Q$12/30),SUM($AS12:$BD12),0)</f>
        <v>384.94986032495757</v>
      </c>
      <c r="BK14" s="554">
        <f>IF(AND($BF14&gt;0,$BF14&gt;'Input 6_Product Efficacy'!$Q$12/30),SUM($AS12:$BD12),0)</f>
        <v>0</v>
      </c>
      <c r="BM14" s="276"/>
      <c r="BN14" s="13"/>
      <c r="BO14" s="35">
        <f t="shared" si="5"/>
        <v>57.098910388925724</v>
      </c>
      <c r="BP14" s="35">
        <f t="shared" si="2"/>
        <v>165.51456302612647</v>
      </c>
      <c r="BQ14" s="35">
        <f t="shared" si="2"/>
        <v>235.62335173151629</v>
      </c>
      <c r="BR14" s="35">
        <f t="shared" si="2"/>
        <v>157.56408183273174</v>
      </c>
      <c r="BS14" s="35">
        <f t="shared" si="2"/>
        <v>84.564209057016583</v>
      </c>
      <c r="BT14" s="35">
        <f t="shared" si="2"/>
        <v>22.405901545021486</v>
      </c>
      <c r="BU14" s="35">
        <f t="shared" si="2"/>
        <v>0</v>
      </c>
      <c r="BV14" s="35">
        <f t="shared" si="2"/>
        <v>0</v>
      </c>
      <c r="BW14" s="35">
        <f t="shared" si="2"/>
        <v>0</v>
      </c>
      <c r="BX14" s="35">
        <f t="shared" si="2"/>
        <v>0</v>
      </c>
      <c r="BY14" s="35">
        <f t="shared" si="2"/>
        <v>0</v>
      </c>
      <c r="BZ14" s="35">
        <f t="shared" si="2"/>
        <v>0</v>
      </c>
      <c r="CA14" s="244"/>
      <c r="CB14" s="557">
        <f>IF($B12=0,1,IF(AND(CB13&gt;0,$B12&lt;='Input 4_RSV Season'!$AG$27-1),CB13+1,0))</f>
        <v>5</v>
      </c>
      <c r="CC14" s="549">
        <f>IF(AND($CB14&gt;0,$CB14&lt;='Input 6_Product Efficacy'!$Q$12/30),SUM($BO12:$BZ12),0)</f>
        <v>1821.3829643049721</v>
      </c>
      <c r="CD14" s="554">
        <f>IF(AND($CB14&gt;0,$CB14&gt;'Input 6_Product Efficacy'!$Q$12/30),SUM($BO12:$BZ12),0)</f>
        <v>0</v>
      </c>
      <c r="CF14" s="565">
        <f>IF(AND($CB14&gt;0,$CB14&gt;'Input 6_Product Efficacy'!$Q$15/30),SUM($BO12:$BZ12),0)</f>
        <v>1821.3829643049721</v>
      </c>
    </row>
    <row r="15" spans="2:85" x14ac:dyDescent="0.3">
      <c r="B15" s="26">
        <v>7</v>
      </c>
      <c r="C15" s="293">
        <f>'Input 2_RSV Rates'!V17*'Input 3_Clinical Severity'!$S$11</f>
        <v>3.6</v>
      </c>
      <c r="E15" s="20">
        <f t="shared" si="3"/>
        <v>3.8905608755129962E-3</v>
      </c>
      <c r="F15" s="20">
        <f t="shared" si="3"/>
        <v>1.1277701778385774E-2</v>
      </c>
      <c r="G15" s="20">
        <f t="shared" si="3"/>
        <v>1.6054719562243504E-2</v>
      </c>
      <c r="H15" s="20">
        <f t="shared" si="3"/>
        <v>1.0735978112175104E-2</v>
      </c>
      <c r="I15" s="20">
        <f t="shared" si="3"/>
        <v>5.7619699042407669E-3</v>
      </c>
      <c r="J15" s="20">
        <f t="shared" si="3"/>
        <v>1.5266757865937074E-3</v>
      </c>
      <c r="K15" s="20">
        <f t="shared" si="3"/>
        <v>0</v>
      </c>
      <c r="L15" s="20">
        <f t="shared" si="3"/>
        <v>0</v>
      </c>
      <c r="M15" s="20">
        <f t="shared" si="3"/>
        <v>0</v>
      </c>
      <c r="N15" s="20">
        <f t="shared" si="3"/>
        <v>0</v>
      </c>
      <c r="O15" s="86">
        <f t="shared" si="3"/>
        <v>0</v>
      </c>
      <c r="P15" s="20">
        <f t="shared" si="3"/>
        <v>0</v>
      </c>
      <c r="S15" s="852">
        <f>IF('Input 5_Product Uptake'!$M$9=0,E15*Ratios!$N$23,E15*Ratios!$N$23*Ratios!$Z$23)</f>
        <v>17.377736551812376</v>
      </c>
      <c r="T15" s="852">
        <f>IF('Input 5_Product Uptake'!$M$9=0,F15*Ratios!$N$23,F15*Ratios!$N$23*Ratios!$Z$23)</f>
        <v>50.373438865380173</v>
      </c>
      <c r="U15" s="852">
        <f>IF('Input 5_Product Uptake'!$M$9=0,G15*Ratios!$N$23,G15*Ratios!$N$23*Ratios!$Z$23)</f>
        <v>71.710659694820677</v>
      </c>
      <c r="V15" s="852">
        <f>IF('Input 5_Product Uptake'!$M$9=0,H15*Ratios!$N$23,H15*Ratios!$N$23*Ratios!$Z$23)</f>
        <v>47.953754029051872</v>
      </c>
      <c r="W15" s="852">
        <f>IF('Input 5_Product Uptake'!$M$9=0,I15*Ratios!$N$23,I15*Ratios!$N$23*Ratios!$Z$23)</f>
        <v>25.736647804582883</v>
      </c>
      <c r="X15" s="852">
        <f>IF('Input 5_Product Uptake'!$M$9=0,J15*Ratios!$N$23,J15*Ratios!$N$23*Ratios!$Z$23)</f>
        <v>6.8191118114706786</v>
      </c>
      <c r="Y15" s="852">
        <f>IF('Input 5_Product Uptake'!$M$9=0,K15*Ratios!$N$23,K15*Ratios!$N$23*Ratios!$Z$23)</f>
        <v>0</v>
      </c>
      <c r="Z15" s="852">
        <f>IF('Input 5_Product Uptake'!$M$9=0,L15*Ratios!$N$23,L15*Ratios!$N$23*Ratios!$Z$23)</f>
        <v>0</v>
      </c>
      <c r="AA15" s="852">
        <f>IF('Input 5_Product Uptake'!$M$9=0,M15*Ratios!$N$23,M15*Ratios!$N$23*Ratios!$Z$23)</f>
        <v>0</v>
      </c>
      <c r="AB15" s="852">
        <f>IF('Input 5_Product Uptake'!$M$9=0,N15*Ratios!$N$23,N15*Ratios!$N$23*Ratios!$Z$23)</f>
        <v>0</v>
      </c>
      <c r="AC15" s="852">
        <f>IF('Input 5_Product Uptake'!$M$9=0,O15*Ratios!$N$23,O15*Ratios!$N$23*Ratios!$Z$23)</f>
        <v>0</v>
      </c>
      <c r="AD15" s="852">
        <f>IF('Input 5_Product Uptake'!$M$9=0,P15*Ratios!$N$23,P15*Ratios!$N$23*Ratios!$Z$23)</f>
        <v>0</v>
      </c>
      <c r="AE15" s="294"/>
      <c r="AF15" s="860">
        <f>Ratios!$P$23*E15</f>
        <v>82.222430960053046</v>
      </c>
      <c r="AG15" s="860">
        <f>Ratios!$P$23*F15</f>
        <v>238.34097075762213</v>
      </c>
      <c r="AH15" s="860">
        <f>Ratios!$P$23*G15</f>
        <v>339.29762649338346</v>
      </c>
      <c r="AI15" s="860">
        <f>Ratios!$P$23*H15</f>
        <v>226.89227783913375</v>
      </c>
      <c r="AJ15" s="860">
        <f>Ratios!$P$23*I15</f>
        <v>121.7724610421039</v>
      </c>
      <c r="AK15" s="860">
        <f>Ratios!$P$23*J15</f>
        <v>32.264498224830945</v>
      </c>
      <c r="AL15" s="860">
        <f>Ratios!$P$23*K15</f>
        <v>0</v>
      </c>
      <c r="AM15" s="860">
        <f>Ratios!$P$23*L15</f>
        <v>0</v>
      </c>
      <c r="AN15" s="860">
        <f>Ratios!$P$23*M15</f>
        <v>0</v>
      </c>
      <c r="AO15" s="860">
        <f>Ratios!$P$23*N15</f>
        <v>0</v>
      </c>
      <c r="AP15" s="860">
        <f>Ratios!$P$23*O15</f>
        <v>0</v>
      </c>
      <c r="AQ15" s="860">
        <f>Ratios!$P$23*P15</f>
        <v>0</v>
      </c>
      <c r="AS15" s="275">
        <f t="shared" si="4"/>
        <v>17.377736551812376</v>
      </c>
      <c r="AT15" s="275">
        <f t="shared" si="1"/>
        <v>50.373438865380173</v>
      </c>
      <c r="AU15" s="275">
        <f t="shared" si="1"/>
        <v>71.710659694820677</v>
      </c>
      <c r="AV15" s="275">
        <f t="shared" si="1"/>
        <v>47.953754029051872</v>
      </c>
      <c r="AW15" s="275">
        <f t="shared" si="1"/>
        <v>25.736647804582883</v>
      </c>
      <c r="AX15" s="275">
        <f t="shared" si="1"/>
        <v>6.8191118114706786</v>
      </c>
      <c r="AY15" s="275">
        <f t="shared" si="1"/>
        <v>0</v>
      </c>
      <c r="AZ15" s="275">
        <f t="shared" si="1"/>
        <v>0</v>
      </c>
      <c r="BA15" s="275">
        <f t="shared" si="1"/>
        <v>0</v>
      </c>
      <c r="BB15" s="275">
        <f t="shared" si="1"/>
        <v>0</v>
      </c>
      <c r="BC15" s="275">
        <f t="shared" si="1"/>
        <v>0</v>
      </c>
      <c r="BD15" s="275">
        <f t="shared" si="1"/>
        <v>0</v>
      </c>
      <c r="BE15" s="276"/>
      <c r="BF15" s="557">
        <f>IF($B13=0,1,IF(AND(BF14&gt;0,$B13&lt;='Input 4_RSV Season'!$AG$27-1),BF14+1,0))</f>
        <v>6</v>
      </c>
      <c r="BG15" s="549">
        <f>IF(AND($BF15&gt;0,$BF15&lt;='Input 6_Product Efficacy'!$Q$9/30),SUM($AS13:$BD13),0)</f>
        <v>0</v>
      </c>
      <c r="BH15" s="554">
        <f>IF(AND($BF15&gt;0,$BF15&gt;'Input 6_Product Efficacy'!$Q$9/30),SUM($AS13:$BD13),0)</f>
        <v>177.19914205434557</v>
      </c>
      <c r="BJ15" s="549">
        <f>IF(AND($BF15&gt;0,$BF15&lt;='Input 6_Product Efficacy'!$Q$12/30),SUM($AS13:$BD13),0)</f>
        <v>0</v>
      </c>
      <c r="BK15" s="554">
        <f>IF(AND($BF15&gt;0,$BF15&gt;'Input 6_Product Efficacy'!$Q$12/30),SUM($AS13:$BD13),0)</f>
        <v>177.19914205434557</v>
      </c>
      <c r="BM15" s="276"/>
      <c r="BN15" s="13"/>
      <c r="BO15" s="35">
        <f t="shared" si="5"/>
        <v>82.222430960053046</v>
      </c>
      <c r="BP15" s="35">
        <f t="shared" si="2"/>
        <v>238.34097075762213</v>
      </c>
      <c r="BQ15" s="35">
        <f t="shared" si="2"/>
        <v>339.29762649338346</v>
      </c>
      <c r="BR15" s="35">
        <f t="shared" si="2"/>
        <v>226.89227783913375</v>
      </c>
      <c r="BS15" s="35">
        <f t="shared" si="2"/>
        <v>121.7724610421039</v>
      </c>
      <c r="BT15" s="35">
        <f t="shared" si="2"/>
        <v>32.264498224830945</v>
      </c>
      <c r="BU15" s="35">
        <f t="shared" si="2"/>
        <v>0</v>
      </c>
      <c r="BV15" s="35">
        <f t="shared" si="2"/>
        <v>0</v>
      </c>
      <c r="BW15" s="35">
        <f t="shared" si="2"/>
        <v>0</v>
      </c>
      <c r="BX15" s="35">
        <f t="shared" si="2"/>
        <v>0</v>
      </c>
      <c r="BY15" s="35">
        <f t="shared" si="2"/>
        <v>0</v>
      </c>
      <c r="BZ15" s="35">
        <f t="shared" si="2"/>
        <v>0</v>
      </c>
      <c r="CA15" s="35"/>
      <c r="CB15" s="557">
        <f>IF($B13=0,1,IF(AND(CB14&gt;0,$B13&lt;='Input 4_RSV Season'!$AG$27-1),CB14+1,0))</f>
        <v>6</v>
      </c>
      <c r="CC15" s="549">
        <f>IF(AND($CB15&gt;0,$CB15&lt;='Input 6_Product Efficacy'!$Q$12/30),SUM($BO13:$BZ13),0)</f>
        <v>0</v>
      </c>
      <c r="CD15" s="554">
        <f>IF(AND($CB15&gt;0,$CB15&gt;'Input 6_Product Efficacy'!$Q$12/30),SUM($BO13:$BZ13),0)</f>
        <v>838.41438039435252</v>
      </c>
      <c r="CF15" s="565">
        <f>IF(AND($CB15&gt;0,$CB15&gt;'Input 6_Product Efficacy'!$Q$15/30),SUM($BO13:$BZ13),0)</f>
        <v>838.41438039435252</v>
      </c>
    </row>
    <row r="16" spans="2:85" x14ac:dyDescent="0.3">
      <c r="B16" s="26">
        <v>8</v>
      </c>
      <c r="C16" s="293">
        <f>'Input 2_RSV Rates'!V18*'Input 3_Clinical Severity'!$S$11</f>
        <v>1.8</v>
      </c>
      <c r="E16" s="20">
        <f t="shared" si="3"/>
        <v>1.9452804377564981E-3</v>
      </c>
      <c r="F16" s="20">
        <f t="shared" si="3"/>
        <v>5.6388508891928868E-3</v>
      </c>
      <c r="G16" s="20">
        <f t="shared" si="3"/>
        <v>8.0273597811217519E-3</v>
      </c>
      <c r="H16" s="20">
        <f t="shared" si="3"/>
        <v>5.3679890560875522E-3</v>
      </c>
      <c r="I16" s="20">
        <f t="shared" si="3"/>
        <v>2.8809849521203835E-3</v>
      </c>
      <c r="J16" s="20">
        <f t="shared" si="3"/>
        <v>7.633378932968537E-4</v>
      </c>
      <c r="K16" s="20">
        <f t="shared" si="3"/>
        <v>0</v>
      </c>
      <c r="L16" s="20">
        <f t="shared" si="3"/>
        <v>0</v>
      </c>
      <c r="M16" s="20">
        <f t="shared" si="3"/>
        <v>0</v>
      </c>
      <c r="N16" s="20">
        <f t="shared" si="3"/>
        <v>0</v>
      </c>
      <c r="O16" s="86">
        <f t="shared" si="3"/>
        <v>0</v>
      </c>
      <c r="P16" s="20">
        <f t="shared" si="3"/>
        <v>0</v>
      </c>
      <c r="S16" s="852">
        <f>IF('Input 5_Product Uptake'!$M$9=0,E16*Ratios!$N$23,E16*Ratios!$N$23*Ratios!$Z$23)</f>
        <v>8.6888682759061879</v>
      </c>
      <c r="T16" s="852">
        <f>IF('Input 5_Product Uptake'!$M$9=0,F16*Ratios!$N$23,F16*Ratios!$N$23*Ratios!$Z$23)</f>
        <v>25.186719432690087</v>
      </c>
      <c r="U16" s="852">
        <f>IF('Input 5_Product Uptake'!$M$9=0,G16*Ratios!$N$23,G16*Ratios!$N$23*Ratios!$Z$23)</f>
        <v>35.855329847410339</v>
      </c>
      <c r="V16" s="852">
        <f>IF('Input 5_Product Uptake'!$M$9=0,H16*Ratios!$N$23,H16*Ratios!$N$23*Ratios!$Z$23)</f>
        <v>23.976877014525936</v>
      </c>
      <c r="W16" s="852">
        <f>IF('Input 5_Product Uptake'!$M$9=0,I16*Ratios!$N$23,I16*Ratios!$N$23*Ratios!$Z$23)</f>
        <v>12.868323902291442</v>
      </c>
      <c r="X16" s="852">
        <f>IF('Input 5_Product Uptake'!$M$9=0,J16*Ratios!$N$23,J16*Ratios!$N$23*Ratios!$Z$23)</f>
        <v>3.4095559057353393</v>
      </c>
      <c r="Y16" s="852">
        <f>IF('Input 5_Product Uptake'!$M$9=0,K16*Ratios!$N$23,K16*Ratios!$N$23*Ratios!$Z$23)</f>
        <v>0</v>
      </c>
      <c r="Z16" s="852">
        <f>IF('Input 5_Product Uptake'!$M$9=0,L16*Ratios!$N$23,L16*Ratios!$N$23*Ratios!$Z$23)</f>
        <v>0</v>
      </c>
      <c r="AA16" s="852">
        <f>IF('Input 5_Product Uptake'!$M$9=0,M16*Ratios!$N$23,M16*Ratios!$N$23*Ratios!$Z$23)</f>
        <v>0</v>
      </c>
      <c r="AB16" s="852">
        <f>IF('Input 5_Product Uptake'!$M$9=0,N16*Ratios!$N$23,N16*Ratios!$N$23*Ratios!$Z$23)</f>
        <v>0</v>
      </c>
      <c r="AC16" s="852">
        <f>IF('Input 5_Product Uptake'!$M$9=0,O16*Ratios!$N$23,O16*Ratios!$N$23*Ratios!$Z$23)</f>
        <v>0</v>
      </c>
      <c r="AD16" s="852">
        <f>IF('Input 5_Product Uptake'!$M$9=0,P16*Ratios!$N$23,P16*Ratios!$N$23*Ratios!$Z$23)</f>
        <v>0</v>
      </c>
      <c r="AE16" s="294"/>
      <c r="AF16" s="860">
        <f>Ratios!$P$23*E16</f>
        <v>41.111215480026523</v>
      </c>
      <c r="AG16" s="860">
        <f>Ratios!$P$23*F16</f>
        <v>119.17048537881107</v>
      </c>
      <c r="AH16" s="860">
        <f>Ratios!$P$23*G16</f>
        <v>169.64881324669173</v>
      </c>
      <c r="AI16" s="860">
        <f>Ratios!$P$23*H16</f>
        <v>113.44613891956688</v>
      </c>
      <c r="AJ16" s="860">
        <f>Ratios!$P$23*I16</f>
        <v>60.886230521051949</v>
      </c>
      <c r="AK16" s="860">
        <f>Ratios!$P$23*J16</f>
        <v>16.132249112415472</v>
      </c>
      <c r="AL16" s="860">
        <f>Ratios!$P$23*K16</f>
        <v>0</v>
      </c>
      <c r="AM16" s="860">
        <f>Ratios!$P$23*L16</f>
        <v>0</v>
      </c>
      <c r="AN16" s="860">
        <f>Ratios!$P$23*M16</f>
        <v>0</v>
      </c>
      <c r="AO16" s="860">
        <f>Ratios!$P$23*N16</f>
        <v>0</v>
      </c>
      <c r="AP16" s="860">
        <f>Ratios!$P$23*O16</f>
        <v>0</v>
      </c>
      <c r="AQ16" s="860">
        <f>Ratios!$P$23*P16</f>
        <v>0</v>
      </c>
      <c r="AS16" s="275">
        <f t="shared" si="4"/>
        <v>8.6888682759061879</v>
      </c>
      <c r="AT16" s="275">
        <f t="shared" si="1"/>
        <v>25.186719432690087</v>
      </c>
      <c r="AU16" s="275">
        <f t="shared" si="1"/>
        <v>35.855329847410339</v>
      </c>
      <c r="AV16" s="275">
        <f t="shared" si="1"/>
        <v>23.976877014525936</v>
      </c>
      <c r="AW16" s="275">
        <f t="shared" si="1"/>
        <v>12.868323902291442</v>
      </c>
      <c r="AX16" s="275">
        <f t="shared" si="1"/>
        <v>3.4095559057353393</v>
      </c>
      <c r="AY16" s="275">
        <f t="shared" si="1"/>
        <v>0</v>
      </c>
      <c r="AZ16" s="275">
        <f t="shared" si="1"/>
        <v>0</v>
      </c>
      <c r="BA16" s="275">
        <f t="shared" si="1"/>
        <v>0</v>
      </c>
      <c r="BB16" s="275">
        <f t="shared" si="1"/>
        <v>0</v>
      </c>
      <c r="BC16" s="275">
        <f t="shared" si="1"/>
        <v>0</v>
      </c>
      <c r="BD16" s="275">
        <f t="shared" si="1"/>
        <v>0</v>
      </c>
      <c r="BE16" s="276"/>
      <c r="BF16" s="557">
        <f>IF($B14=0,1,IF(AND(BF15&gt;0,$B14&lt;='Input 4_RSV Season'!$AG$27-1),BF15+1,0))</f>
        <v>0</v>
      </c>
      <c r="BG16" s="549">
        <f>IF(AND($BF16&gt;0,$BF16&lt;='Input 6_Product Efficacy'!$Q$9/30),SUM($AS14:$BD14),0)</f>
        <v>0</v>
      </c>
      <c r="BH16" s="554">
        <f>IF(AND($BF16&gt;0,$BF16&gt;'Input 6_Product Efficacy'!$Q$9/30),SUM($AS14:$BD14),0)</f>
        <v>0</v>
      </c>
      <c r="BJ16" s="549">
        <f>IF(AND($BF16&gt;0,$BF16&lt;='Input 6_Product Efficacy'!$Q$12/30),SUM($AS14:$BD14),0)</f>
        <v>0</v>
      </c>
      <c r="BK16" s="554">
        <f>IF(AND($BF16&gt;0,$BF16&gt;'Input 6_Product Efficacy'!$Q$12/30),SUM($AS14:$BD14),0)</f>
        <v>0</v>
      </c>
      <c r="BM16" s="276"/>
      <c r="BN16" s="13"/>
      <c r="BO16" s="35">
        <f t="shared" si="5"/>
        <v>41.111215480026523</v>
      </c>
      <c r="BP16" s="35">
        <f t="shared" si="2"/>
        <v>119.17048537881107</v>
      </c>
      <c r="BQ16" s="35">
        <f t="shared" si="2"/>
        <v>169.64881324669173</v>
      </c>
      <c r="BR16" s="35">
        <f t="shared" si="2"/>
        <v>113.44613891956688</v>
      </c>
      <c r="BS16" s="35">
        <f t="shared" si="2"/>
        <v>60.886230521051949</v>
      </c>
      <c r="BT16" s="35">
        <f t="shared" si="2"/>
        <v>16.132249112415472</v>
      </c>
      <c r="BU16" s="35">
        <f t="shared" si="2"/>
        <v>0</v>
      </c>
      <c r="BV16" s="35">
        <f t="shared" si="2"/>
        <v>0</v>
      </c>
      <c r="BW16" s="35">
        <f t="shared" si="2"/>
        <v>0</v>
      </c>
      <c r="BX16" s="35">
        <f t="shared" si="2"/>
        <v>0</v>
      </c>
      <c r="BY16" s="35">
        <f t="shared" si="2"/>
        <v>0</v>
      </c>
      <c r="BZ16" s="35">
        <f t="shared" si="2"/>
        <v>0</v>
      </c>
      <c r="CA16" s="35"/>
      <c r="CB16" s="557">
        <f>IF($B14=0,1,IF(AND(CB15&gt;0,$B14&lt;='Input 4_RSV Season'!$AG$27-1),CB15+1,0))</f>
        <v>0</v>
      </c>
      <c r="CC16" s="549">
        <f>IF(AND($CB16&gt;0,$CB16&lt;='Input 6_Product Efficacy'!$Q$12/30),SUM($BO14:$BZ14),0)</f>
        <v>0</v>
      </c>
      <c r="CD16" s="554">
        <f>IF(AND($CB16&gt;0,$CB16&gt;'Input 6_Product Efficacy'!$Q$12/30),SUM($BO14:$BZ14),0)</f>
        <v>0</v>
      </c>
      <c r="CF16" s="565">
        <f>IF(AND($CB16&gt;0,$CB16&gt;'Input 6_Product Efficacy'!$Q$15/30),SUM($BO14:$BZ14),0)</f>
        <v>0</v>
      </c>
    </row>
    <row r="17" spans="2:85" x14ac:dyDescent="0.3">
      <c r="B17" s="26">
        <v>9</v>
      </c>
      <c r="C17" s="293">
        <f>'Input 2_RSV Rates'!V19*'Input 3_Clinical Severity'!$S$11</f>
        <v>2.1</v>
      </c>
      <c r="E17" s="20">
        <f t="shared" si="3"/>
        <v>2.2694938440492481E-3</v>
      </c>
      <c r="F17" s="20">
        <f t="shared" si="3"/>
        <v>6.5786593707250346E-3</v>
      </c>
      <c r="G17" s="20">
        <f t="shared" si="3"/>
        <v>9.3652530779753784E-3</v>
      </c>
      <c r="H17" s="20">
        <f t="shared" si="3"/>
        <v>6.2626538987688102E-3</v>
      </c>
      <c r="I17" s="20">
        <f t="shared" si="3"/>
        <v>3.3611491108071143E-3</v>
      </c>
      <c r="J17" s="20">
        <f t="shared" si="3"/>
        <v>8.9056087551299596E-4</v>
      </c>
      <c r="K17" s="20">
        <f t="shared" si="3"/>
        <v>0</v>
      </c>
      <c r="L17" s="20">
        <f t="shared" si="3"/>
        <v>0</v>
      </c>
      <c r="M17" s="20">
        <f t="shared" si="3"/>
        <v>0</v>
      </c>
      <c r="N17" s="20">
        <f t="shared" si="3"/>
        <v>0</v>
      </c>
      <c r="O17" s="86">
        <f t="shared" si="3"/>
        <v>0</v>
      </c>
      <c r="P17" s="20">
        <f t="shared" si="3"/>
        <v>0</v>
      </c>
      <c r="S17" s="852">
        <f>IF('Input 5_Product Uptake'!$M$9=0,E17*Ratios!$N$23,E17*Ratios!$N$23*Ratios!$Z$23)</f>
        <v>10.137012988557219</v>
      </c>
      <c r="T17" s="852">
        <f>IF('Input 5_Product Uptake'!$M$9=0,F17*Ratios!$N$23,F17*Ratios!$N$23*Ratios!$Z$23)</f>
        <v>29.3845060048051</v>
      </c>
      <c r="U17" s="852">
        <f>IF('Input 5_Product Uptake'!$M$9=0,G17*Ratios!$N$23,G17*Ratios!$N$23*Ratios!$Z$23)</f>
        <v>41.831218155312072</v>
      </c>
      <c r="V17" s="852">
        <f>IF('Input 5_Product Uptake'!$M$9=0,H17*Ratios!$N$23,H17*Ratios!$N$23*Ratios!$Z$23)</f>
        <v>27.973023183613588</v>
      </c>
      <c r="W17" s="852">
        <f>IF('Input 5_Product Uptake'!$M$9=0,I17*Ratios!$N$23,I17*Ratios!$N$23*Ratios!$Z$23)</f>
        <v>15.01304455267335</v>
      </c>
      <c r="X17" s="852">
        <f>IF('Input 5_Product Uptake'!$M$9=0,J17*Ratios!$N$23,J17*Ratios!$N$23*Ratios!$Z$23)</f>
        <v>3.9778152233578958</v>
      </c>
      <c r="Y17" s="852">
        <f>IF('Input 5_Product Uptake'!$M$9=0,K17*Ratios!$N$23,K17*Ratios!$N$23*Ratios!$Z$23)</f>
        <v>0</v>
      </c>
      <c r="Z17" s="852">
        <f>IF('Input 5_Product Uptake'!$M$9=0,L17*Ratios!$N$23,L17*Ratios!$N$23*Ratios!$Z$23)</f>
        <v>0</v>
      </c>
      <c r="AA17" s="852">
        <f>IF('Input 5_Product Uptake'!$M$9=0,M17*Ratios!$N$23,M17*Ratios!$N$23*Ratios!$Z$23)</f>
        <v>0</v>
      </c>
      <c r="AB17" s="852">
        <f>IF('Input 5_Product Uptake'!$M$9=0,N17*Ratios!$N$23,N17*Ratios!$N$23*Ratios!$Z$23)</f>
        <v>0</v>
      </c>
      <c r="AC17" s="852">
        <f>IF('Input 5_Product Uptake'!$M$9=0,O17*Ratios!$N$23,O17*Ratios!$N$23*Ratios!$Z$23)</f>
        <v>0</v>
      </c>
      <c r="AD17" s="852">
        <f>IF('Input 5_Product Uptake'!$M$9=0,P17*Ratios!$N$23,P17*Ratios!$N$23*Ratios!$Z$23)</f>
        <v>0</v>
      </c>
      <c r="AE17" s="294"/>
      <c r="AF17" s="860">
        <f>Ratios!$P$23*E17</f>
        <v>47.963084726697616</v>
      </c>
      <c r="AG17" s="860">
        <f>Ratios!$P$23*F17</f>
        <v>139.03223294194623</v>
      </c>
      <c r="AH17" s="860">
        <f>Ratios!$P$23*G17</f>
        <v>197.92361545447372</v>
      </c>
      <c r="AI17" s="860">
        <f>Ratios!$P$23*H17</f>
        <v>132.35382873949467</v>
      </c>
      <c r="AJ17" s="860">
        <f>Ratios!$P$23*I17</f>
        <v>71.033935607893937</v>
      </c>
      <c r="AK17" s="860">
        <f>Ratios!$P$23*J17</f>
        <v>18.820957297818051</v>
      </c>
      <c r="AL17" s="860">
        <f>Ratios!$P$23*K17</f>
        <v>0</v>
      </c>
      <c r="AM17" s="860">
        <f>Ratios!$P$23*L17</f>
        <v>0</v>
      </c>
      <c r="AN17" s="860">
        <f>Ratios!$P$23*M17</f>
        <v>0</v>
      </c>
      <c r="AO17" s="860">
        <f>Ratios!$P$23*N17</f>
        <v>0</v>
      </c>
      <c r="AP17" s="860">
        <f>Ratios!$P$23*O17</f>
        <v>0</v>
      </c>
      <c r="AQ17" s="860">
        <f>Ratios!$P$23*P17</f>
        <v>0</v>
      </c>
      <c r="AS17" s="275">
        <f t="shared" si="4"/>
        <v>10.137012988557219</v>
      </c>
      <c r="AT17" s="275">
        <f t="shared" si="1"/>
        <v>29.3845060048051</v>
      </c>
      <c r="AU17" s="275">
        <f t="shared" si="1"/>
        <v>41.831218155312072</v>
      </c>
      <c r="AV17" s="275">
        <f t="shared" si="1"/>
        <v>27.973023183613588</v>
      </c>
      <c r="AW17" s="275">
        <f t="shared" si="1"/>
        <v>15.01304455267335</v>
      </c>
      <c r="AX17" s="275">
        <f t="shared" si="1"/>
        <v>3.9778152233578958</v>
      </c>
      <c r="AY17" s="275">
        <f t="shared" si="1"/>
        <v>0</v>
      </c>
      <c r="AZ17" s="275">
        <f t="shared" si="1"/>
        <v>0</v>
      </c>
      <c r="BA17" s="275">
        <f t="shared" si="1"/>
        <v>0</v>
      </c>
      <c r="BB17" s="275">
        <f t="shared" si="1"/>
        <v>0</v>
      </c>
      <c r="BC17" s="275">
        <f t="shared" si="1"/>
        <v>0</v>
      </c>
      <c r="BD17" s="275">
        <f t="shared" si="1"/>
        <v>0</v>
      </c>
      <c r="BE17" s="276"/>
      <c r="BF17" s="557">
        <f>IF($B15=0,1,IF(AND(BF16&gt;0,$B15&lt;='Input 4_RSV Season'!$AG$27-1),BF16+1,0))</f>
        <v>0</v>
      </c>
      <c r="BG17" s="549">
        <f>IF(AND($BF17&gt;0,$BF17&lt;='Input 6_Product Efficacy'!$Q$9/30),SUM($AS15:$BD15),0)</f>
        <v>0</v>
      </c>
      <c r="BH17" s="554">
        <f>IF(AND($BF17&gt;0,$BF17&gt;'Input 6_Product Efficacy'!$Q$9/30),SUM($AS15:$BD15),0)</f>
        <v>0</v>
      </c>
      <c r="BJ17" s="549">
        <f>IF(AND($BF17&gt;0,$BF17&lt;='Input 6_Product Efficacy'!$Q$12/30),SUM($AS15:$BD15),0)</f>
        <v>0</v>
      </c>
      <c r="BK17" s="554">
        <f>IF(AND($BF17&gt;0,$BF17&gt;'Input 6_Product Efficacy'!$Q$12/30),SUM($AS15:$BD15),0)</f>
        <v>0</v>
      </c>
      <c r="BM17" s="276"/>
      <c r="BN17" s="13"/>
      <c r="BO17" s="35">
        <f t="shared" si="5"/>
        <v>47.963084726697616</v>
      </c>
      <c r="BP17" s="35">
        <f t="shared" si="2"/>
        <v>139.03223294194623</v>
      </c>
      <c r="BQ17" s="35">
        <f t="shared" si="2"/>
        <v>197.92361545447372</v>
      </c>
      <c r="BR17" s="35">
        <f t="shared" si="2"/>
        <v>132.35382873949467</v>
      </c>
      <c r="BS17" s="35">
        <f t="shared" si="2"/>
        <v>71.033935607893937</v>
      </c>
      <c r="BT17" s="35">
        <f t="shared" si="2"/>
        <v>18.820957297818051</v>
      </c>
      <c r="BU17" s="35">
        <f t="shared" si="2"/>
        <v>0</v>
      </c>
      <c r="BV17" s="35">
        <f t="shared" si="2"/>
        <v>0</v>
      </c>
      <c r="BW17" s="35">
        <f t="shared" si="2"/>
        <v>0</v>
      </c>
      <c r="BX17" s="35">
        <f t="shared" si="2"/>
        <v>0</v>
      </c>
      <c r="BY17" s="35">
        <f t="shared" si="2"/>
        <v>0</v>
      </c>
      <c r="BZ17" s="35">
        <f t="shared" si="2"/>
        <v>0</v>
      </c>
      <c r="CA17" s="35"/>
      <c r="CB17" s="557">
        <f>IF($B15=0,1,IF(AND(CB16&gt;0,$B15&lt;='Input 4_RSV Season'!$AG$27-1),CB16+1,0))</f>
        <v>0</v>
      </c>
      <c r="CC17" s="549">
        <f>IF(AND($CB17&gt;0,$CB17&lt;='Input 6_Product Efficacy'!$Q$12/30),SUM($BO15:$BZ15),0)</f>
        <v>0</v>
      </c>
      <c r="CD17" s="554">
        <f>IF(AND($CB17&gt;0,$CB17&gt;'Input 6_Product Efficacy'!$Q$12/30),SUM($BO15:$BZ15),0)</f>
        <v>0</v>
      </c>
      <c r="CF17" s="565">
        <f>IF(AND($CB17&gt;0,$CB17&gt;'Input 6_Product Efficacy'!$Q$15/30),SUM($BO15:$BZ15),0)</f>
        <v>0</v>
      </c>
    </row>
    <row r="18" spans="2:85" x14ac:dyDescent="0.3">
      <c r="B18" s="26">
        <v>10</v>
      </c>
      <c r="C18" s="293">
        <f>'Input 2_RSV Rates'!V20*'Input 3_Clinical Severity'!$S$11</f>
        <v>2</v>
      </c>
      <c r="E18" s="20">
        <f t="shared" si="3"/>
        <v>2.1614227086183312E-3</v>
      </c>
      <c r="F18" s="20">
        <f t="shared" si="3"/>
        <v>6.265389876880985E-3</v>
      </c>
      <c r="G18" s="20">
        <f t="shared" si="3"/>
        <v>8.919288645690835E-3</v>
      </c>
      <c r="H18" s="20">
        <f t="shared" si="3"/>
        <v>5.9644322845417239E-3</v>
      </c>
      <c r="I18" s="20">
        <f t="shared" si="3"/>
        <v>3.2010943912448705E-3</v>
      </c>
      <c r="J18" s="20">
        <f t="shared" si="3"/>
        <v>8.4815321477428195E-4</v>
      </c>
      <c r="K18" s="20">
        <f t="shared" si="3"/>
        <v>0</v>
      </c>
      <c r="L18" s="20">
        <f t="shared" si="3"/>
        <v>0</v>
      </c>
      <c r="M18" s="20">
        <f t="shared" si="3"/>
        <v>0</v>
      </c>
      <c r="N18" s="20">
        <f t="shared" si="3"/>
        <v>0</v>
      </c>
      <c r="O18" s="86">
        <f t="shared" si="3"/>
        <v>0</v>
      </c>
      <c r="P18" s="20">
        <f t="shared" si="3"/>
        <v>0</v>
      </c>
      <c r="S18" s="852">
        <f>IF('Input 5_Product Uptake'!$M$9=0,E18*Ratios!$N$23,E18*Ratios!$N$23*Ratios!$Z$23)</f>
        <v>9.6542980843402066</v>
      </c>
      <c r="T18" s="852">
        <f>IF('Input 5_Product Uptake'!$M$9=0,F18*Ratios!$N$23,F18*Ratios!$N$23*Ratios!$Z$23)</f>
        <v>27.985243814100095</v>
      </c>
      <c r="U18" s="852">
        <f>IF('Input 5_Product Uptake'!$M$9=0,G18*Ratios!$N$23,G18*Ratios!$N$23*Ratios!$Z$23)</f>
        <v>39.839255386011494</v>
      </c>
      <c r="V18" s="852">
        <f>IF('Input 5_Product Uptake'!$M$9=0,H18*Ratios!$N$23,H18*Ratios!$N$23*Ratios!$Z$23)</f>
        <v>26.640974460584371</v>
      </c>
      <c r="W18" s="852">
        <f>IF('Input 5_Product Uptake'!$M$9=0,I18*Ratios!$N$23,I18*Ratios!$N$23*Ratios!$Z$23)</f>
        <v>14.298137669212714</v>
      </c>
      <c r="X18" s="852">
        <f>IF('Input 5_Product Uptake'!$M$9=0,J18*Ratios!$N$23,J18*Ratios!$N$23*Ratios!$Z$23)</f>
        <v>3.7883954508170437</v>
      </c>
      <c r="Y18" s="852">
        <f>IF('Input 5_Product Uptake'!$M$9=0,K18*Ratios!$N$23,K18*Ratios!$N$23*Ratios!$Z$23)</f>
        <v>0</v>
      </c>
      <c r="Z18" s="852">
        <f>IF('Input 5_Product Uptake'!$M$9=0,L18*Ratios!$N$23,L18*Ratios!$N$23*Ratios!$Z$23)</f>
        <v>0</v>
      </c>
      <c r="AA18" s="852">
        <f>IF('Input 5_Product Uptake'!$M$9=0,M18*Ratios!$N$23,M18*Ratios!$N$23*Ratios!$Z$23)</f>
        <v>0</v>
      </c>
      <c r="AB18" s="852">
        <f>IF('Input 5_Product Uptake'!$M$9=0,N18*Ratios!$N$23,N18*Ratios!$N$23*Ratios!$Z$23)</f>
        <v>0</v>
      </c>
      <c r="AC18" s="852">
        <f>IF('Input 5_Product Uptake'!$M$9=0,O18*Ratios!$N$23,O18*Ratios!$N$23*Ratios!$Z$23)</f>
        <v>0</v>
      </c>
      <c r="AD18" s="852">
        <f>IF('Input 5_Product Uptake'!$M$9=0,P18*Ratios!$N$23,P18*Ratios!$N$23*Ratios!$Z$23)</f>
        <v>0</v>
      </c>
      <c r="AE18" s="294"/>
      <c r="AF18" s="860">
        <f>Ratios!$P$23*E18</f>
        <v>45.67912831114058</v>
      </c>
      <c r="AG18" s="860">
        <f>Ratios!$P$23*F18</f>
        <v>132.41165042090117</v>
      </c>
      <c r="AH18" s="860">
        <f>Ratios!$P$23*G18</f>
        <v>188.49868138521305</v>
      </c>
      <c r="AI18" s="860">
        <f>Ratios!$P$23*H18</f>
        <v>126.0512654661854</v>
      </c>
      <c r="AJ18" s="860">
        <f>Ratios!$P$23*I18</f>
        <v>67.651367245613272</v>
      </c>
      <c r="AK18" s="860">
        <f>Ratios!$P$23*J18</f>
        <v>17.924721236017191</v>
      </c>
      <c r="AL18" s="860">
        <f>Ratios!$P$23*K18</f>
        <v>0</v>
      </c>
      <c r="AM18" s="860">
        <f>Ratios!$P$23*L18</f>
        <v>0</v>
      </c>
      <c r="AN18" s="860">
        <f>Ratios!$P$23*M18</f>
        <v>0</v>
      </c>
      <c r="AO18" s="860">
        <f>Ratios!$P$23*N18</f>
        <v>0</v>
      </c>
      <c r="AP18" s="860">
        <f>Ratios!$P$23*O18</f>
        <v>0</v>
      </c>
      <c r="AQ18" s="860">
        <f>Ratios!$P$23*P18</f>
        <v>0</v>
      </c>
      <c r="AS18" s="275">
        <f t="shared" si="4"/>
        <v>9.6542980843402066</v>
      </c>
      <c r="AT18" s="275">
        <f t="shared" si="1"/>
        <v>27.985243814100095</v>
      </c>
      <c r="AU18" s="275">
        <f t="shared" si="1"/>
        <v>39.839255386011494</v>
      </c>
      <c r="AV18" s="275">
        <f t="shared" si="1"/>
        <v>26.640974460584371</v>
      </c>
      <c r="AW18" s="275">
        <f t="shared" si="1"/>
        <v>14.298137669212714</v>
      </c>
      <c r="AX18" s="275">
        <f t="shared" si="1"/>
        <v>3.7883954508170437</v>
      </c>
      <c r="AY18" s="275">
        <f t="shared" si="1"/>
        <v>0</v>
      </c>
      <c r="AZ18" s="275">
        <f t="shared" si="1"/>
        <v>0</v>
      </c>
      <c r="BA18" s="275">
        <f t="shared" si="1"/>
        <v>0</v>
      </c>
      <c r="BB18" s="275">
        <f t="shared" si="1"/>
        <v>0</v>
      </c>
      <c r="BC18" s="275">
        <f t="shared" si="1"/>
        <v>0</v>
      </c>
      <c r="BD18" s="275">
        <f t="shared" si="1"/>
        <v>0</v>
      </c>
      <c r="BE18" s="276"/>
      <c r="BF18" s="557">
        <f>IF($B16=0,1,IF(AND(BF17&gt;0,$B16&lt;='Input 4_RSV Season'!$AG$27-1),BF17+1,0))</f>
        <v>0</v>
      </c>
      <c r="BG18" s="549">
        <f>IF(AND($BF18&gt;0,$BF18&lt;='Input 6_Product Efficacy'!$Q$9/30),SUM($AS16:$BD16),0)</f>
        <v>0</v>
      </c>
      <c r="BH18" s="554">
        <f>IF(AND($BF18&gt;0,$BF18&gt;'Input 6_Product Efficacy'!$Q$9/30),SUM($AS16:$BD16),0)</f>
        <v>0</v>
      </c>
      <c r="BJ18" s="549">
        <f>IF(AND($BF18&gt;0,$BF18&lt;='Input 6_Product Efficacy'!$Q$12/30),SUM($AS16:$BD16),0)</f>
        <v>0</v>
      </c>
      <c r="BK18" s="554">
        <f>IF(AND($BF18&gt;0,$BF18&gt;'Input 6_Product Efficacy'!$Q$12/30),SUM($AS16:$BD16),0)</f>
        <v>0</v>
      </c>
      <c r="BM18" s="276"/>
      <c r="BN18" s="13"/>
      <c r="BO18" s="244">
        <f t="shared" si="5"/>
        <v>45.67912831114058</v>
      </c>
      <c r="BP18" s="244">
        <f t="shared" si="2"/>
        <v>132.41165042090117</v>
      </c>
      <c r="BQ18" s="244">
        <f t="shared" si="2"/>
        <v>188.49868138521305</v>
      </c>
      <c r="BR18" s="244">
        <f t="shared" si="2"/>
        <v>126.0512654661854</v>
      </c>
      <c r="BS18" s="244">
        <f t="shared" si="2"/>
        <v>67.651367245613272</v>
      </c>
      <c r="BT18" s="244">
        <f t="shared" si="2"/>
        <v>17.924721236017191</v>
      </c>
      <c r="BU18" s="244">
        <f t="shared" si="2"/>
        <v>0</v>
      </c>
      <c r="BV18" s="244">
        <f t="shared" si="2"/>
        <v>0</v>
      </c>
      <c r="BW18" s="244">
        <f t="shared" si="2"/>
        <v>0</v>
      </c>
      <c r="BX18" s="244">
        <f t="shared" si="2"/>
        <v>0</v>
      </c>
      <c r="BY18" s="244">
        <f t="shared" si="2"/>
        <v>0</v>
      </c>
      <c r="BZ18" s="244">
        <f t="shared" si="2"/>
        <v>0</v>
      </c>
      <c r="CA18" s="35"/>
      <c r="CB18" s="557">
        <f>IF($B16=0,1,IF(AND(CB17&gt;0,$B16&lt;='Input 4_RSV Season'!$AG$27-1),CB17+1,0))</f>
        <v>0</v>
      </c>
      <c r="CC18" s="549">
        <f>IF(AND($CB18&gt;0,$CB18&lt;='Input 6_Product Efficacy'!$Q$12/30),SUM($BO16:$BZ16),0)</f>
        <v>0</v>
      </c>
      <c r="CD18" s="554">
        <f>IF(AND($CB18&gt;0,$CB18&gt;'Input 6_Product Efficacy'!$Q$12/30),SUM($BO16:$BZ16),0)</f>
        <v>0</v>
      </c>
      <c r="CF18" s="565">
        <f>IF(AND($CB18&gt;0,$CB18&gt;'Input 6_Product Efficacy'!$Q$15/30),SUM($BO16:$BZ16),0)</f>
        <v>0</v>
      </c>
    </row>
    <row r="19" spans="2:85" x14ac:dyDescent="0.3">
      <c r="B19" s="26">
        <v>11</v>
      </c>
      <c r="C19" s="293">
        <f>'Input 2_RSV Rates'!V21*'Input 3_Clinical Severity'!$S$11</f>
        <v>1.5</v>
      </c>
      <c r="E19" s="20">
        <f t="shared" si="3"/>
        <v>1.6210670314637486E-3</v>
      </c>
      <c r="F19" s="20">
        <f t="shared" si="3"/>
        <v>4.699042407660739E-3</v>
      </c>
      <c r="G19" s="20">
        <f t="shared" si="3"/>
        <v>6.6894664842681271E-3</v>
      </c>
      <c r="H19" s="20">
        <f t="shared" si="3"/>
        <v>4.4733242134062934E-3</v>
      </c>
      <c r="I19" s="20">
        <f t="shared" si="3"/>
        <v>2.4008207934336531E-3</v>
      </c>
      <c r="J19" s="20">
        <f t="shared" si="3"/>
        <v>6.3611491108071143E-4</v>
      </c>
      <c r="K19" s="20">
        <f t="shared" si="3"/>
        <v>0</v>
      </c>
      <c r="L19" s="20">
        <f t="shared" si="3"/>
        <v>0</v>
      </c>
      <c r="M19" s="20">
        <f t="shared" si="3"/>
        <v>0</v>
      </c>
      <c r="N19" s="20">
        <f t="shared" si="3"/>
        <v>0</v>
      </c>
      <c r="O19" s="86">
        <f t="shared" si="3"/>
        <v>0</v>
      </c>
      <c r="P19" s="20">
        <f t="shared" si="3"/>
        <v>0</v>
      </c>
      <c r="S19" s="852">
        <f>IF('Input 5_Product Uptake'!$M$9=0,E19*Ratios!$N$23,E19*Ratios!$N$23*Ratios!$Z$23)</f>
        <v>7.2407235632551572</v>
      </c>
      <c r="T19" s="852">
        <f>IF('Input 5_Product Uptake'!$M$9=0,F19*Ratios!$N$23,F19*Ratios!$N$23*Ratios!$Z$23)</f>
        <v>20.988932860575073</v>
      </c>
      <c r="U19" s="852">
        <f>IF('Input 5_Product Uptake'!$M$9=0,G19*Ratios!$N$23,G19*Ratios!$N$23*Ratios!$Z$23)</f>
        <v>29.879441539508619</v>
      </c>
      <c r="V19" s="852">
        <f>IF('Input 5_Product Uptake'!$M$9=0,H19*Ratios!$N$23,H19*Ratios!$N$23*Ratios!$Z$23)</f>
        <v>19.980730845438281</v>
      </c>
      <c r="W19" s="852">
        <f>IF('Input 5_Product Uptake'!$M$9=0,I19*Ratios!$N$23,I19*Ratios!$N$23*Ratios!$Z$23)</f>
        <v>10.723603251909537</v>
      </c>
      <c r="X19" s="852">
        <f>IF('Input 5_Product Uptake'!$M$9=0,J19*Ratios!$N$23,J19*Ratios!$N$23*Ratios!$Z$23)</f>
        <v>2.8412965881127827</v>
      </c>
      <c r="Y19" s="852">
        <f>IF('Input 5_Product Uptake'!$M$9=0,K19*Ratios!$N$23,K19*Ratios!$N$23*Ratios!$Z$23)</f>
        <v>0</v>
      </c>
      <c r="Z19" s="852">
        <f>IF('Input 5_Product Uptake'!$M$9=0,L19*Ratios!$N$23,L19*Ratios!$N$23*Ratios!$Z$23)</f>
        <v>0</v>
      </c>
      <c r="AA19" s="852">
        <f>IF('Input 5_Product Uptake'!$M$9=0,M19*Ratios!$N$23,M19*Ratios!$N$23*Ratios!$Z$23)</f>
        <v>0</v>
      </c>
      <c r="AB19" s="852">
        <f>IF('Input 5_Product Uptake'!$M$9=0,N19*Ratios!$N$23,N19*Ratios!$N$23*Ratios!$Z$23)</f>
        <v>0</v>
      </c>
      <c r="AC19" s="852">
        <f>IF('Input 5_Product Uptake'!$M$9=0,O19*Ratios!$N$23,O19*Ratios!$N$23*Ratios!$Z$23)</f>
        <v>0</v>
      </c>
      <c r="AD19" s="852">
        <f>IF('Input 5_Product Uptake'!$M$9=0,P19*Ratios!$N$23,P19*Ratios!$N$23*Ratios!$Z$23)</f>
        <v>0</v>
      </c>
      <c r="AE19" s="294"/>
      <c r="AF19" s="860">
        <f>Ratios!$P$23*E19</f>
        <v>34.259346233355444</v>
      </c>
      <c r="AG19" s="860">
        <f>Ratios!$P$23*F19</f>
        <v>99.308737815675883</v>
      </c>
      <c r="AH19" s="860">
        <f>Ratios!$P$23*G19</f>
        <v>141.3740110389098</v>
      </c>
      <c r="AI19" s="860">
        <f>Ratios!$P$23*H19</f>
        <v>94.538449099639067</v>
      </c>
      <c r="AJ19" s="860">
        <f>Ratios!$P$23*I19</f>
        <v>50.738525434209961</v>
      </c>
      <c r="AK19" s="860">
        <f>Ratios!$P$23*J19</f>
        <v>13.443540927012894</v>
      </c>
      <c r="AL19" s="860">
        <f>Ratios!$P$23*K19</f>
        <v>0</v>
      </c>
      <c r="AM19" s="860">
        <f>Ratios!$P$23*L19</f>
        <v>0</v>
      </c>
      <c r="AN19" s="860">
        <f>Ratios!$P$23*M19</f>
        <v>0</v>
      </c>
      <c r="AO19" s="860">
        <f>Ratios!$P$23*N19</f>
        <v>0</v>
      </c>
      <c r="AP19" s="860">
        <f>Ratios!$P$23*O19</f>
        <v>0</v>
      </c>
      <c r="AQ19" s="860">
        <f>Ratios!$P$23*P19</f>
        <v>0</v>
      </c>
      <c r="AS19" s="275">
        <f t="shared" si="4"/>
        <v>7.2407235632551572</v>
      </c>
      <c r="AT19" s="275">
        <f t="shared" si="1"/>
        <v>20.988932860575073</v>
      </c>
      <c r="AU19" s="275">
        <f t="shared" si="1"/>
        <v>29.879441539508619</v>
      </c>
      <c r="AV19" s="275">
        <f t="shared" si="1"/>
        <v>19.980730845438281</v>
      </c>
      <c r="AW19" s="275">
        <f t="shared" si="1"/>
        <v>10.723603251909537</v>
      </c>
      <c r="AX19" s="275">
        <f t="shared" si="1"/>
        <v>2.8412965881127827</v>
      </c>
      <c r="AY19" s="275">
        <f t="shared" si="1"/>
        <v>0</v>
      </c>
      <c r="AZ19" s="275">
        <f t="shared" si="1"/>
        <v>0</v>
      </c>
      <c r="BA19" s="275">
        <f t="shared" si="1"/>
        <v>0</v>
      </c>
      <c r="BB19" s="275">
        <f t="shared" si="1"/>
        <v>0</v>
      </c>
      <c r="BC19" s="275">
        <f t="shared" si="1"/>
        <v>0</v>
      </c>
      <c r="BD19" s="275">
        <f t="shared" si="1"/>
        <v>0</v>
      </c>
      <c r="BE19" s="280"/>
      <c r="BF19" s="557">
        <f>IF($B17=0,1,IF(AND(BF18&gt;0,$B17&lt;='Input 4_RSV Season'!$AG$27-1),BF18+1,0))</f>
        <v>0</v>
      </c>
      <c r="BG19" s="549">
        <f>IF(AND($BF19&gt;0,$BF19&lt;='Input 6_Product Efficacy'!$Q$9/30),SUM($AS17:$BD17),0)</f>
        <v>0</v>
      </c>
      <c r="BH19" s="554">
        <f>IF(AND($BF19&gt;0,$BF19&gt;'Input 6_Product Efficacy'!$Q$9/30),SUM($AS17:$BD17),0)</f>
        <v>0</v>
      </c>
      <c r="BJ19" s="549">
        <f>IF(AND($BF19&gt;0,$BF19&lt;='Input 6_Product Efficacy'!$Q$12/30),SUM($AS17:$BD17),0)</f>
        <v>0</v>
      </c>
      <c r="BK19" s="554">
        <f>IF(AND($BF19&gt;0,$BF19&gt;'Input 6_Product Efficacy'!$Q$12/30),SUM($AS17:$BD17),0)</f>
        <v>0</v>
      </c>
      <c r="BM19" s="280"/>
      <c r="BN19" s="10"/>
      <c r="BO19" s="46">
        <f t="shared" si="5"/>
        <v>34.259346233355444</v>
      </c>
      <c r="BP19" s="46">
        <f t="shared" si="2"/>
        <v>99.308737815675883</v>
      </c>
      <c r="BQ19" s="46">
        <f t="shared" si="2"/>
        <v>141.3740110389098</v>
      </c>
      <c r="BR19" s="46">
        <f t="shared" si="2"/>
        <v>94.538449099639067</v>
      </c>
      <c r="BS19" s="46">
        <f t="shared" si="2"/>
        <v>50.738525434209961</v>
      </c>
      <c r="BT19" s="46">
        <f t="shared" si="2"/>
        <v>13.443540927012894</v>
      </c>
      <c r="BU19" s="46">
        <f t="shared" si="2"/>
        <v>0</v>
      </c>
      <c r="BV19" s="46">
        <f t="shared" si="2"/>
        <v>0</v>
      </c>
      <c r="BW19" s="46">
        <f t="shared" si="2"/>
        <v>0</v>
      </c>
      <c r="BX19" s="46">
        <f t="shared" si="2"/>
        <v>0</v>
      </c>
      <c r="BY19" s="46">
        <f t="shared" si="2"/>
        <v>0</v>
      </c>
      <c r="BZ19" s="46">
        <f t="shared" si="2"/>
        <v>0</v>
      </c>
      <c r="CA19" s="46"/>
      <c r="CB19" s="557">
        <f>IF($B17=0,1,IF(AND(CB18&gt;0,$B17&lt;='Input 4_RSV Season'!$AG$27-1),CB18+1,0))</f>
        <v>0</v>
      </c>
      <c r="CC19" s="549">
        <f>IF(AND($CB19&gt;0,$CB19&lt;='Input 6_Product Efficacy'!$Q$12/30),SUM($BO17:$BZ17),0)</f>
        <v>0</v>
      </c>
      <c r="CD19" s="554">
        <f>IF(AND($CB19&gt;0,$CB19&gt;'Input 6_Product Efficacy'!$Q$12/30),SUM($BO17:$BZ17),0)</f>
        <v>0</v>
      </c>
      <c r="CF19" s="565">
        <f>IF(AND($CB19&gt;0,$CB19&gt;'Input 6_Product Efficacy'!$Q$15/30),SUM($BO17:$BZ17),0)</f>
        <v>0</v>
      </c>
    </row>
    <row r="20" spans="2:85" ht="15" thickBot="1" x14ac:dyDescent="0.35">
      <c r="B20" s="113"/>
      <c r="S20" s="294"/>
      <c r="T20" s="294"/>
      <c r="U20" s="294"/>
      <c r="V20" s="294"/>
      <c r="W20" s="294"/>
      <c r="X20" s="295"/>
      <c r="Y20" s="295"/>
      <c r="Z20" s="295"/>
      <c r="AA20" s="295"/>
      <c r="AB20" s="295"/>
      <c r="AC20" s="295"/>
      <c r="AD20" s="295"/>
      <c r="AE20" s="294"/>
      <c r="AF20" s="861"/>
      <c r="AG20" s="861"/>
      <c r="AH20" s="861"/>
      <c r="AI20" s="861"/>
      <c r="AJ20" s="861"/>
      <c r="AK20" s="861"/>
      <c r="AL20" s="861"/>
      <c r="AM20" s="861"/>
      <c r="AN20" s="861"/>
      <c r="AO20" s="861"/>
      <c r="AP20" s="861"/>
      <c r="AQ20" s="861"/>
      <c r="AS20" s="2" t="s">
        <v>31</v>
      </c>
      <c r="AT20" s="70">
        <f>BG25</f>
        <v>0.18835210291186108</v>
      </c>
      <c r="AW20" s="2" t="s">
        <v>22</v>
      </c>
      <c r="AX20" s="36">
        <f>SUM(AS8:BD19)</f>
        <v>4466.6404428181568</v>
      </c>
      <c r="AY20" s="36"/>
      <c r="AZ20" s="36"/>
      <c r="BA20" s="36"/>
      <c r="BB20" s="36"/>
      <c r="BC20" s="36"/>
      <c r="BD20" s="36"/>
      <c r="BE20" s="36"/>
      <c r="BF20" s="557">
        <f>IF($B18=0,1,IF(AND(BF19&gt;0,$B18&lt;='Input 4_RSV Season'!$AG$27-1),BF19+1,0))</f>
        <v>0</v>
      </c>
      <c r="BG20" s="549">
        <f>IF(AND($BF20&gt;0,$BF20&lt;='Input 6_Product Efficacy'!$Q$9/30),SUM($AS18:$BD18),0)</f>
        <v>0</v>
      </c>
      <c r="BH20" s="554">
        <f>IF(AND($BF20&gt;0,$BF20&gt;'Input 6_Product Efficacy'!$Q$9/30),SUM($AS18:$BD18),0)</f>
        <v>0</v>
      </c>
      <c r="BJ20" s="549">
        <f>IF(AND($BF20&gt;0,$BF20&lt;='Input 6_Product Efficacy'!$Q$12/30),SUM($AS18:$BD18),0)</f>
        <v>0</v>
      </c>
      <c r="BK20" s="554">
        <f>IF(AND($BF20&gt;0,$BF20&gt;'Input 6_Product Efficacy'!$Q$12/30),SUM($AS18:$BD18),0)</f>
        <v>0</v>
      </c>
      <c r="BM20" s="36"/>
      <c r="BO20" s="2" t="s">
        <v>35</v>
      </c>
      <c r="BP20" s="70">
        <f>SUM(BT21:BT22)</f>
        <v>8.8200435784044316E-3</v>
      </c>
      <c r="BS20" s="2" t="s">
        <v>23</v>
      </c>
      <c r="BT20" s="36">
        <f>SUM(BO8:BZ19)</f>
        <v>21133.824554078328</v>
      </c>
      <c r="BU20" s="36"/>
      <c r="BV20" s="36"/>
      <c r="BW20" s="510" t="s">
        <v>278</v>
      </c>
      <c r="BX20" s="510" t="s">
        <v>279</v>
      </c>
      <c r="BY20" s="510" t="s">
        <v>280</v>
      </c>
      <c r="CA20" s="36"/>
      <c r="CB20" s="557">
        <f>IF($B18=0,1,IF(AND(CB19&gt;0,$B18&lt;='Input 4_RSV Season'!$AG$27-1),CB19+1,0))</f>
        <v>0</v>
      </c>
      <c r="CC20" s="549">
        <f>IF(AND($CB20&gt;0,$CB20&lt;='Input 6_Product Efficacy'!$Q$12/30),SUM($BO18:$BZ18),0)</f>
        <v>0</v>
      </c>
      <c r="CD20" s="554">
        <f>IF(AND($CB20&gt;0,$CB20&gt;'Input 6_Product Efficacy'!$Q$12/30),SUM($BO18:$BZ18),0)</f>
        <v>0</v>
      </c>
      <c r="CF20" s="565">
        <f>IF(AND($CB20&gt;0,$CB20&gt;'Input 6_Product Efficacy'!$Q$15/30),SUM($BO18:$BZ18),0)</f>
        <v>0</v>
      </c>
    </row>
    <row r="21" spans="2:85" x14ac:dyDescent="0.3">
      <c r="B21" s="115" t="s">
        <v>247</v>
      </c>
      <c r="C21" s="115" t="s">
        <v>250</v>
      </c>
      <c r="S21" s="294"/>
      <c r="T21" s="294"/>
      <c r="U21" s="294"/>
      <c r="V21" s="294"/>
      <c r="W21" s="294"/>
      <c r="X21" s="294"/>
      <c r="Y21" s="294"/>
      <c r="Z21" s="294"/>
      <c r="AA21" s="294"/>
      <c r="AB21" s="294"/>
      <c r="AC21" s="294"/>
      <c r="AD21" s="294"/>
      <c r="AE21" s="294"/>
      <c r="AF21" s="861"/>
      <c r="AG21" s="861"/>
      <c r="AH21" s="861"/>
      <c r="AI21" s="861"/>
      <c r="AJ21" s="861"/>
      <c r="AK21" s="861"/>
      <c r="AL21" s="861"/>
      <c r="AM21" s="861"/>
      <c r="AN21" s="861"/>
      <c r="AO21" s="861"/>
      <c r="AP21" s="861"/>
      <c r="AQ21" s="861"/>
      <c r="AS21" s="512" t="s">
        <v>117</v>
      </c>
      <c r="AV21" s="2" t="s">
        <v>291</v>
      </c>
      <c r="AW21" s="70">
        <f>BG24</f>
        <v>0.17918731938091481</v>
      </c>
      <c r="BC21" s="70"/>
      <c r="BD21" s="70"/>
      <c r="BE21" s="70"/>
      <c r="BF21" s="557">
        <f>IF($B19=0,1,IF(AND(BF20&gt;0,$B19&lt;='Input 4_RSV Season'!$AG$27-1),BF20+1,0))</f>
        <v>0</v>
      </c>
      <c r="BG21" s="550">
        <f>IF(AND($BF21&gt;0,$BF21&lt;='Input 6_Product Efficacy'!$Q$9/30),SUM($AS19:$BD19),0)</f>
        <v>0</v>
      </c>
      <c r="BH21" s="555">
        <f>IF(AND($BF21&gt;0,$BF21&gt;'Input 6_Product Efficacy'!$Q$9/30),SUM($AS19:$BD19),0)</f>
        <v>0</v>
      </c>
      <c r="BI21" s="13"/>
      <c r="BJ21" s="550">
        <f>IF(AND($BF21&gt;0,$BF21&lt;='Input 6_Product Efficacy'!$Q$12/30),SUM($AS19:$BD19),0)</f>
        <v>0</v>
      </c>
      <c r="BK21" s="555">
        <f>IF(AND($BF21&gt;0,$BF21&gt;'Input 6_Product Efficacy'!$Q$12/30),SUM($AS19:$BD19),0)</f>
        <v>0</v>
      </c>
      <c r="BM21" s="70"/>
      <c r="BP21" s="512" t="s">
        <v>277</v>
      </c>
      <c r="BS21" s="2" t="s">
        <v>286</v>
      </c>
      <c r="BT21" s="617">
        <f>IF('Input 6_Product Efficacy'!$Q$15=120,'WiS percent RSV_low'!BY21,IF('Input 6_Product Efficacy'!$Q$15=60,'WiS percent RSV_low'!BX21,'WiS percent RSV_low'!BW21))</f>
        <v>6.3190580670783435E-3</v>
      </c>
      <c r="BV21" s="510" t="s">
        <v>281</v>
      </c>
      <c r="BW21" s="70">
        <f>SUM(BO8:BZ10)/((1-'Input 1_Population'!$G$24)*'WiS percent RSV_base'!$BB$5)</f>
        <v>6.3190580670783435E-3</v>
      </c>
      <c r="BX21" s="70">
        <f>SUM(BO8:BZ9)/((1-'Input 1_Population'!$G$24)*'WiS percent RSV_base'!$BB$5)</f>
        <v>4.6763989442546996E-3</v>
      </c>
      <c r="BY21" s="70">
        <f>SUM(BO8:BZ11)/((1-'Input 1_Population'!$G$24)*'WiS percent RSV_base'!$BB$5)</f>
        <v>7.4585603414695197E-3</v>
      </c>
      <c r="BZ21" s="70"/>
      <c r="CA21" s="70"/>
      <c r="CB21" s="557">
        <f>IF($B19=0,1,IF(AND(CB20&gt;0,$B19&lt;='Input 4_RSV Season'!$AG$27-1),CB20+1,0))</f>
        <v>0</v>
      </c>
      <c r="CC21" s="550">
        <f>IF(AND($CB21&gt;0,$CB21&lt;='Input 6_Product Efficacy'!$Q$12/30),SUM($BO19:$BZ19),0)</f>
        <v>0</v>
      </c>
      <c r="CD21" s="555">
        <f>IF(AND($CB21&gt;0,$CB21&gt;'Input 6_Product Efficacy'!$Q$12/30),SUM($BO19:$BZ19),0)</f>
        <v>0</v>
      </c>
      <c r="CF21" s="566">
        <f>IF(AND($CB21&gt;0,$CB21&gt;'Input 6_Product Efficacy'!$Q$15/30),SUM($BO19:$BZ19),0)</f>
        <v>0</v>
      </c>
    </row>
    <row r="22" spans="2:85" ht="15" thickBot="1" x14ac:dyDescent="0.35">
      <c r="B22" s="24" t="s">
        <v>248</v>
      </c>
      <c r="C22" s="429">
        <f>SUM(C8:C13)/SUM(C8:C19)</f>
        <v>0.81532147742818062</v>
      </c>
      <c r="S22" s="294"/>
      <c r="T22" s="294"/>
      <c r="U22" s="294"/>
      <c r="V22" s="294"/>
      <c r="W22" s="294"/>
      <c r="X22" s="294"/>
      <c r="Y22" s="294"/>
      <c r="Z22" s="294"/>
      <c r="AA22" s="294"/>
      <c r="AB22" s="294"/>
      <c r="AC22" s="294"/>
      <c r="AD22" s="294"/>
      <c r="AE22" s="294"/>
      <c r="AF22" s="861"/>
      <c r="AG22" s="861"/>
      <c r="AH22" s="861"/>
      <c r="AI22" s="861"/>
      <c r="AJ22" s="861"/>
      <c r="AK22" s="861"/>
      <c r="AL22" s="861"/>
      <c r="AM22" s="861"/>
      <c r="AN22" s="861"/>
      <c r="AO22" s="861"/>
      <c r="AP22" s="861"/>
      <c r="AQ22" s="861"/>
      <c r="AS22" s="70"/>
      <c r="AT22" s="494"/>
      <c r="AU22" s="494"/>
      <c r="AV22" s="12" t="s">
        <v>292</v>
      </c>
      <c r="AW22" s="282">
        <f>BH24</f>
        <v>9.1647835309462584E-3</v>
      </c>
      <c r="BC22" s="70"/>
      <c r="BD22" s="70"/>
      <c r="BE22" s="70"/>
      <c r="BF22" s="2"/>
      <c r="BG22" s="5">
        <f>SUM(BG10:BG21)</f>
        <v>3464.5487429246191</v>
      </c>
      <c r="BH22" s="5">
        <f t="shared" ref="BH22:BK22" si="6">SUM(BH10:BH21)</f>
        <v>177.19914205434557</v>
      </c>
      <c r="BI22" s="593"/>
      <c r="BJ22" s="5">
        <f t="shared" si="6"/>
        <v>3464.5487429246191</v>
      </c>
      <c r="BK22" s="5">
        <f t="shared" si="6"/>
        <v>177.19914205434557</v>
      </c>
      <c r="BM22" s="70"/>
      <c r="BO22" s="12"/>
      <c r="BP22" s="282"/>
      <c r="BQ22" s="494"/>
      <c r="BR22" s="494"/>
      <c r="BS22" s="12" t="s">
        <v>287</v>
      </c>
      <c r="BT22" s="618">
        <f>CF24</f>
        <v>2.5009855113260889E-3</v>
      </c>
      <c r="BU22" s="494"/>
      <c r="BV22" s="509"/>
      <c r="BW22" s="282"/>
      <c r="BX22" s="282"/>
      <c r="BY22" s="282"/>
      <c r="BZ22" s="282"/>
      <c r="CA22" s="70"/>
      <c r="CB22" s="2"/>
      <c r="CC22" s="5">
        <f t="shared" ref="CC22:CD22" si="7">SUM(CC10:CC21)</f>
        <v>16392.446678744753</v>
      </c>
      <c r="CD22" s="5">
        <f t="shared" si="7"/>
        <v>838.41438039435252</v>
      </c>
      <c r="CF22" s="5">
        <f t="shared" ref="CF22" si="8">SUM(CF10:CF21)</f>
        <v>4885.9320788498462</v>
      </c>
    </row>
    <row r="23" spans="2:85" ht="15" thickBot="1" x14ac:dyDescent="0.35">
      <c r="B23" s="24" t="s">
        <v>249</v>
      </c>
      <c r="C23" s="429">
        <f>SUM(C14:C19)/SUM(C8:C19)</f>
        <v>0.18467852257181944</v>
      </c>
      <c r="S23" s="294"/>
      <c r="T23" s="294"/>
      <c r="U23" s="294"/>
      <c r="V23" s="294"/>
      <c r="W23" s="294"/>
      <c r="X23" s="294"/>
      <c r="Y23" s="294"/>
      <c r="Z23" s="294"/>
      <c r="AA23" s="294"/>
      <c r="AB23" s="294"/>
      <c r="AC23" s="294"/>
      <c r="AD23" s="294"/>
      <c r="AE23" s="294"/>
      <c r="AF23" s="861"/>
      <c r="AG23" s="861"/>
      <c r="AH23" s="861"/>
      <c r="AI23" s="861"/>
      <c r="AJ23" s="861"/>
      <c r="AK23" s="861"/>
      <c r="AL23" s="861"/>
      <c r="AM23" s="861"/>
      <c r="AN23" s="861"/>
      <c r="AO23" s="861"/>
      <c r="AP23" s="861"/>
      <c r="AQ23" s="861"/>
      <c r="AS23" s="70"/>
      <c r="AU23" s="13"/>
      <c r="AV23" s="14"/>
      <c r="AW23" s="70"/>
      <c r="AX23" s="13"/>
      <c r="AY23" s="510"/>
      <c r="AZ23" s="510"/>
      <c r="BA23" s="510"/>
      <c r="BB23" s="510"/>
      <c r="BC23" s="70"/>
      <c r="BD23" s="70"/>
      <c r="BE23" s="70"/>
      <c r="BM23" s="70"/>
      <c r="BO23" s="2"/>
      <c r="BP23" s="70"/>
      <c r="BR23" s="13"/>
      <c r="BS23" s="14"/>
      <c r="BT23" s="70"/>
      <c r="BU23" s="13"/>
      <c r="BV23" s="510"/>
      <c r="BW23" s="510"/>
      <c r="BX23" s="510"/>
      <c r="BY23" s="510"/>
      <c r="BZ23" s="510"/>
      <c r="CA23" s="70"/>
    </row>
    <row r="24" spans="2:85" ht="16.2" thickBot="1" x14ac:dyDescent="0.35">
      <c r="B24" s="26"/>
      <c r="C24" s="26"/>
      <c r="S24" s="294"/>
      <c r="T24" s="294"/>
      <c r="U24" s="294"/>
      <c r="V24" s="294"/>
      <c r="W24" s="294"/>
      <c r="X24" s="294"/>
      <c r="Y24" s="294"/>
      <c r="Z24" s="294"/>
      <c r="AA24" s="294"/>
      <c r="AB24" s="294"/>
      <c r="AC24" s="294"/>
      <c r="AD24" s="294"/>
      <c r="AE24" s="294"/>
      <c r="AF24" s="861"/>
      <c r="AG24" s="861"/>
      <c r="AH24" s="861"/>
      <c r="AI24" s="861"/>
      <c r="AJ24" s="861"/>
      <c r="AK24" s="861"/>
      <c r="AL24" s="861"/>
      <c r="AM24" s="861"/>
      <c r="AN24" s="861"/>
      <c r="AO24" s="861"/>
      <c r="AP24" s="861"/>
      <c r="AQ24" s="861"/>
      <c r="AS24" s="512" t="s">
        <v>216</v>
      </c>
      <c r="AV24" s="2" t="s">
        <v>291</v>
      </c>
      <c r="AW24" s="70">
        <f>BJ24</f>
        <v>0.17918731938091481</v>
      </c>
      <c r="AY24" s="510"/>
      <c r="AZ24" s="70"/>
      <c r="BA24" s="70"/>
      <c r="BB24" s="70"/>
      <c r="BC24" s="70"/>
      <c r="BD24" s="70"/>
      <c r="BE24" s="70"/>
      <c r="BG24" s="567">
        <f>BG22/('Input 1_Population'!$G$24*$BB$5)</f>
        <v>0.17918731938091481</v>
      </c>
      <c r="BH24" s="568">
        <f>BH22/('Input 1_Population'!$G$24*$BB$5)</f>
        <v>9.1647835309462584E-3</v>
      </c>
      <c r="BI24" s="569"/>
      <c r="BJ24" s="580">
        <f>BJ22/('Input 1_Population'!$G$24*$BB$5)</f>
        <v>0.17918731938091481</v>
      </c>
      <c r="BK24" s="581">
        <f>BK22/('Input 1_Population'!$G$24*$BB$5)</f>
        <v>9.1647835309462584E-3</v>
      </c>
      <c r="BM24" s="70"/>
      <c r="BO24" s="2"/>
      <c r="BP24" s="512" t="s">
        <v>216</v>
      </c>
      <c r="BS24" s="2" t="s">
        <v>286</v>
      </c>
      <c r="BT24" s="70">
        <f>CC24</f>
        <v>8.3908803841532108E-3</v>
      </c>
      <c r="BV24" s="510"/>
      <c r="BW24" s="70"/>
      <c r="BX24" s="70"/>
      <c r="BY24" s="70"/>
      <c r="BZ24" s="70"/>
      <c r="CA24" s="70"/>
      <c r="CC24" s="580">
        <f>CC22/((1-'Input 1_Population'!$G$24)*$BB$5)</f>
        <v>8.3908803841532108E-3</v>
      </c>
      <c r="CD24" s="581">
        <f>CD22/((1-'Input 1_Population'!$G$24)*$BB$5)</f>
        <v>4.2916319425122246E-4</v>
      </c>
      <c r="CE24" s="20"/>
      <c r="CF24" s="580">
        <f>CF22/((1-'Input 1_Population'!$G$24)*$BB$5)</f>
        <v>2.5009855113260889E-3</v>
      </c>
    </row>
    <row r="25" spans="2:85" ht="15" thickBot="1" x14ac:dyDescent="0.35">
      <c r="B25" s="26"/>
      <c r="C25" s="26"/>
      <c r="S25" s="294"/>
      <c r="T25" s="294"/>
      <c r="U25" s="294"/>
      <c r="V25" s="294"/>
      <c r="W25" s="294"/>
      <c r="X25" s="294"/>
      <c r="Y25" s="294"/>
      <c r="Z25" s="294"/>
      <c r="AA25" s="294"/>
      <c r="AB25" s="294"/>
      <c r="AC25" s="294"/>
      <c r="AD25" s="294"/>
      <c r="AE25" s="294"/>
      <c r="AF25" s="861"/>
      <c r="AG25" s="861"/>
      <c r="AH25" s="861"/>
      <c r="AI25" s="861"/>
      <c r="AJ25" s="861"/>
      <c r="AK25" s="861"/>
      <c r="AL25" s="861"/>
      <c r="AM25" s="861"/>
      <c r="AN25" s="861"/>
      <c r="AO25" s="861"/>
      <c r="AP25" s="861"/>
      <c r="AQ25" s="861"/>
      <c r="AS25" s="70"/>
      <c r="AT25" s="13"/>
      <c r="AU25" s="13"/>
      <c r="AV25" s="14" t="s">
        <v>292</v>
      </c>
      <c r="AW25" s="70">
        <f>BK24</f>
        <v>9.1647835309462584E-3</v>
      </c>
      <c r="AX25" s="13"/>
      <c r="AY25" s="510"/>
      <c r="AZ25" s="70"/>
      <c r="BA25" s="70"/>
      <c r="BB25" s="70"/>
      <c r="BC25" s="70"/>
      <c r="BD25" s="70"/>
      <c r="BE25" s="70"/>
      <c r="BG25" s="1121">
        <f>SUM(BG24:BH24)</f>
        <v>0.18835210291186108</v>
      </c>
      <c r="BH25" s="1121"/>
      <c r="BJ25" s="1121">
        <f>SUM(BJ24:BK24)</f>
        <v>0.18835210291186108</v>
      </c>
      <c r="BK25" s="1121"/>
      <c r="BM25" s="70"/>
      <c r="BO25" s="14"/>
      <c r="BP25" s="70"/>
      <c r="BQ25" s="13"/>
      <c r="BR25" s="13"/>
      <c r="BS25" s="14" t="s">
        <v>287</v>
      </c>
      <c r="BT25" s="70">
        <f>CD24</f>
        <v>4.2916319425122246E-4</v>
      </c>
      <c r="BU25" s="13"/>
      <c r="BV25" s="510"/>
      <c r="BW25" s="70"/>
      <c r="BX25" s="70"/>
      <c r="BY25" s="70"/>
      <c r="BZ25" s="70"/>
      <c r="CA25" s="70"/>
      <c r="CC25" s="582" t="s">
        <v>326</v>
      </c>
      <c r="CD25" s="624">
        <f>SUM(CC24:CD24)</f>
        <v>8.8200435784044334E-3</v>
      </c>
      <c r="CE25" s="606"/>
    </row>
    <row r="26" spans="2:85" x14ac:dyDescent="0.3">
      <c r="B26" s="26"/>
      <c r="C26" s="26"/>
      <c r="S26" s="294"/>
      <c r="T26" s="294"/>
      <c r="U26" s="294"/>
      <c r="V26" s="294"/>
      <c r="W26" s="294"/>
      <c r="X26" s="294"/>
      <c r="Y26" s="294"/>
      <c r="Z26" s="294"/>
      <c r="AA26" s="294"/>
      <c r="AB26" s="294"/>
      <c r="AC26" s="294"/>
      <c r="AD26" s="294"/>
      <c r="AE26" s="294"/>
      <c r="AF26" s="861"/>
      <c r="AG26" s="861"/>
      <c r="AH26" s="861"/>
      <c r="AI26" s="861"/>
      <c r="AJ26" s="861"/>
      <c r="AK26" s="861"/>
      <c r="AL26" s="861"/>
      <c r="AM26" s="861"/>
      <c r="AN26" s="861"/>
      <c r="AO26" s="861"/>
      <c r="AP26" s="861"/>
      <c r="AQ26" s="861"/>
      <c r="AS26" s="70"/>
      <c r="AT26" s="13"/>
      <c r="AU26" s="13"/>
      <c r="AV26" s="14"/>
      <c r="AW26" s="70"/>
      <c r="AX26" s="13"/>
      <c r="AY26" s="510"/>
      <c r="AZ26" s="70"/>
      <c r="BA26" s="70"/>
      <c r="BB26" s="70"/>
      <c r="BC26" s="70"/>
      <c r="BD26" s="70"/>
      <c r="BE26" s="70"/>
      <c r="BG26" s="606"/>
      <c r="BH26" s="606"/>
      <c r="BJ26" s="606"/>
      <c r="BK26" s="606"/>
      <c r="BM26" s="70"/>
      <c r="BO26" s="14"/>
      <c r="BP26" s="70"/>
      <c r="BQ26" s="13"/>
      <c r="BR26" s="13"/>
      <c r="BS26" s="14"/>
      <c r="BT26" s="70"/>
      <c r="BU26" s="13"/>
      <c r="BV26" s="510"/>
      <c r="BW26" s="70"/>
      <c r="BX26" s="70"/>
      <c r="BY26" s="70"/>
      <c r="BZ26" s="70"/>
      <c r="CA26" s="70"/>
    </row>
    <row r="27" spans="2:85" x14ac:dyDescent="0.3">
      <c r="B27" s="26"/>
      <c r="C27" s="26"/>
      <c r="S27" s="294"/>
      <c r="T27" s="294"/>
      <c r="U27" s="294"/>
      <c r="V27" s="294"/>
      <c r="W27" s="294"/>
      <c r="X27" s="294"/>
      <c r="Y27" s="294"/>
      <c r="Z27" s="294"/>
      <c r="AA27" s="294"/>
      <c r="AB27" s="294"/>
      <c r="AC27" s="294"/>
      <c r="AD27" s="294"/>
      <c r="AE27" s="294"/>
      <c r="AF27" s="861"/>
      <c r="AG27" s="861"/>
      <c r="AH27" s="861"/>
      <c r="AI27" s="861"/>
      <c r="AJ27" s="861"/>
      <c r="AK27" s="861"/>
      <c r="AL27" s="861"/>
      <c r="AM27" s="861"/>
      <c r="AN27" s="861"/>
      <c r="AO27" s="861"/>
      <c r="AP27" s="861"/>
      <c r="AQ27" s="861"/>
      <c r="AT27" s="614"/>
      <c r="AU27" s="1"/>
      <c r="AY27" s="510"/>
      <c r="AZ27" s="70"/>
      <c r="BA27" s="70"/>
      <c r="BB27" s="70"/>
      <c r="BC27" s="70"/>
      <c r="BD27" s="70"/>
      <c r="BE27" s="70"/>
      <c r="BG27" s="606"/>
      <c r="BH27" s="606"/>
      <c r="BJ27" s="606"/>
      <c r="BK27" s="606"/>
      <c r="BM27" s="70"/>
      <c r="BO27" s="14"/>
      <c r="BP27" s="70"/>
      <c r="BQ27" s="13"/>
      <c r="BR27" s="13"/>
      <c r="BS27" s="14"/>
      <c r="BT27" s="70"/>
      <c r="BU27" s="13"/>
      <c r="BV27" s="510"/>
      <c r="BW27" s="70"/>
      <c r="BX27" s="70"/>
      <c r="BY27" s="70"/>
      <c r="BZ27" s="70"/>
      <c r="CA27" s="70"/>
    </row>
    <row r="28" spans="2:85" x14ac:dyDescent="0.3">
      <c r="B28" s="26"/>
      <c r="C28" s="26"/>
      <c r="S28" s="294"/>
      <c r="T28" s="294"/>
      <c r="U28" s="294"/>
      <c r="V28" s="294"/>
      <c r="W28" s="294"/>
      <c r="X28" s="294"/>
      <c r="Y28" s="294"/>
      <c r="Z28" s="294"/>
      <c r="AA28" s="294"/>
      <c r="AB28" s="294"/>
      <c r="AC28" s="294"/>
      <c r="AD28" s="294"/>
      <c r="AE28" s="294"/>
      <c r="AF28" s="861"/>
      <c r="AG28" s="861"/>
      <c r="AH28" s="861"/>
      <c r="AI28" s="861"/>
      <c r="AJ28" s="861"/>
      <c r="AK28" s="861"/>
      <c r="AL28" s="861"/>
      <c r="AM28" s="861"/>
      <c r="AN28" s="861"/>
      <c r="AO28" s="861"/>
      <c r="AP28" s="861"/>
      <c r="AQ28" s="861"/>
      <c r="AS28" s="70"/>
      <c r="AT28" s="13"/>
      <c r="AU28" s="13"/>
      <c r="AV28" s="14"/>
      <c r="AW28" s="70"/>
      <c r="AX28" s="13"/>
      <c r="AY28" s="510"/>
      <c r="AZ28" s="70"/>
      <c r="BA28" s="70"/>
      <c r="BB28" s="70"/>
      <c r="BC28" s="70"/>
      <c r="BD28" s="70"/>
      <c r="BE28" s="70"/>
      <c r="BG28" s="1117" t="s">
        <v>311</v>
      </c>
      <c r="BH28" s="1117"/>
      <c r="BI28" s="1117"/>
      <c r="BJ28" s="1117"/>
      <c r="BK28" s="1117"/>
      <c r="BM28" s="70"/>
      <c r="BO28" s="14"/>
      <c r="BP28" s="70"/>
      <c r="BQ28" s="13"/>
      <c r="BR28" s="13"/>
      <c r="BS28" s="14"/>
      <c r="BT28" s="70"/>
      <c r="BU28" s="13"/>
      <c r="BV28" s="510"/>
      <c r="BW28" s="70"/>
      <c r="BX28" s="70"/>
      <c r="BY28" s="70"/>
      <c r="BZ28" s="70"/>
      <c r="CA28" s="70"/>
    </row>
    <row r="29" spans="2:85" ht="15" customHeight="1" x14ac:dyDescent="0.3">
      <c r="B29" s="1135" t="s">
        <v>92</v>
      </c>
      <c r="C29" s="1135"/>
      <c r="D29" s="13"/>
      <c r="S29" s="294"/>
      <c r="T29" s="294"/>
      <c r="U29" s="294"/>
      <c r="V29" s="294"/>
      <c r="W29" s="294"/>
      <c r="X29" s="294"/>
      <c r="Y29" s="294"/>
      <c r="Z29" s="294"/>
      <c r="AA29" s="294"/>
      <c r="AB29" s="294"/>
      <c r="AC29" s="294"/>
      <c r="AD29" s="294"/>
      <c r="AE29" s="294"/>
      <c r="AF29" s="861"/>
      <c r="AG29" s="861"/>
      <c r="AH29" s="861"/>
      <c r="AI29" s="861"/>
      <c r="AJ29" s="861"/>
      <c r="AK29" s="861"/>
      <c r="AL29" s="861"/>
      <c r="AM29" s="861"/>
      <c r="AN29" s="861"/>
      <c r="AO29" s="861"/>
      <c r="AP29" s="861"/>
      <c r="AQ29" s="861"/>
      <c r="AR29" s="13"/>
      <c r="AS29" s="12"/>
      <c r="AT29" s="282"/>
      <c r="AU29" s="10"/>
      <c r="AV29" s="10"/>
      <c r="AW29" s="12"/>
      <c r="AX29" s="282"/>
      <c r="AY29" s="282"/>
      <c r="AZ29" s="282"/>
      <c r="BA29" s="282"/>
      <c r="BB29" s="282"/>
      <c r="BC29" s="282"/>
      <c r="BD29" s="282"/>
      <c r="BE29" s="282"/>
      <c r="BG29" s="1122" t="s">
        <v>117</v>
      </c>
      <c r="BH29" s="1122"/>
      <c r="BI29" s="57"/>
      <c r="BJ29" s="1122" t="s">
        <v>216</v>
      </c>
      <c r="BK29" s="1122"/>
      <c r="BL29" s="282"/>
      <c r="BM29" s="282"/>
      <c r="BN29" s="10"/>
      <c r="BO29" s="14"/>
      <c r="BP29" s="70"/>
      <c r="BQ29" s="13"/>
      <c r="BR29" s="13"/>
      <c r="BS29" s="13"/>
      <c r="BT29" s="13"/>
      <c r="BU29" s="13"/>
      <c r="BV29" s="510"/>
      <c r="BW29" s="70"/>
      <c r="BX29" s="70"/>
      <c r="BY29" s="70"/>
      <c r="BZ29" s="70"/>
      <c r="CA29" s="10"/>
      <c r="CC29" s="1122" t="s">
        <v>216</v>
      </c>
      <c r="CD29" s="1122"/>
      <c r="CF29" s="1122" t="s">
        <v>226</v>
      </c>
      <c r="CG29" s="1122"/>
    </row>
    <row r="30" spans="2:85" x14ac:dyDescent="0.3">
      <c r="B30" s="31" t="s">
        <v>14</v>
      </c>
      <c r="C30" s="31" t="s">
        <v>511</v>
      </c>
      <c r="D30" s="13"/>
      <c r="E30" s="246"/>
      <c r="F30" s="246"/>
      <c r="G30" s="246"/>
      <c r="H30" s="246"/>
      <c r="I30" s="246"/>
      <c r="J30" s="246"/>
      <c r="K30" s="43"/>
      <c r="L30" s="43"/>
      <c r="M30" s="43"/>
      <c r="N30" s="43"/>
      <c r="O30" s="43"/>
      <c r="P30" s="43"/>
      <c r="Q30" s="13"/>
      <c r="R30" s="13"/>
      <c r="S30" s="296"/>
      <c r="T30" s="296"/>
      <c r="U30" s="296"/>
      <c r="V30" s="296"/>
      <c r="W30" s="296"/>
      <c r="X30" s="296"/>
      <c r="Y30" s="296"/>
      <c r="Z30" s="296"/>
      <c r="AA30" s="296"/>
      <c r="AB30" s="296"/>
      <c r="AC30" s="296"/>
      <c r="AD30" s="296"/>
      <c r="AE30" s="296"/>
      <c r="AF30" s="862"/>
      <c r="AG30" s="862"/>
      <c r="AH30" s="862"/>
      <c r="AI30" s="862"/>
      <c r="AJ30" s="862"/>
      <c r="AK30" s="862"/>
      <c r="AL30" s="862"/>
      <c r="AM30" s="862"/>
      <c r="AN30" s="862"/>
      <c r="AO30" s="862"/>
      <c r="AP30" s="862"/>
      <c r="AQ30" s="862"/>
      <c r="AR30" s="13"/>
      <c r="BF30" s="561" t="s">
        <v>314</v>
      </c>
      <c r="BG30" s="1123" t="s">
        <v>312</v>
      </c>
      <c r="BH30" s="1126" t="s">
        <v>313</v>
      </c>
      <c r="BI30" s="57"/>
      <c r="BJ30" s="1123" t="s">
        <v>312</v>
      </c>
      <c r="BK30" s="1126" t="s">
        <v>313</v>
      </c>
      <c r="CB30" s="561" t="s">
        <v>314</v>
      </c>
      <c r="CC30" s="1123" t="s">
        <v>312</v>
      </c>
      <c r="CD30" s="1126" t="s">
        <v>313</v>
      </c>
      <c r="CF30" s="1140" t="s">
        <v>313</v>
      </c>
      <c r="CG30" s="1140"/>
    </row>
    <row r="31" spans="2:85" x14ac:dyDescent="0.3">
      <c r="B31" s="26">
        <v>0</v>
      </c>
      <c r="C31" s="293">
        <f>'Input 2_RSV Rates'!O10*'Input 3_Clinical Severity'!$N$9</f>
        <v>10.920000000000002</v>
      </c>
      <c r="D31" s="13"/>
      <c r="E31" s="77">
        <f t="shared" ref="E31:P42" si="9">($C31/(SUM($C$31:$C$42)))*E$7</f>
        <v>2.1703733521183459E-3</v>
      </c>
      <c r="F31" s="77">
        <f t="shared" si="9"/>
        <v>6.2913354131025464E-3</v>
      </c>
      <c r="G31" s="77">
        <f t="shared" si="9"/>
        <v>8.9562242125389973E-3</v>
      </c>
      <c r="H31" s="77">
        <f t="shared" si="9"/>
        <v>5.9891315286303721E-3</v>
      </c>
      <c r="I31" s="77">
        <f t="shared" si="9"/>
        <v>3.214350407567677E-3</v>
      </c>
      <c r="J31" s="77">
        <f t="shared" si="9"/>
        <v>8.5166549260340158E-4</v>
      </c>
      <c r="K31" s="77">
        <f t="shared" si="9"/>
        <v>0</v>
      </c>
      <c r="L31" s="77">
        <f t="shared" si="9"/>
        <v>0</v>
      </c>
      <c r="M31" s="77">
        <f t="shared" si="9"/>
        <v>0</v>
      </c>
      <c r="N31" s="77">
        <f t="shared" si="9"/>
        <v>0</v>
      </c>
      <c r="O31" s="77">
        <f t="shared" si="9"/>
        <v>0</v>
      </c>
      <c r="P31" s="77">
        <f t="shared" si="9"/>
        <v>0</v>
      </c>
      <c r="Q31" s="13"/>
      <c r="R31" s="13"/>
      <c r="S31" s="852">
        <f>IF('Input 5_Product Uptake'!$M$9=0,E31*Ratios!$N$26,E31*Ratios!$N$26*Ratios!$Z$23)</f>
        <v>38.075902936861375</v>
      </c>
      <c r="T31" s="852">
        <f>IF('Input 5_Product Uptake'!$M$9=0,F31*Ratios!$N$26,F31*Ratios!$N$26*Ratios!$Z$23)</f>
        <v>110.37192117140826</v>
      </c>
      <c r="U31" s="852">
        <f>IF('Input 5_Product Uptake'!$M$9=0,G31*Ratios!$N$26,G31*Ratios!$N$26*Ratios!$Z$23)</f>
        <v>157.12334629641529</v>
      </c>
      <c r="V31" s="852">
        <f>IF('Input 5_Product Uptake'!$M$9=0,H31*Ratios!$N$26,H31*Ratios!$N$26*Ratios!$Z$23)</f>
        <v>105.07021316754151</v>
      </c>
      <c r="W31" s="852">
        <f>IF('Input 5_Product Uptake'!$M$9=0,I31*Ratios!$N$26,I31*Ratios!$N$26*Ratios!$Z$23)</f>
        <v>56.390894222946592</v>
      </c>
      <c r="X31" s="852">
        <f>IF('Input 5_Product Uptake'!$M$9=0,J31*Ratios!$N$26,J31*Ratios!$N$26*Ratios!$Z$23)</f>
        <v>14.94117710180636</v>
      </c>
      <c r="Y31" s="852">
        <f>IF('Input 5_Product Uptake'!$M$9=0,K31*Ratios!$N$26,K31*Ratios!$N$26*Ratios!$Z$23)</f>
        <v>0</v>
      </c>
      <c r="Z31" s="852">
        <f>IF('Input 5_Product Uptake'!$M$9=0,L31*Ratios!$N$26,L31*Ratios!$N$26*Ratios!$Z$23)</f>
        <v>0</v>
      </c>
      <c r="AA31" s="852">
        <f>IF('Input 5_Product Uptake'!$M$9=0,M31*Ratios!$N$26,M31*Ratios!$N$26*Ratios!$Z$23)</f>
        <v>0</v>
      </c>
      <c r="AB31" s="852">
        <f>IF('Input 5_Product Uptake'!$M$9=0,N31*Ratios!$N$26,N31*Ratios!$N$26*Ratios!$Z$23)</f>
        <v>0</v>
      </c>
      <c r="AC31" s="852">
        <f>IF('Input 5_Product Uptake'!$M$9=0,O31*Ratios!$N$26,O31*Ratios!$N$26*Ratios!$Z$23)</f>
        <v>0</v>
      </c>
      <c r="AD31" s="852">
        <f>IF('Input 5_Product Uptake'!$M$9=0,P31*Ratios!$N$26,P31*Ratios!$N$26*Ratios!$Z$23)</f>
        <v>0</v>
      </c>
      <c r="AE31" s="296"/>
      <c r="AF31" s="860">
        <f>Ratios!$P$26*E31</f>
        <v>258.92119927556621</v>
      </c>
      <c r="AG31" s="860">
        <f>Ratios!$P$26*F31</f>
        <v>750.54372954562859</v>
      </c>
      <c r="AH31" s="860">
        <f>Ratios!$P$26*G31</f>
        <v>1068.4596324536024</v>
      </c>
      <c r="AI31" s="860">
        <f>Ratios!$P$26*H31</f>
        <v>714.4914106591574</v>
      </c>
      <c r="AJ31" s="860">
        <f>Ratios!$P$26*I31</f>
        <v>383.46557361064873</v>
      </c>
      <c r="AK31" s="860">
        <f>Ratios!$P$26*J31</f>
        <v>101.60198958914624</v>
      </c>
      <c r="AL31" s="860">
        <f>Ratios!$P$26*K31</f>
        <v>0</v>
      </c>
      <c r="AM31" s="860">
        <f>Ratios!$P$26*L31</f>
        <v>0</v>
      </c>
      <c r="AN31" s="860">
        <f>Ratios!$P$26*M31</f>
        <v>0</v>
      </c>
      <c r="AO31" s="860">
        <f>Ratios!$P$26*N31</f>
        <v>0</v>
      </c>
      <c r="AP31" s="860">
        <f>Ratios!$P$26*O31</f>
        <v>0</v>
      </c>
      <c r="AQ31" s="860">
        <f>Ratios!$P$26*P31</f>
        <v>0</v>
      </c>
      <c r="AR31" s="13"/>
      <c r="AS31" s="275">
        <f>S31</f>
        <v>38.075902936861375</v>
      </c>
      <c r="AT31" s="275">
        <f t="shared" ref="AT31:BD42" si="10">T31</f>
        <v>110.37192117140826</v>
      </c>
      <c r="AU31" s="275">
        <f t="shared" si="10"/>
        <v>157.12334629641529</v>
      </c>
      <c r="AV31" s="275">
        <f t="shared" si="10"/>
        <v>105.07021316754151</v>
      </c>
      <c r="AW31" s="275">
        <f t="shared" si="10"/>
        <v>56.390894222946592</v>
      </c>
      <c r="AX31" s="275">
        <f t="shared" si="10"/>
        <v>14.94117710180636</v>
      </c>
      <c r="AY31" s="275">
        <f t="shared" si="10"/>
        <v>0</v>
      </c>
      <c r="AZ31" s="275">
        <f t="shared" si="10"/>
        <v>0</v>
      </c>
      <c r="BA31" s="275">
        <f t="shared" si="10"/>
        <v>0</v>
      </c>
      <c r="BB31" s="275">
        <f t="shared" si="10"/>
        <v>0</v>
      </c>
      <c r="BC31" s="275">
        <f t="shared" si="10"/>
        <v>0</v>
      </c>
      <c r="BD31" s="275">
        <f t="shared" si="10"/>
        <v>0</v>
      </c>
      <c r="BE31" s="275"/>
      <c r="BF31" s="573" t="s">
        <v>317</v>
      </c>
      <c r="BG31" s="1124"/>
      <c r="BH31" s="1127"/>
      <c r="BI31" s="57"/>
      <c r="BJ31" s="1124"/>
      <c r="BK31" s="1127"/>
      <c r="BL31" s="275"/>
      <c r="BM31" s="275"/>
      <c r="BN31" s="32"/>
      <c r="BO31" s="35">
        <f>AF31</f>
        <v>258.92119927556621</v>
      </c>
      <c r="BP31" s="35">
        <f t="shared" ref="BP31:BZ42" si="11">AG31</f>
        <v>750.54372954562859</v>
      </c>
      <c r="BQ31" s="35">
        <f t="shared" si="11"/>
        <v>1068.4596324536024</v>
      </c>
      <c r="BR31" s="35">
        <f t="shared" si="11"/>
        <v>714.4914106591574</v>
      </c>
      <c r="BS31" s="35">
        <f t="shared" si="11"/>
        <v>383.46557361064873</v>
      </c>
      <c r="BT31" s="35">
        <f t="shared" si="11"/>
        <v>101.60198958914624</v>
      </c>
      <c r="BU31" s="35">
        <f t="shared" si="11"/>
        <v>0</v>
      </c>
      <c r="BV31" s="35">
        <f t="shared" si="11"/>
        <v>0</v>
      </c>
      <c r="BW31" s="35">
        <f t="shared" si="11"/>
        <v>0</v>
      </c>
      <c r="BX31" s="35">
        <f t="shared" si="11"/>
        <v>0</v>
      </c>
      <c r="BY31" s="35">
        <f t="shared" si="11"/>
        <v>0</v>
      </c>
      <c r="BZ31" s="35">
        <f t="shared" si="11"/>
        <v>0</v>
      </c>
      <c r="CA31" s="35"/>
      <c r="CB31" s="573" t="s">
        <v>317</v>
      </c>
      <c r="CC31" s="1124"/>
      <c r="CD31" s="1127"/>
      <c r="CF31" s="1139"/>
      <c r="CG31" s="1139"/>
    </row>
    <row r="32" spans="2:85" ht="15" customHeight="1" x14ac:dyDescent="0.3">
      <c r="B32" s="26">
        <v>1</v>
      </c>
      <c r="C32" s="293">
        <f>'Input 2_RSV Rates'!O11*'Input 3_Clinical Severity'!$N$9</f>
        <v>35.685000000000002</v>
      </c>
      <c r="D32" s="13"/>
      <c r="E32" s="77">
        <f t="shared" si="9"/>
        <v>7.0924700613867369E-3</v>
      </c>
      <c r="F32" s="77">
        <f t="shared" si="9"/>
        <v>2.0559185367817246E-2</v>
      </c>
      <c r="G32" s="77">
        <f t="shared" si="9"/>
        <v>2.9267661265975648E-2</v>
      </c>
      <c r="H32" s="77">
        <f t="shared" si="9"/>
        <v>1.9571626245345676E-2</v>
      </c>
      <c r="I32" s="77">
        <f t="shared" si="9"/>
        <v>1.05040379390158E-2</v>
      </c>
      <c r="J32" s="77">
        <f t="shared" si="9"/>
        <v>2.7831211633289727E-3</v>
      </c>
      <c r="K32" s="77">
        <f t="shared" si="9"/>
        <v>0</v>
      </c>
      <c r="L32" s="77">
        <f t="shared" si="9"/>
        <v>0</v>
      </c>
      <c r="M32" s="77">
        <f t="shared" si="9"/>
        <v>0</v>
      </c>
      <c r="N32" s="77">
        <f t="shared" si="9"/>
        <v>0</v>
      </c>
      <c r="O32" s="77">
        <f t="shared" si="9"/>
        <v>0</v>
      </c>
      <c r="P32" s="77">
        <f t="shared" si="9"/>
        <v>0</v>
      </c>
      <c r="Q32" s="13"/>
      <c r="R32" s="13"/>
      <c r="S32" s="852">
        <f>IF('Input 5_Product Uptake'!$M$9=0,E32*Ratios!$N$26,E32*Ratios!$N$26*Ratios!$Z$23)</f>
        <v>124.42661138295769</v>
      </c>
      <c r="T32" s="852">
        <f>IF('Input 5_Product Uptake'!$M$9=0,F32*Ratios!$N$26,F32*Ratios!$N$26*Ratios!$Z$23)</f>
        <v>360.67967097085199</v>
      </c>
      <c r="U32" s="852">
        <f>IF('Input 5_Product Uptake'!$M$9=0,G32*Ratios!$N$26,G32*Ratios!$N$26*Ratios!$Z$23)</f>
        <v>513.45664950435707</v>
      </c>
      <c r="V32" s="852">
        <f>IF('Input 5_Product Uptake'!$M$9=0,H32*Ratios!$N$26,H32*Ratios!$N$26*Ratios!$Z$23)</f>
        <v>343.35444660107305</v>
      </c>
      <c r="W32" s="852">
        <f>IF('Input 5_Product Uptake'!$M$9=0,I32*Ratios!$N$26,I32*Ratios!$N$26*Ratios!$Z$23)</f>
        <v>184.27738647855759</v>
      </c>
      <c r="X32" s="852">
        <f>IF('Input 5_Product Uptake'!$M$9=0,J32*Ratios!$N$26,J32*Ratios!$N$26*Ratios!$Z$23)</f>
        <v>48.825632314831502</v>
      </c>
      <c r="Y32" s="852">
        <f>IF('Input 5_Product Uptake'!$M$9=0,K32*Ratios!$N$26,K32*Ratios!$N$26*Ratios!$Z$23)</f>
        <v>0</v>
      </c>
      <c r="Z32" s="852">
        <f>IF('Input 5_Product Uptake'!$M$9=0,L32*Ratios!$N$26,L32*Ratios!$N$26*Ratios!$Z$23)</f>
        <v>0</v>
      </c>
      <c r="AA32" s="852">
        <f>IF('Input 5_Product Uptake'!$M$9=0,M32*Ratios!$N$26,M32*Ratios!$N$26*Ratios!$Z$23)</f>
        <v>0</v>
      </c>
      <c r="AB32" s="852">
        <f>IF('Input 5_Product Uptake'!$M$9=0,N32*Ratios!$N$26,N32*Ratios!$N$26*Ratios!$Z$23)</f>
        <v>0</v>
      </c>
      <c r="AC32" s="852">
        <f>IF('Input 5_Product Uptake'!$M$9=0,O32*Ratios!$N$26,O32*Ratios!$N$26*Ratios!$Z$23)</f>
        <v>0</v>
      </c>
      <c r="AD32" s="852">
        <f>IF('Input 5_Product Uptake'!$M$9=0,P32*Ratios!$N$26,P32*Ratios!$N$26*Ratios!$Z$23)</f>
        <v>0</v>
      </c>
      <c r="AE32" s="296"/>
      <c r="AF32" s="860">
        <f>Ratios!$P$26*E32</f>
        <v>846.11749048979675</v>
      </c>
      <c r="AG32" s="860">
        <f>Ratios!$P$26*F32</f>
        <v>2452.6696876223218</v>
      </c>
      <c r="AH32" s="860">
        <f>Ratios!$P$26*G32</f>
        <v>3491.5734417680219</v>
      </c>
      <c r="AI32" s="860">
        <f>Ratios!$P$26*H32</f>
        <v>2334.8558598326031</v>
      </c>
      <c r="AJ32" s="860">
        <f>Ratios!$P$26*I32</f>
        <v>1253.1107137633699</v>
      </c>
      <c r="AK32" s="860">
        <f>Ratios!$P$26*J32</f>
        <v>332.02078740738858</v>
      </c>
      <c r="AL32" s="860">
        <f>Ratios!$P$26*K32</f>
        <v>0</v>
      </c>
      <c r="AM32" s="860">
        <f>Ratios!$P$26*L32</f>
        <v>0</v>
      </c>
      <c r="AN32" s="860">
        <f>Ratios!$P$26*M32</f>
        <v>0</v>
      </c>
      <c r="AO32" s="860">
        <f>Ratios!$P$26*N32</f>
        <v>0</v>
      </c>
      <c r="AP32" s="860">
        <f>Ratios!$P$26*O32</f>
        <v>0</v>
      </c>
      <c r="AQ32" s="860">
        <f>Ratios!$P$26*P32</f>
        <v>0</v>
      </c>
      <c r="AR32" s="13"/>
      <c r="AS32" s="275">
        <f t="shared" ref="AS32:AS42" si="12">S32</f>
        <v>124.42661138295769</v>
      </c>
      <c r="AT32" s="275">
        <f t="shared" si="10"/>
        <v>360.67967097085199</v>
      </c>
      <c r="AU32" s="275">
        <f t="shared" si="10"/>
        <v>513.45664950435707</v>
      </c>
      <c r="AV32" s="275">
        <f t="shared" si="10"/>
        <v>343.35444660107305</v>
      </c>
      <c r="AW32" s="275">
        <f t="shared" si="10"/>
        <v>184.27738647855759</v>
      </c>
      <c r="AX32" s="275">
        <f t="shared" si="10"/>
        <v>48.825632314831502</v>
      </c>
      <c r="AY32" s="275">
        <f t="shared" si="10"/>
        <v>0</v>
      </c>
      <c r="AZ32" s="275">
        <f t="shared" si="10"/>
        <v>0</v>
      </c>
      <c r="BA32" s="275">
        <f t="shared" si="10"/>
        <v>0</v>
      </c>
      <c r="BB32" s="275">
        <f t="shared" si="10"/>
        <v>0</v>
      </c>
      <c r="BC32" s="275">
        <f t="shared" si="10"/>
        <v>0</v>
      </c>
      <c r="BD32" s="275">
        <f t="shared" si="10"/>
        <v>0</v>
      </c>
      <c r="BE32" s="275"/>
      <c r="BF32" s="518"/>
      <c r="BG32" s="1125"/>
      <c r="BH32" s="1128"/>
      <c r="BI32" s="57"/>
      <c r="BJ32" s="1125"/>
      <c r="BK32" s="1128"/>
      <c r="BL32" s="275"/>
      <c r="BM32" s="275"/>
      <c r="BN32" s="32"/>
      <c r="BO32" s="35">
        <f t="shared" ref="BO32:BO42" si="13">AF32</f>
        <v>846.11749048979675</v>
      </c>
      <c r="BP32" s="35">
        <f t="shared" si="11"/>
        <v>2452.6696876223218</v>
      </c>
      <c r="BQ32" s="35">
        <f t="shared" si="11"/>
        <v>3491.5734417680219</v>
      </c>
      <c r="BR32" s="35">
        <f t="shared" si="11"/>
        <v>2334.8558598326031</v>
      </c>
      <c r="BS32" s="35">
        <f t="shared" si="11"/>
        <v>1253.1107137633699</v>
      </c>
      <c r="BT32" s="35">
        <f t="shared" si="11"/>
        <v>332.02078740738858</v>
      </c>
      <c r="BU32" s="35">
        <f t="shared" si="11"/>
        <v>0</v>
      </c>
      <c r="BV32" s="35">
        <f t="shared" si="11"/>
        <v>0</v>
      </c>
      <c r="BW32" s="35">
        <f t="shared" si="11"/>
        <v>0</v>
      </c>
      <c r="BX32" s="35">
        <f t="shared" si="11"/>
        <v>0</v>
      </c>
      <c r="BY32" s="35">
        <f t="shared" si="11"/>
        <v>0</v>
      </c>
      <c r="BZ32" s="35">
        <f t="shared" si="11"/>
        <v>0</v>
      </c>
      <c r="CA32" s="35"/>
      <c r="CB32" s="518"/>
      <c r="CC32" s="1125"/>
      <c r="CD32" s="1128"/>
      <c r="CF32" s="1139"/>
      <c r="CG32" s="1139"/>
    </row>
    <row r="33" spans="2:84" x14ac:dyDescent="0.3">
      <c r="B33" s="26">
        <v>2</v>
      </c>
      <c r="C33" s="293">
        <f>'Input 2_RSV Rates'!O12*'Input 3_Clinical Severity'!$N$9</f>
        <v>40.300000000000004</v>
      </c>
      <c r="D33" s="13"/>
      <c r="E33" s="77">
        <f t="shared" si="9"/>
        <v>8.0097111804367516E-3</v>
      </c>
      <c r="F33" s="77">
        <f t="shared" si="9"/>
        <v>2.3218023548354633E-2</v>
      </c>
      <c r="G33" s="77">
        <f t="shared" si="9"/>
        <v>3.3052732212941534E-2</v>
      </c>
      <c r="H33" s="77">
        <f t="shared" si="9"/>
        <v>2.2102747308040658E-2</v>
      </c>
      <c r="I33" s="77">
        <f t="shared" si="9"/>
        <v>1.186248364697595E-2</v>
      </c>
      <c r="J33" s="77">
        <f t="shared" si="9"/>
        <v>3.1430512227030292E-3</v>
      </c>
      <c r="K33" s="77">
        <f t="shared" si="9"/>
        <v>0</v>
      </c>
      <c r="L33" s="77">
        <f t="shared" si="9"/>
        <v>0</v>
      </c>
      <c r="M33" s="77">
        <f t="shared" si="9"/>
        <v>0</v>
      </c>
      <c r="N33" s="77">
        <f t="shared" si="9"/>
        <v>0</v>
      </c>
      <c r="O33" s="77">
        <f t="shared" si="9"/>
        <v>0</v>
      </c>
      <c r="P33" s="77">
        <f t="shared" si="9"/>
        <v>0</v>
      </c>
      <c r="Q33" s="13"/>
      <c r="R33" s="13"/>
      <c r="S33" s="852">
        <f>IF('Input 5_Product Uptake'!$M$9=0,E33*Ratios!$N$26,E33*Ratios!$N$26*Ratios!$Z$23)</f>
        <v>140.51821321936933</v>
      </c>
      <c r="T33" s="852">
        <f>IF('Input 5_Product Uptake'!$M$9=0,F33*Ratios!$N$26,F33*Ratios!$N$26*Ratios!$Z$23)</f>
        <v>407.32494718019717</v>
      </c>
      <c r="U33" s="852">
        <f>IF('Input 5_Product Uptake'!$M$9=0,G33*Ratios!$N$26,G33*Ratios!$N$26*Ratios!$Z$23)</f>
        <v>579.85996847486581</v>
      </c>
      <c r="V33" s="852">
        <f>IF('Input 5_Product Uptake'!$M$9=0,H33*Ratios!$N$26,H33*Ratios!$N$26*Ratios!$Z$23)</f>
        <v>387.75912002306984</v>
      </c>
      <c r="W33" s="852">
        <f>IF('Input 5_Product Uptake'!$M$9=0,I33*Ratios!$N$26,I33*Ratios!$N$26*Ratios!$Z$23)</f>
        <v>208.10925248944574</v>
      </c>
      <c r="X33" s="852">
        <f>IF('Input 5_Product Uptake'!$M$9=0,J33*Ratios!$N$26,J33*Ratios!$N$26*Ratios!$Z$23)</f>
        <v>55.140058351904429</v>
      </c>
      <c r="Y33" s="852">
        <f>IF('Input 5_Product Uptake'!$M$9=0,K33*Ratios!$N$26,K33*Ratios!$N$26*Ratios!$Z$23)</f>
        <v>0</v>
      </c>
      <c r="Z33" s="852">
        <f>IF('Input 5_Product Uptake'!$M$9=0,L33*Ratios!$N$26,L33*Ratios!$N$26*Ratios!$Z$23)</f>
        <v>0</v>
      </c>
      <c r="AA33" s="852">
        <f>IF('Input 5_Product Uptake'!$M$9=0,M33*Ratios!$N$26,M33*Ratios!$N$26*Ratios!$Z$23)</f>
        <v>0</v>
      </c>
      <c r="AB33" s="852">
        <f>IF('Input 5_Product Uptake'!$M$9=0,N33*Ratios!$N$26,N33*Ratios!$N$26*Ratios!$Z$23)</f>
        <v>0</v>
      </c>
      <c r="AC33" s="852">
        <f>IF('Input 5_Product Uptake'!$M$9=0,O33*Ratios!$N$26,O33*Ratios!$N$26*Ratios!$Z$23)</f>
        <v>0</v>
      </c>
      <c r="AD33" s="852">
        <f>IF('Input 5_Product Uptake'!$M$9=0,P33*Ratios!$N$26,P33*Ratios!$N$26*Ratios!$Z$23)</f>
        <v>0</v>
      </c>
      <c r="AE33" s="296"/>
      <c r="AF33" s="860">
        <f>Ratios!$P$26*E33</f>
        <v>955.54252113601808</v>
      </c>
      <c r="AG33" s="860">
        <f>Ratios!$P$26*F33</f>
        <v>2769.8637637993434</v>
      </c>
      <c r="AH33" s="860">
        <f>Ratios!$P$26*G33</f>
        <v>3943.124834054961</v>
      </c>
      <c r="AI33" s="860">
        <f>Ratios!$P$26*H33</f>
        <v>2636.8135393373668</v>
      </c>
      <c r="AJ33" s="860">
        <f>Ratios!$P$26*I33</f>
        <v>1415.1705692773942</v>
      </c>
      <c r="AK33" s="860">
        <f>Ratios!$P$26*J33</f>
        <v>374.95972348375398</v>
      </c>
      <c r="AL33" s="860">
        <f>Ratios!$P$26*K33</f>
        <v>0</v>
      </c>
      <c r="AM33" s="860">
        <f>Ratios!$P$26*L33</f>
        <v>0</v>
      </c>
      <c r="AN33" s="860">
        <f>Ratios!$P$26*M33</f>
        <v>0</v>
      </c>
      <c r="AO33" s="860">
        <f>Ratios!$P$26*N33</f>
        <v>0</v>
      </c>
      <c r="AP33" s="860">
        <f>Ratios!$P$26*O33</f>
        <v>0</v>
      </c>
      <c r="AQ33" s="860">
        <f>Ratios!$P$26*P33</f>
        <v>0</v>
      </c>
      <c r="AR33" s="13"/>
      <c r="AS33" s="275">
        <f t="shared" si="12"/>
        <v>140.51821321936933</v>
      </c>
      <c r="AT33" s="275">
        <f t="shared" si="10"/>
        <v>407.32494718019717</v>
      </c>
      <c r="AU33" s="275">
        <f t="shared" si="10"/>
        <v>579.85996847486581</v>
      </c>
      <c r="AV33" s="275">
        <f t="shared" si="10"/>
        <v>387.75912002306984</v>
      </c>
      <c r="AW33" s="275">
        <f t="shared" si="10"/>
        <v>208.10925248944574</v>
      </c>
      <c r="AX33" s="275">
        <f t="shared" si="10"/>
        <v>55.140058351904429</v>
      </c>
      <c r="AY33" s="275">
        <f t="shared" si="10"/>
        <v>0</v>
      </c>
      <c r="AZ33" s="275">
        <f t="shared" si="10"/>
        <v>0</v>
      </c>
      <c r="BA33" s="275">
        <f t="shared" si="10"/>
        <v>0</v>
      </c>
      <c r="BB33" s="275">
        <f t="shared" si="10"/>
        <v>0</v>
      </c>
      <c r="BC33" s="275">
        <f t="shared" si="10"/>
        <v>0</v>
      </c>
      <c r="BD33" s="275">
        <f t="shared" si="10"/>
        <v>0</v>
      </c>
      <c r="BE33" s="275"/>
      <c r="BF33" s="557">
        <f>IF($B31=0,1,IF(AND(BF32&gt;0,$B31&lt;='Input 4_RSV Season'!$AG$27-1),BF32+1,0))</f>
        <v>1</v>
      </c>
      <c r="BG33" s="549">
        <f>IF(AND($BF33&gt;0,$BF33&lt;='Input 6_Product Efficacy'!$Q$9/30),SUM($AS31:$BD31),0)</f>
        <v>481.97345489697943</v>
      </c>
      <c r="BH33" s="554">
        <f>IF(AND($BF33&gt;0,$BF33&gt;'Input 6_Product Efficacy'!$Q$9/30),SUM($AS31:$BD31),0)</f>
        <v>0</v>
      </c>
      <c r="BJ33" s="549">
        <f>IF(AND($BF33&gt;0,$BF33&lt;='Input 6_Product Efficacy'!$Q$12/30),SUM($AS31:$BD31),0)</f>
        <v>481.97345489697943</v>
      </c>
      <c r="BK33" s="554">
        <f>IF(AND($BF33&gt;0,$BF33&gt;'Input 6_Product Efficacy'!$Q$12/30),SUM($AS31:$BD31),0)</f>
        <v>0</v>
      </c>
      <c r="BL33" s="275"/>
      <c r="BM33" s="275"/>
      <c r="BN33" s="32"/>
      <c r="BO33" s="35">
        <f t="shared" si="13"/>
        <v>955.54252113601808</v>
      </c>
      <c r="BP33" s="35">
        <f t="shared" si="11"/>
        <v>2769.8637637993434</v>
      </c>
      <c r="BQ33" s="35">
        <f t="shared" si="11"/>
        <v>3943.124834054961</v>
      </c>
      <c r="BR33" s="35">
        <f t="shared" si="11"/>
        <v>2636.8135393373668</v>
      </c>
      <c r="BS33" s="35">
        <f t="shared" si="11"/>
        <v>1415.1705692773942</v>
      </c>
      <c r="BT33" s="35">
        <f t="shared" si="11"/>
        <v>374.95972348375398</v>
      </c>
      <c r="BU33" s="35">
        <f t="shared" si="11"/>
        <v>0</v>
      </c>
      <c r="BV33" s="35">
        <f t="shared" si="11"/>
        <v>0</v>
      </c>
      <c r="BW33" s="35">
        <f t="shared" si="11"/>
        <v>0</v>
      </c>
      <c r="BX33" s="35">
        <f t="shared" si="11"/>
        <v>0</v>
      </c>
      <c r="BY33" s="35">
        <f t="shared" si="11"/>
        <v>0</v>
      </c>
      <c r="BZ33" s="35">
        <f t="shared" si="11"/>
        <v>0</v>
      </c>
      <c r="CA33" s="35"/>
      <c r="CB33" s="557">
        <f>IF($B31=0,1,IF(AND(CB32&gt;0,$B31&lt;='Input 4_RSV Season'!$AG$27-1),CB32+1,0))</f>
        <v>1</v>
      </c>
      <c r="CC33" s="549">
        <f>IF(AND($CB33&gt;0,$CB33&lt;='Input 6_Product Efficacy'!$Q$12/30),SUM($BO31:$BZ31),0)</f>
        <v>3277.4835351337497</v>
      </c>
      <c r="CD33" s="554">
        <f>IF(AND($CB33&gt;0,$CB33&gt;'Input 6_Product Efficacy'!$Q$12/30),SUM($BO31:$BZ31),0)</f>
        <v>0</v>
      </c>
      <c r="CF33" s="564">
        <f>IF(AND($CB33&gt;0,$CB33&gt;'Input 6_Product Efficacy'!$Q$15/30),SUM($BO31:$BZ31),0)</f>
        <v>0</v>
      </c>
    </row>
    <row r="34" spans="2:84" x14ac:dyDescent="0.3">
      <c r="B34" s="26">
        <v>3</v>
      </c>
      <c r="C34" s="293">
        <f>'Input 2_RSV Rates'!O13*'Input 3_Clinical Severity'!$N$9</f>
        <v>58.564999999999998</v>
      </c>
      <c r="D34" s="13"/>
      <c r="E34" s="77">
        <f t="shared" si="9"/>
        <v>1.1639918989634698E-2</v>
      </c>
      <c r="F34" s="77">
        <f t="shared" si="9"/>
        <v>3.3741030995270198E-2</v>
      </c>
      <c r="G34" s="77">
        <f t="shared" si="9"/>
        <v>4.8033083425581165E-2</v>
      </c>
      <c r="H34" s="77">
        <f t="shared" si="9"/>
        <v>3.2120282781523596E-2</v>
      </c>
      <c r="I34" s="77">
        <f t="shared" si="9"/>
        <v>1.7238867364395692E-2</v>
      </c>
      <c r="J34" s="77">
        <f t="shared" si="9"/>
        <v>4.5675631478313376E-3</v>
      </c>
      <c r="K34" s="77">
        <f t="shared" si="9"/>
        <v>0</v>
      </c>
      <c r="L34" s="77">
        <f t="shared" si="9"/>
        <v>0</v>
      </c>
      <c r="M34" s="77">
        <f t="shared" si="9"/>
        <v>0</v>
      </c>
      <c r="N34" s="77">
        <f t="shared" si="9"/>
        <v>0</v>
      </c>
      <c r="O34" s="77">
        <f t="shared" si="9"/>
        <v>0</v>
      </c>
      <c r="P34" s="77">
        <f t="shared" si="9"/>
        <v>0</v>
      </c>
      <c r="Q34" s="13"/>
      <c r="R34" s="13"/>
      <c r="S34" s="852">
        <f>IF('Input 5_Product Uptake'!$M$9=0,E34*Ratios!$N$26,E34*Ratios!$N$26*Ratios!$Z$23)</f>
        <v>204.2046937268577</v>
      </c>
      <c r="T34" s="852">
        <f>IF('Input 5_Product Uptake'!$M$9=0,F34*Ratios!$N$26,F34*Ratios!$N$26*Ratios!$Z$23)</f>
        <v>591.93512485380256</v>
      </c>
      <c r="U34" s="852">
        <f>IF('Input 5_Product Uptake'!$M$9=0,G34*Ratios!$N$26,G34*Ratios!$N$26*Ratios!$Z$23)</f>
        <v>842.66747031589387</v>
      </c>
      <c r="V34" s="852">
        <f>IF('Input 5_Product Uptake'!$M$9=0,H34*Ratios!$N$26,H34*Ratios!$N$26*Ratios!$Z$23)</f>
        <v>563.50155990449332</v>
      </c>
      <c r="W34" s="852">
        <f>IF('Input 5_Product Uptake'!$M$9=0,I34*Ratios!$N$26,I34*Ratios!$N$26*Ratios!$Z$23)</f>
        <v>302.42973627901705</v>
      </c>
      <c r="X34" s="852">
        <f>IF('Input 5_Product Uptake'!$M$9=0,J34*Ratios!$N$26,J34*Ratios!$N$26*Ratios!$Z$23)</f>
        <v>80.130955766235289</v>
      </c>
      <c r="Y34" s="852">
        <f>IF('Input 5_Product Uptake'!$M$9=0,K34*Ratios!$N$26,K34*Ratios!$N$26*Ratios!$Z$23)</f>
        <v>0</v>
      </c>
      <c r="Z34" s="852">
        <f>IF('Input 5_Product Uptake'!$M$9=0,L34*Ratios!$N$26,L34*Ratios!$N$26*Ratios!$Z$23)</f>
        <v>0</v>
      </c>
      <c r="AA34" s="852">
        <f>IF('Input 5_Product Uptake'!$M$9=0,M34*Ratios!$N$26,M34*Ratios!$N$26*Ratios!$Z$23)</f>
        <v>0</v>
      </c>
      <c r="AB34" s="852">
        <f>IF('Input 5_Product Uptake'!$M$9=0,N34*Ratios!$N$26,N34*Ratios!$N$26*Ratios!$Z$23)</f>
        <v>0</v>
      </c>
      <c r="AC34" s="852">
        <f>IF('Input 5_Product Uptake'!$M$9=0,O34*Ratios!$N$26,O34*Ratios!$N$26*Ratios!$Z$23)</f>
        <v>0</v>
      </c>
      <c r="AD34" s="852">
        <f>IF('Input 5_Product Uptake'!$M$9=0,P34*Ratios!$N$26,P34*Ratios!$N$26*Ratios!$Z$23)</f>
        <v>0</v>
      </c>
      <c r="AE34" s="296"/>
      <c r="AF34" s="860">
        <f>Ratios!$P$26*E34</f>
        <v>1388.6190508766972</v>
      </c>
      <c r="AG34" s="860">
        <f>Ratios!$P$26*F34</f>
        <v>4025.2375019084002</v>
      </c>
      <c r="AH34" s="860">
        <f>Ratios!$P$26*G34</f>
        <v>5730.2507669089027</v>
      </c>
      <c r="AI34" s="860">
        <f>Ratios!$P$26*H34</f>
        <v>3831.8854821660757</v>
      </c>
      <c r="AJ34" s="860">
        <f>Ratios!$P$26*I34</f>
        <v>2056.5623918047286</v>
      </c>
      <c r="AK34" s="860">
        <f>Ratios!$P$26*J34</f>
        <v>544.90114654655213</v>
      </c>
      <c r="AL34" s="860">
        <f>Ratios!$P$26*K34</f>
        <v>0</v>
      </c>
      <c r="AM34" s="860">
        <f>Ratios!$P$26*L34</f>
        <v>0</v>
      </c>
      <c r="AN34" s="860">
        <f>Ratios!$P$26*M34</f>
        <v>0</v>
      </c>
      <c r="AO34" s="860">
        <f>Ratios!$P$26*N34</f>
        <v>0</v>
      </c>
      <c r="AP34" s="860">
        <f>Ratios!$P$26*O34</f>
        <v>0</v>
      </c>
      <c r="AQ34" s="860">
        <f>Ratios!$P$26*P34</f>
        <v>0</v>
      </c>
      <c r="AR34" s="13"/>
      <c r="AS34" s="275">
        <f t="shared" si="12"/>
        <v>204.2046937268577</v>
      </c>
      <c r="AT34" s="275">
        <f t="shared" si="10"/>
        <v>591.93512485380256</v>
      </c>
      <c r="AU34" s="275">
        <f t="shared" si="10"/>
        <v>842.66747031589387</v>
      </c>
      <c r="AV34" s="275">
        <f t="shared" si="10"/>
        <v>563.50155990449332</v>
      </c>
      <c r="AW34" s="275">
        <f t="shared" si="10"/>
        <v>302.42973627901705</v>
      </c>
      <c r="AX34" s="275">
        <f t="shared" si="10"/>
        <v>80.130955766235289</v>
      </c>
      <c r="AY34" s="275">
        <f t="shared" si="10"/>
        <v>0</v>
      </c>
      <c r="AZ34" s="275">
        <f t="shared" si="10"/>
        <v>0</v>
      </c>
      <c r="BA34" s="275">
        <f t="shared" si="10"/>
        <v>0</v>
      </c>
      <c r="BB34" s="275">
        <f t="shared" si="10"/>
        <v>0</v>
      </c>
      <c r="BC34" s="275">
        <f t="shared" si="10"/>
        <v>0</v>
      </c>
      <c r="BD34" s="275">
        <f t="shared" si="10"/>
        <v>0</v>
      </c>
      <c r="BE34" s="275"/>
      <c r="BF34" s="557">
        <f>IF($B32=0,1,IF(AND(BF33&gt;0,$B32&lt;='Input 4_RSV Season'!$AG$27-1),BF33+1,0))</f>
        <v>2</v>
      </c>
      <c r="BG34" s="549">
        <f>IF(AND($BF34&gt;0,$BF34&lt;='Input 6_Product Efficacy'!$Q$9/30),SUM($AS32:$BD32),0)</f>
        <v>1575.020397252629</v>
      </c>
      <c r="BH34" s="554">
        <f>IF(AND($BF34&gt;0,$BF34&gt;'Input 6_Product Efficacy'!$Q$9/30),SUM($AS32:$BD32),0)</f>
        <v>0</v>
      </c>
      <c r="BJ34" s="549">
        <f>IF(AND($BF34&gt;0,$BF34&lt;='Input 6_Product Efficacy'!$Q$12/30),SUM($AS32:$BD32),0)</f>
        <v>1575.020397252629</v>
      </c>
      <c r="BK34" s="554">
        <f>IF(AND($BF34&gt;0,$BF34&gt;'Input 6_Product Efficacy'!$Q$12/30),SUM($AS32:$BD32),0)</f>
        <v>0</v>
      </c>
      <c r="BL34" s="275"/>
      <c r="BM34" s="275"/>
      <c r="BN34" s="32"/>
      <c r="BO34" s="35">
        <f t="shared" si="13"/>
        <v>1388.6190508766972</v>
      </c>
      <c r="BP34" s="35">
        <f t="shared" si="11"/>
        <v>4025.2375019084002</v>
      </c>
      <c r="BQ34" s="35">
        <f t="shared" si="11"/>
        <v>5730.2507669089027</v>
      </c>
      <c r="BR34" s="35">
        <f t="shared" si="11"/>
        <v>3831.8854821660757</v>
      </c>
      <c r="BS34" s="35">
        <f t="shared" si="11"/>
        <v>2056.5623918047286</v>
      </c>
      <c r="BT34" s="35">
        <f t="shared" si="11"/>
        <v>544.90114654655213</v>
      </c>
      <c r="BU34" s="35">
        <f t="shared" si="11"/>
        <v>0</v>
      </c>
      <c r="BV34" s="35">
        <f t="shared" si="11"/>
        <v>0</v>
      </c>
      <c r="BW34" s="35">
        <f t="shared" si="11"/>
        <v>0</v>
      </c>
      <c r="BX34" s="35">
        <f t="shared" si="11"/>
        <v>0</v>
      </c>
      <c r="BY34" s="35">
        <f t="shared" si="11"/>
        <v>0</v>
      </c>
      <c r="BZ34" s="35">
        <f t="shared" si="11"/>
        <v>0</v>
      </c>
      <c r="CA34" s="35"/>
      <c r="CB34" s="557">
        <f>IF($B32=0,1,IF(AND(CB33&gt;0,$B32&lt;='Input 4_RSV Season'!$AG$27-1),CB33+1,0))</f>
        <v>2</v>
      </c>
      <c r="CC34" s="549">
        <f>IF(AND($CB34&gt;0,$CB34&lt;='Input 6_Product Efficacy'!$Q$12/30),SUM($BO32:$BZ32),0)</f>
        <v>10710.347980883504</v>
      </c>
      <c r="CD34" s="554">
        <f>IF(AND($CB34&gt;0,$CB34&gt;'Input 6_Product Efficacy'!$Q$12/30),SUM($BO32:$BZ32),0)</f>
        <v>0</v>
      </c>
      <c r="CF34" s="565">
        <f>IF(AND($CB34&gt;0,$CB34&gt;'Input 6_Product Efficacy'!$Q$15/30),SUM($BO32:$BZ32),0)</f>
        <v>0</v>
      </c>
    </row>
    <row r="35" spans="2:84" x14ac:dyDescent="0.3">
      <c r="B35" s="26">
        <v>4</v>
      </c>
      <c r="C35" s="293">
        <f>'Input 2_RSV Rates'!O14*'Input 3_Clinical Severity'!$N$9</f>
        <v>64.545000000000002</v>
      </c>
      <c r="D35" s="13"/>
      <c r="E35" s="77">
        <f t="shared" si="9"/>
        <v>1.2828456777699506E-2</v>
      </c>
      <c r="F35" s="77">
        <f t="shared" si="9"/>
        <v>3.7186286102445398E-2</v>
      </c>
      <c r="G35" s="77">
        <f t="shared" si="9"/>
        <v>5.2937682399114415E-2</v>
      </c>
      <c r="H35" s="77">
        <f t="shared" si="9"/>
        <v>3.5400045285297367E-2</v>
      </c>
      <c r="I35" s="77">
        <f t="shared" si="9"/>
        <v>1.8999106873301801E-2</v>
      </c>
      <c r="J35" s="77">
        <f t="shared" si="9"/>
        <v>5.0339513937808188E-3</v>
      </c>
      <c r="K35" s="77">
        <f t="shared" si="9"/>
        <v>0</v>
      </c>
      <c r="L35" s="77">
        <f t="shared" si="9"/>
        <v>0</v>
      </c>
      <c r="M35" s="77">
        <f t="shared" si="9"/>
        <v>0</v>
      </c>
      <c r="N35" s="77">
        <f t="shared" si="9"/>
        <v>0</v>
      </c>
      <c r="O35" s="77">
        <f t="shared" si="9"/>
        <v>0</v>
      </c>
      <c r="P35" s="77">
        <f t="shared" si="9"/>
        <v>0</v>
      </c>
      <c r="Q35" s="13"/>
      <c r="R35" s="13"/>
      <c r="S35" s="852">
        <f>IF('Input 5_Product Uptake'!$M$9=0,E35*Ratios!$N$26,E35*Ratios!$N$26*Ratios!$Z$23)</f>
        <v>225.05578343037698</v>
      </c>
      <c r="T35" s="852">
        <f>IF('Input 5_Product Uptake'!$M$9=0,F35*Ratios!$N$26,F35*Ratios!$N$26*Ratios!$Z$23)</f>
        <v>652.37689120957373</v>
      </c>
      <c r="U35" s="852">
        <f>IF('Input 5_Product Uptake'!$M$9=0,G35*Ratios!$N$26,G35*Ratios!$N$26*Ratios!$Z$23)</f>
        <v>928.71120757345443</v>
      </c>
      <c r="V35" s="852">
        <f>IF('Input 5_Product Uptake'!$M$9=0,H35*Ratios!$N$26,H35*Ratios!$N$26*Ratios!$Z$23)</f>
        <v>621.04000997243259</v>
      </c>
      <c r="W35" s="852">
        <f>IF('Input 5_Product Uptake'!$M$9=0,I35*Ratios!$N$26,I35*Ratios!$N$26*Ratios!$Z$23)</f>
        <v>333.31046406777352</v>
      </c>
      <c r="X35" s="852">
        <f>IF('Input 5_Product Uptake'!$M$9=0,J35*Ratios!$N$26,J35*Ratios!$N$26*Ratios!$Z$23)</f>
        <v>88.31302894103402</v>
      </c>
      <c r="Y35" s="852">
        <f>IF('Input 5_Product Uptake'!$M$9=0,K35*Ratios!$N$26,K35*Ratios!$N$26*Ratios!$Z$23)</f>
        <v>0</v>
      </c>
      <c r="Z35" s="852">
        <f>IF('Input 5_Product Uptake'!$M$9=0,L35*Ratios!$N$26,L35*Ratios!$N$26*Ratios!$Z$23)</f>
        <v>0</v>
      </c>
      <c r="AA35" s="852">
        <f>IF('Input 5_Product Uptake'!$M$9=0,M35*Ratios!$N$26,M35*Ratios!$N$26*Ratios!$Z$23)</f>
        <v>0</v>
      </c>
      <c r="AB35" s="852">
        <f>IF('Input 5_Product Uptake'!$M$9=0,N35*Ratios!$N$26,N35*Ratios!$N$26*Ratios!$Z$23)</f>
        <v>0</v>
      </c>
      <c r="AC35" s="852">
        <f>IF('Input 5_Product Uptake'!$M$9=0,O35*Ratios!$N$26,O35*Ratios!$N$26*Ratios!$Z$23)</f>
        <v>0</v>
      </c>
      <c r="AD35" s="852">
        <f>IF('Input 5_Product Uptake'!$M$9=0,P35*Ratios!$N$26,P35*Ratios!$N$26*Ratios!$Z$23)</f>
        <v>0</v>
      </c>
      <c r="AE35" s="296"/>
      <c r="AF35" s="860">
        <f>Ratios!$P$26*E35</f>
        <v>1530.4092314323643</v>
      </c>
      <c r="AG35" s="860">
        <f>Ratios!$P$26*F35</f>
        <v>4436.2495442786249</v>
      </c>
      <c r="AH35" s="860">
        <f>Ratios!$P$26*G35</f>
        <v>6315.3596132525408</v>
      </c>
      <c r="AI35" s="860">
        <f>Ratios!$P$26*H35</f>
        <v>4223.1545880032327</v>
      </c>
      <c r="AJ35" s="860">
        <f>Ratios!$P$26*I35</f>
        <v>2266.555444020084</v>
      </c>
      <c r="AK35" s="860">
        <f>Ratios!$P$26*J35</f>
        <v>600.54033132156064</v>
      </c>
      <c r="AL35" s="860">
        <f>Ratios!$P$26*K35</f>
        <v>0</v>
      </c>
      <c r="AM35" s="860">
        <f>Ratios!$P$26*L35</f>
        <v>0</v>
      </c>
      <c r="AN35" s="860">
        <f>Ratios!$P$26*M35</f>
        <v>0</v>
      </c>
      <c r="AO35" s="860">
        <f>Ratios!$P$26*N35</f>
        <v>0</v>
      </c>
      <c r="AP35" s="860">
        <f>Ratios!$P$26*O35</f>
        <v>0</v>
      </c>
      <c r="AQ35" s="860">
        <f>Ratios!$P$26*P35</f>
        <v>0</v>
      </c>
      <c r="AR35" s="13"/>
      <c r="AS35" s="275">
        <f t="shared" si="12"/>
        <v>225.05578343037698</v>
      </c>
      <c r="AT35" s="275">
        <f t="shared" si="10"/>
        <v>652.37689120957373</v>
      </c>
      <c r="AU35" s="275">
        <f t="shared" si="10"/>
        <v>928.71120757345443</v>
      </c>
      <c r="AV35" s="275">
        <f t="shared" si="10"/>
        <v>621.04000997243259</v>
      </c>
      <c r="AW35" s="275">
        <f t="shared" si="10"/>
        <v>333.31046406777352</v>
      </c>
      <c r="AX35" s="275">
        <f t="shared" si="10"/>
        <v>88.31302894103402</v>
      </c>
      <c r="AY35" s="275">
        <f t="shared" si="10"/>
        <v>0</v>
      </c>
      <c r="AZ35" s="275">
        <f t="shared" si="10"/>
        <v>0</v>
      </c>
      <c r="BA35" s="275">
        <f t="shared" si="10"/>
        <v>0</v>
      </c>
      <c r="BB35" s="275">
        <f t="shared" si="10"/>
        <v>0</v>
      </c>
      <c r="BC35" s="275">
        <f t="shared" si="10"/>
        <v>0</v>
      </c>
      <c r="BD35" s="275">
        <f t="shared" si="10"/>
        <v>0</v>
      </c>
      <c r="BE35" s="275"/>
      <c r="BF35" s="557">
        <f>IF($B33=0,1,IF(AND(BF34&gt;0,$B33&lt;='Input 4_RSV Season'!$AG$27-1),BF34+1,0))</f>
        <v>3</v>
      </c>
      <c r="BG35" s="549">
        <f>IF(AND($BF35&gt;0,$BF35&lt;='Input 6_Product Efficacy'!$Q$9/30),SUM($AS33:$BD33),0)</f>
        <v>1778.7115597388524</v>
      </c>
      <c r="BH35" s="554">
        <f>IF(AND($BF35&gt;0,$BF35&gt;'Input 6_Product Efficacy'!$Q$9/30),SUM($AS33:$BD33),0)</f>
        <v>0</v>
      </c>
      <c r="BJ35" s="549">
        <f>IF(AND($BF35&gt;0,$BF35&lt;='Input 6_Product Efficacy'!$Q$12/30),SUM($AS33:$BD33),0)</f>
        <v>1778.7115597388524</v>
      </c>
      <c r="BK35" s="554">
        <f>IF(AND($BF35&gt;0,$BF35&gt;'Input 6_Product Efficacy'!$Q$12/30),SUM($AS33:$BD33),0)</f>
        <v>0</v>
      </c>
      <c r="BL35" s="275"/>
      <c r="BM35" s="275"/>
      <c r="BN35" s="32"/>
      <c r="BO35" s="35">
        <f t="shared" si="13"/>
        <v>1530.4092314323643</v>
      </c>
      <c r="BP35" s="35">
        <f t="shared" si="11"/>
        <v>4436.2495442786249</v>
      </c>
      <c r="BQ35" s="35">
        <f t="shared" si="11"/>
        <v>6315.3596132525408</v>
      </c>
      <c r="BR35" s="35">
        <f t="shared" si="11"/>
        <v>4223.1545880032327</v>
      </c>
      <c r="BS35" s="35">
        <f t="shared" si="11"/>
        <v>2266.555444020084</v>
      </c>
      <c r="BT35" s="35">
        <f t="shared" si="11"/>
        <v>600.54033132156064</v>
      </c>
      <c r="BU35" s="35">
        <f t="shared" si="11"/>
        <v>0</v>
      </c>
      <c r="BV35" s="35">
        <f t="shared" si="11"/>
        <v>0</v>
      </c>
      <c r="BW35" s="35">
        <f t="shared" si="11"/>
        <v>0</v>
      </c>
      <c r="BX35" s="35">
        <f t="shared" si="11"/>
        <v>0</v>
      </c>
      <c r="BY35" s="35">
        <f t="shared" si="11"/>
        <v>0</v>
      </c>
      <c r="BZ35" s="35">
        <f t="shared" si="11"/>
        <v>0</v>
      </c>
      <c r="CA35" s="35"/>
      <c r="CB35" s="557">
        <f>IF($B33=0,1,IF(AND(CB34&gt;0,$B33&lt;='Input 4_RSV Season'!$AG$27-1),CB34+1,0))</f>
        <v>3</v>
      </c>
      <c r="CC35" s="549">
        <f>IF(AND($CB35&gt;0,$CB35&lt;='Input 6_Product Efficacy'!$Q$12/30),SUM($BO33:$BZ33),0)</f>
        <v>12095.474951088838</v>
      </c>
      <c r="CD35" s="554">
        <f>IF(AND($CB35&gt;0,$CB35&gt;'Input 6_Product Efficacy'!$Q$12/30),SUM($BO33:$BZ33),0)</f>
        <v>0</v>
      </c>
      <c r="CF35" s="565">
        <f>IF(AND($CB35&gt;0,$CB35&gt;'Input 6_Product Efficacy'!$Q$15/30),SUM($BO33:$BZ33),0)</f>
        <v>0</v>
      </c>
    </row>
    <row r="36" spans="2:84" ht="15" thickBot="1" x14ac:dyDescent="0.35">
      <c r="B36" s="804">
        <v>5</v>
      </c>
      <c r="C36" s="806">
        <f>'Input 2_RSV Rates'!O15*'Input 3_Clinical Severity'!$N$9</f>
        <v>39.715000000000003</v>
      </c>
      <c r="D36" s="13"/>
      <c r="E36" s="77">
        <f t="shared" si="9"/>
        <v>7.8934411794304125E-3</v>
      </c>
      <c r="F36" s="77">
        <f t="shared" si="9"/>
        <v>2.288098772265271E-2</v>
      </c>
      <c r="G36" s="77">
        <f t="shared" si="9"/>
        <v>3.2572934487269806E-2</v>
      </c>
      <c r="H36" s="77">
        <f t="shared" si="9"/>
        <v>2.1781900976149744E-2</v>
      </c>
      <c r="I36" s="77">
        <f t="shared" si="9"/>
        <v>1.1690286303713396E-2</v>
      </c>
      <c r="J36" s="77">
        <f t="shared" si="9"/>
        <v>3.0974262855992755E-3</v>
      </c>
      <c r="K36" s="77">
        <f t="shared" si="9"/>
        <v>0</v>
      </c>
      <c r="L36" s="77">
        <f t="shared" si="9"/>
        <v>0</v>
      </c>
      <c r="M36" s="77">
        <f t="shared" si="9"/>
        <v>0</v>
      </c>
      <c r="N36" s="77">
        <f t="shared" si="9"/>
        <v>0</v>
      </c>
      <c r="O36" s="77">
        <f t="shared" si="9"/>
        <v>0</v>
      </c>
      <c r="P36" s="77">
        <f t="shared" si="9"/>
        <v>0</v>
      </c>
      <c r="Q36" s="13"/>
      <c r="R36" s="13"/>
      <c r="S36" s="852">
        <f>IF('Input 5_Product Uptake'!$M$9=0,E36*Ratios!$N$26,E36*Ratios!$N$26*Ratios!$Z$23)</f>
        <v>138.47843270489463</v>
      </c>
      <c r="T36" s="852">
        <f>IF('Input 5_Product Uptake'!$M$9=0,F36*Ratios!$N$26,F36*Ratios!$N$26*Ratios!$Z$23)</f>
        <v>401.41216568887165</v>
      </c>
      <c r="U36" s="852">
        <f>IF('Input 5_Product Uptake'!$M$9=0,G36*Ratios!$N$26,G36*Ratios!$N$26*Ratios!$Z$23)</f>
        <v>571.44264635184368</v>
      </c>
      <c r="V36" s="852">
        <f>IF('Input 5_Product Uptake'!$M$9=0,H36*Ratios!$N$26,H36*Ratios!$N$26*Ratios!$Z$23)</f>
        <v>382.1303586033801</v>
      </c>
      <c r="W36" s="852">
        <f>IF('Input 5_Product Uptake'!$M$9=0,I36*Ratios!$N$26,I36*Ratios!$N$26*Ratios!$Z$23)</f>
        <v>205.0883117275022</v>
      </c>
      <c r="X36" s="852">
        <f>IF('Input 5_Product Uptake'!$M$9=0,J36*Ratios!$N$26,J36*Ratios!$N$26*Ratios!$Z$23)</f>
        <v>54.339638150021941</v>
      </c>
      <c r="Y36" s="852">
        <f>IF('Input 5_Product Uptake'!$M$9=0,K36*Ratios!$N$26,K36*Ratios!$N$26*Ratios!$Z$23)</f>
        <v>0</v>
      </c>
      <c r="Z36" s="852">
        <f>IF('Input 5_Product Uptake'!$M$9=0,L36*Ratios!$N$26,L36*Ratios!$N$26*Ratios!$Z$23)</f>
        <v>0</v>
      </c>
      <c r="AA36" s="852">
        <f>IF('Input 5_Product Uptake'!$M$9=0,M36*Ratios!$N$26,M36*Ratios!$N$26*Ratios!$Z$23)</f>
        <v>0</v>
      </c>
      <c r="AB36" s="852">
        <f>IF('Input 5_Product Uptake'!$M$9=0,N36*Ratios!$N$26,N36*Ratios!$N$26*Ratios!$Z$23)</f>
        <v>0</v>
      </c>
      <c r="AC36" s="852">
        <f>IF('Input 5_Product Uptake'!$M$9=0,O36*Ratios!$N$26,O36*Ratios!$N$26*Ratios!$Z$23)</f>
        <v>0</v>
      </c>
      <c r="AD36" s="852">
        <f>IF('Input 5_Product Uptake'!$M$9=0,P36*Ratios!$N$26,P36*Ratios!$N$26*Ratios!$Z$23)</f>
        <v>0</v>
      </c>
      <c r="AE36" s="296"/>
      <c r="AF36" s="860">
        <f>Ratios!$P$26*E36</f>
        <v>941.67174260339857</v>
      </c>
      <c r="AG36" s="860">
        <f>Ratios!$P$26*F36</f>
        <v>2729.6560640022562</v>
      </c>
      <c r="AH36" s="860">
        <f>Ratios!$P$26*G36</f>
        <v>3885.8859251735184</v>
      </c>
      <c r="AI36" s="860">
        <f>Ratios!$P$26*H36</f>
        <v>2598.5372137663403</v>
      </c>
      <c r="AJ36" s="860">
        <f>Ratios!$P$26*I36</f>
        <v>1394.6277706911094</v>
      </c>
      <c r="AK36" s="860">
        <f>Ratios!$P$26*J36</f>
        <v>369.51675975576399</v>
      </c>
      <c r="AL36" s="860">
        <f>Ratios!$P$26*K36</f>
        <v>0</v>
      </c>
      <c r="AM36" s="860">
        <f>Ratios!$P$26*L36</f>
        <v>0</v>
      </c>
      <c r="AN36" s="860">
        <f>Ratios!$P$26*M36</f>
        <v>0</v>
      </c>
      <c r="AO36" s="860">
        <f>Ratios!$P$26*N36</f>
        <v>0</v>
      </c>
      <c r="AP36" s="860">
        <f>Ratios!$P$26*O36</f>
        <v>0</v>
      </c>
      <c r="AQ36" s="860">
        <f>Ratios!$P$26*P36</f>
        <v>0</v>
      </c>
      <c r="AR36" s="13"/>
      <c r="AS36" s="275">
        <f t="shared" si="12"/>
        <v>138.47843270489463</v>
      </c>
      <c r="AT36" s="275">
        <f t="shared" si="10"/>
        <v>401.41216568887165</v>
      </c>
      <c r="AU36" s="275">
        <f t="shared" si="10"/>
        <v>571.44264635184368</v>
      </c>
      <c r="AV36" s="275">
        <f t="shared" si="10"/>
        <v>382.1303586033801</v>
      </c>
      <c r="AW36" s="275">
        <f t="shared" si="10"/>
        <v>205.0883117275022</v>
      </c>
      <c r="AX36" s="275">
        <f t="shared" si="10"/>
        <v>54.339638150021941</v>
      </c>
      <c r="AY36" s="275">
        <f t="shared" si="10"/>
        <v>0</v>
      </c>
      <c r="AZ36" s="275">
        <f t="shared" si="10"/>
        <v>0</v>
      </c>
      <c r="BA36" s="275">
        <f t="shared" si="10"/>
        <v>0</v>
      </c>
      <c r="BB36" s="275">
        <f t="shared" si="10"/>
        <v>0</v>
      </c>
      <c r="BC36" s="275">
        <f t="shared" si="10"/>
        <v>0</v>
      </c>
      <c r="BD36" s="275">
        <f t="shared" si="10"/>
        <v>0</v>
      </c>
      <c r="BE36" s="276"/>
      <c r="BF36" s="557">
        <f>IF($B34=0,1,IF(AND(BF35&gt;0,$B34&lt;='Input 4_RSV Season'!$AG$27-1),BF35+1,0))</f>
        <v>4</v>
      </c>
      <c r="BG36" s="549">
        <f>IF(AND($BF36&gt;0,$BF36&lt;='Input 6_Product Efficacy'!$Q$9/30),SUM($AS34:$BD34),0)</f>
        <v>2584.8695408463</v>
      </c>
      <c r="BH36" s="554">
        <f>IF(AND($BF36&gt;0,$BF36&gt;'Input 6_Product Efficacy'!$Q$9/30),SUM($AS34:$BD34),0)</f>
        <v>0</v>
      </c>
      <c r="BJ36" s="549">
        <f>IF(AND($BF36&gt;0,$BF36&lt;='Input 6_Product Efficacy'!$Q$12/30),SUM($AS34:$BD34),0)</f>
        <v>2584.8695408463</v>
      </c>
      <c r="BK36" s="554">
        <f>IF(AND($BF36&gt;0,$BF36&gt;'Input 6_Product Efficacy'!$Q$12/30),SUM($AS34:$BD34),0)</f>
        <v>0</v>
      </c>
      <c r="BL36" s="276"/>
      <c r="BM36" s="276"/>
      <c r="BN36" s="93"/>
      <c r="BO36" s="244">
        <f t="shared" si="13"/>
        <v>941.67174260339857</v>
      </c>
      <c r="BP36" s="244">
        <f t="shared" si="11"/>
        <v>2729.6560640022562</v>
      </c>
      <c r="BQ36" s="244">
        <f t="shared" si="11"/>
        <v>3885.8859251735184</v>
      </c>
      <c r="BR36" s="244">
        <f t="shared" si="11"/>
        <v>2598.5372137663403</v>
      </c>
      <c r="BS36" s="244">
        <f t="shared" si="11"/>
        <v>1394.6277706911094</v>
      </c>
      <c r="BT36" s="244">
        <f t="shared" si="11"/>
        <v>369.51675975576399</v>
      </c>
      <c r="BU36" s="244">
        <f t="shared" si="11"/>
        <v>0</v>
      </c>
      <c r="BV36" s="244">
        <f t="shared" si="11"/>
        <v>0</v>
      </c>
      <c r="BW36" s="244">
        <f t="shared" si="11"/>
        <v>0</v>
      </c>
      <c r="BX36" s="244">
        <f t="shared" si="11"/>
        <v>0</v>
      </c>
      <c r="BY36" s="244">
        <f t="shared" si="11"/>
        <v>0</v>
      </c>
      <c r="BZ36" s="244">
        <f t="shared" si="11"/>
        <v>0</v>
      </c>
      <c r="CA36" s="244"/>
      <c r="CB36" s="557">
        <f>IF($B34=0,1,IF(AND(CB35&gt;0,$B34&lt;='Input 4_RSV Season'!$AG$27-1),CB35+1,0))</f>
        <v>4</v>
      </c>
      <c r="CC36" s="549">
        <f>IF(AND($CB36&gt;0,$CB36&lt;='Input 6_Product Efficacy'!$Q$12/30),SUM($BO34:$BZ34),0)</f>
        <v>17577.456340211356</v>
      </c>
      <c r="CD36" s="554">
        <f>IF(AND($CB36&gt;0,$CB36&gt;'Input 6_Product Efficacy'!$Q$12/30),SUM($BO34:$BZ34),0)</f>
        <v>0</v>
      </c>
      <c r="CF36" s="565">
        <f>IF(AND($CB36&gt;0,$CB36&gt;'Input 6_Product Efficacy'!$Q$15/30),SUM($BO34:$BZ34),0)</f>
        <v>17577.456340211356</v>
      </c>
    </row>
    <row r="37" spans="2:84" ht="15" thickTop="1" x14ac:dyDescent="0.3">
      <c r="B37" s="26">
        <v>6</v>
      </c>
      <c r="C37" s="293">
        <f>'Input 2_RSV Rates'!O16*'Input 3_Clinical Severity'!$N$11</f>
        <v>35.049999999999997</v>
      </c>
      <c r="D37" s="13"/>
      <c r="E37" s="77">
        <f t="shared" si="9"/>
        <v>6.9662624534567773E-3</v>
      </c>
      <c r="F37" s="77">
        <f t="shared" si="9"/>
        <v>2.0193343061286097E-2</v>
      </c>
      <c r="G37" s="77">
        <f t="shared" si="9"/>
        <v>2.8746855187682396E-2</v>
      </c>
      <c r="H37" s="77">
        <f t="shared" si="9"/>
        <v>1.9223357150045282E-2</v>
      </c>
      <c r="I37" s="77">
        <f t="shared" si="9"/>
        <v>1.0317122874106873E-2</v>
      </c>
      <c r="J37" s="77">
        <f t="shared" si="9"/>
        <v>2.7335966589513935E-3</v>
      </c>
      <c r="K37" s="77">
        <f t="shared" si="9"/>
        <v>0</v>
      </c>
      <c r="L37" s="77">
        <f t="shared" si="9"/>
        <v>0</v>
      </c>
      <c r="M37" s="77">
        <f t="shared" si="9"/>
        <v>0</v>
      </c>
      <c r="N37" s="77">
        <f t="shared" si="9"/>
        <v>0</v>
      </c>
      <c r="O37" s="77">
        <f t="shared" si="9"/>
        <v>0</v>
      </c>
      <c r="P37" s="77">
        <f t="shared" si="9"/>
        <v>0</v>
      </c>
      <c r="Q37" s="13"/>
      <c r="R37" s="13"/>
      <c r="S37" s="852">
        <f>IF('Input 5_Product Uptake'!$M$9=0,E37*Ratios!$N$26,E37*Ratios!$N$26*Ratios!$Z$23)</f>
        <v>122.21249065357058</v>
      </c>
      <c r="T37" s="852">
        <f>IF('Input 5_Product Uptake'!$M$9=0,F37*Ratios!$N$26,F37*Ratios!$N$26*Ratios!$Z$23)</f>
        <v>354.2615235400969</v>
      </c>
      <c r="U37" s="852">
        <f>IF('Input 5_Product Uptake'!$M$9=0,G37*Ratios!$N$26,G37*Ratios!$N$26*Ratios!$Z$23)</f>
        <v>504.31989814005073</v>
      </c>
      <c r="V37" s="852">
        <f>IF('Input 5_Product Uptake'!$M$9=0,H37*Ratios!$N$26,H37*Ratios!$N$26*Ratios!$Z$23)</f>
        <v>337.24459446175172</v>
      </c>
      <c r="W37" s="852">
        <f>IF('Input 5_Product Uptake'!$M$9=0,I37*Ratios!$N$26,I37*Ratios!$N$26*Ratios!$Z$23)</f>
        <v>180.99824565149063</v>
      </c>
      <c r="X37" s="852">
        <f>IF('Input 5_Product Uptake'!$M$9=0,J37*Ratios!$N$26,J37*Ratios!$N$26*Ratios!$Z$23)</f>
        <v>47.956800129882126</v>
      </c>
      <c r="Y37" s="852">
        <f>IF('Input 5_Product Uptake'!$M$9=0,K37*Ratios!$N$26,K37*Ratios!$N$26*Ratios!$Z$23)</f>
        <v>0</v>
      </c>
      <c r="Z37" s="852">
        <f>IF('Input 5_Product Uptake'!$M$9=0,L37*Ratios!$N$26,L37*Ratios!$N$26*Ratios!$Z$23)</f>
        <v>0</v>
      </c>
      <c r="AA37" s="852">
        <f>IF('Input 5_Product Uptake'!$M$9=0,M37*Ratios!$N$26,M37*Ratios!$N$26*Ratios!$Z$23)</f>
        <v>0</v>
      </c>
      <c r="AB37" s="852">
        <f>IF('Input 5_Product Uptake'!$M$9=0,N37*Ratios!$N$26,N37*Ratios!$N$26*Ratios!$Z$23)</f>
        <v>0</v>
      </c>
      <c r="AC37" s="852">
        <f>IF('Input 5_Product Uptake'!$M$9=0,O37*Ratios!$N$26,O37*Ratios!$N$26*Ratios!$Z$23)</f>
        <v>0</v>
      </c>
      <c r="AD37" s="852">
        <f>IF('Input 5_Product Uptake'!$M$9=0,P37*Ratios!$N$26,P37*Ratios!$N$26*Ratios!$Z$23)</f>
        <v>0</v>
      </c>
      <c r="AE37" s="296"/>
      <c r="AF37" s="860">
        <f>Ratios!$P$26*E37</f>
        <v>831.06117533045733</v>
      </c>
      <c r="AG37" s="860">
        <f>Ratios!$P$26*F37</f>
        <v>2409.0254322870214</v>
      </c>
      <c r="AH37" s="860">
        <f>Ratios!$P$26*G37</f>
        <v>3429.442318452267</v>
      </c>
      <c r="AI37" s="860">
        <f>Ratios!$P$26*H37</f>
        <v>2293.3080534435403</v>
      </c>
      <c r="AJ37" s="860">
        <f>Ratios!$P$26*I37</f>
        <v>1230.8121204261206</v>
      </c>
      <c r="AK37" s="860">
        <f>Ratios!$P$26*J37</f>
        <v>326.11261310435668</v>
      </c>
      <c r="AL37" s="860">
        <f>Ratios!$P$26*K37</f>
        <v>0</v>
      </c>
      <c r="AM37" s="860">
        <f>Ratios!$P$26*L37</f>
        <v>0</v>
      </c>
      <c r="AN37" s="860">
        <f>Ratios!$P$26*M37</f>
        <v>0</v>
      </c>
      <c r="AO37" s="860">
        <f>Ratios!$P$26*N37</f>
        <v>0</v>
      </c>
      <c r="AP37" s="860">
        <f>Ratios!$P$26*O37</f>
        <v>0</v>
      </c>
      <c r="AQ37" s="860">
        <f>Ratios!$P$26*P37</f>
        <v>0</v>
      </c>
      <c r="AR37" s="13"/>
      <c r="AS37" s="275">
        <f t="shared" si="12"/>
        <v>122.21249065357058</v>
      </c>
      <c r="AT37" s="275">
        <f t="shared" si="10"/>
        <v>354.2615235400969</v>
      </c>
      <c r="AU37" s="275">
        <f t="shared" si="10"/>
        <v>504.31989814005073</v>
      </c>
      <c r="AV37" s="275">
        <f t="shared" si="10"/>
        <v>337.24459446175172</v>
      </c>
      <c r="AW37" s="275">
        <f t="shared" si="10"/>
        <v>180.99824565149063</v>
      </c>
      <c r="AX37" s="275">
        <f t="shared" si="10"/>
        <v>47.956800129882126</v>
      </c>
      <c r="AY37" s="275">
        <f t="shared" si="10"/>
        <v>0</v>
      </c>
      <c r="AZ37" s="275">
        <f t="shared" si="10"/>
        <v>0</v>
      </c>
      <c r="BA37" s="275">
        <f t="shared" si="10"/>
        <v>0</v>
      </c>
      <c r="BB37" s="275">
        <f t="shared" si="10"/>
        <v>0</v>
      </c>
      <c r="BC37" s="275">
        <f t="shared" si="10"/>
        <v>0</v>
      </c>
      <c r="BD37" s="275">
        <f t="shared" si="10"/>
        <v>0</v>
      </c>
      <c r="BE37" s="276"/>
      <c r="BF37" s="557">
        <f>IF($B35=0,1,IF(AND(BF36&gt;0,$B35&lt;='Input 4_RSV Season'!$AG$27-1),BF36+1,0))</f>
        <v>5</v>
      </c>
      <c r="BG37" s="549">
        <f>IF(AND($BF37&gt;0,$BF37&lt;='Input 6_Product Efficacy'!$Q$9/30),SUM($AS35:$BD35),0)</f>
        <v>2848.8073851946451</v>
      </c>
      <c r="BH37" s="554">
        <f>IF(AND($BF37&gt;0,$BF37&gt;'Input 6_Product Efficacy'!$Q$9/30),SUM($AS35:$BD35),0)</f>
        <v>0</v>
      </c>
      <c r="BJ37" s="549">
        <f>IF(AND($BF37&gt;0,$BF37&lt;='Input 6_Product Efficacy'!$Q$12/30),SUM($AS35:$BD35),0)</f>
        <v>2848.8073851946451</v>
      </c>
      <c r="BK37" s="554">
        <f>IF(AND($BF37&gt;0,$BF37&gt;'Input 6_Product Efficacy'!$Q$12/30),SUM($AS35:$BD35),0)</f>
        <v>0</v>
      </c>
      <c r="BL37" s="276"/>
      <c r="BM37" s="276"/>
      <c r="BN37" s="93"/>
      <c r="BO37" s="244">
        <f t="shared" si="13"/>
        <v>831.06117533045733</v>
      </c>
      <c r="BP37" s="244">
        <f t="shared" si="11"/>
        <v>2409.0254322870214</v>
      </c>
      <c r="BQ37" s="244">
        <f t="shared" si="11"/>
        <v>3429.442318452267</v>
      </c>
      <c r="BR37" s="244">
        <f t="shared" si="11"/>
        <v>2293.3080534435403</v>
      </c>
      <c r="BS37" s="244">
        <f t="shared" si="11"/>
        <v>1230.8121204261206</v>
      </c>
      <c r="BT37" s="244">
        <f t="shared" si="11"/>
        <v>326.11261310435668</v>
      </c>
      <c r="BU37" s="244">
        <f t="shared" si="11"/>
        <v>0</v>
      </c>
      <c r="BV37" s="244">
        <f t="shared" si="11"/>
        <v>0</v>
      </c>
      <c r="BW37" s="244">
        <f t="shared" si="11"/>
        <v>0</v>
      </c>
      <c r="BX37" s="244">
        <f t="shared" si="11"/>
        <v>0</v>
      </c>
      <c r="BY37" s="244">
        <f t="shared" si="11"/>
        <v>0</v>
      </c>
      <c r="BZ37" s="244">
        <f t="shared" si="11"/>
        <v>0</v>
      </c>
      <c r="CA37" s="244"/>
      <c r="CB37" s="557">
        <f>IF($B35=0,1,IF(AND(CB36&gt;0,$B35&lt;='Input 4_RSV Season'!$AG$27-1),CB36+1,0))</f>
        <v>5</v>
      </c>
      <c r="CC37" s="549">
        <f>IF(AND($CB37&gt;0,$CB37&lt;='Input 6_Product Efficacy'!$Q$12/30),SUM($BO35:$BZ35),0)</f>
        <v>19372.268752308406</v>
      </c>
      <c r="CD37" s="554">
        <f>IF(AND($CB37&gt;0,$CB37&gt;'Input 6_Product Efficacy'!$Q$12/30),SUM($BO35:$BZ35),0)</f>
        <v>0</v>
      </c>
      <c r="CF37" s="565">
        <f>IF(AND($CB37&gt;0,$CB37&gt;'Input 6_Product Efficacy'!$Q$15/30),SUM($BO35:$BZ35),0)</f>
        <v>19372.268752308406</v>
      </c>
    </row>
    <row r="38" spans="2:84" x14ac:dyDescent="0.3">
      <c r="B38" s="26">
        <v>7</v>
      </c>
      <c r="C38" s="293">
        <f>'Input 2_RSV Rates'!O17*'Input 3_Clinical Severity'!$N$11</f>
        <v>24</v>
      </c>
      <c r="D38" s="13"/>
      <c r="E38" s="77">
        <f t="shared" si="9"/>
        <v>4.7700513233370229E-3</v>
      </c>
      <c r="F38" s="77">
        <f t="shared" si="9"/>
        <v>1.3827110798027571E-2</v>
      </c>
      <c r="G38" s="77">
        <f t="shared" si="9"/>
        <v>1.9684009258327462E-2</v>
      </c>
      <c r="H38" s="77">
        <f t="shared" si="9"/>
        <v>1.3162926436550267E-2</v>
      </c>
      <c r="I38" s="77">
        <f t="shared" si="9"/>
        <v>7.0645063902586291E-3</v>
      </c>
      <c r="J38" s="77">
        <f t="shared" si="9"/>
        <v>1.8717922914360469E-3</v>
      </c>
      <c r="K38" s="77">
        <f t="shared" si="9"/>
        <v>0</v>
      </c>
      <c r="L38" s="77">
        <f t="shared" si="9"/>
        <v>0</v>
      </c>
      <c r="M38" s="77">
        <f t="shared" si="9"/>
        <v>0</v>
      </c>
      <c r="N38" s="77">
        <f t="shared" si="9"/>
        <v>0</v>
      </c>
      <c r="O38" s="77">
        <f t="shared" si="9"/>
        <v>0</v>
      </c>
      <c r="P38" s="77">
        <f t="shared" si="9"/>
        <v>0</v>
      </c>
      <c r="Q38" s="13"/>
      <c r="R38" s="13"/>
      <c r="S38" s="852">
        <f>IF('Input 5_Product Uptake'!$M$9=0,E38*Ratios!$N$26,E38*Ratios!$N$26*Ratios!$Z$23)</f>
        <v>83.683303157937075</v>
      </c>
      <c r="T38" s="852">
        <f>IF('Input 5_Product Uptake'!$M$9=0,F38*Ratios!$N$26,F38*Ratios!$N$26*Ratios!$Z$23)</f>
        <v>242.57565092617199</v>
      </c>
      <c r="U38" s="852">
        <f>IF('Input 5_Product Uptake'!$M$9=0,G38*Ratios!$N$26,G38*Ratios!$N$26*Ratios!$Z$23)</f>
        <v>345.32603581629729</v>
      </c>
      <c r="V38" s="852">
        <f>IF('Input 5_Product Uptake'!$M$9=0,H38*Ratios!$N$26,H38*Ratios!$N$26*Ratios!$Z$23)</f>
        <v>230.92354542316812</v>
      </c>
      <c r="W38" s="852">
        <f>IF('Input 5_Product Uptake'!$M$9=0,I38*Ratios!$N$26,I38*Ratios!$N$26*Ratios!$Z$23)</f>
        <v>123.93603125922326</v>
      </c>
      <c r="X38" s="852">
        <f>IF('Input 5_Product Uptake'!$M$9=0,J38*Ratios!$N$26,J38*Ratios!$N$26*Ratios!$Z$23)</f>
        <v>32.837751872101883</v>
      </c>
      <c r="Y38" s="852">
        <f>IF('Input 5_Product Uptake'!$M$9=0,K38*Ratios!$N$26,K38*Ratios!$N$26*Ratios!$Z$23)</f>
        <v>0</v>
      </c>
      <c r="Z38" s="852">
        <f>IF('Input 5_Product Uptake'!$M$9=0,L38*Ratios!$N$26,L38*Ratios!$N$26*Ratios!$Z$23)</f>
        <v>0</v>
      </c>
      <c r="AA38" s="852">
        <f>IF('Input 5_Product Uptake'!$M$9=0,M38*Ratios!$N$26,M38*Ratios!$N$26*Ratios!$Z$23)</f>
        <v>0</v>
      </c>
      <c r="AB38" s="852">
        <f>IF('Input 5_Product Uptake'!$M$9=0,N38*Ratios!$N$26,N38*Ratios!$N$26*Ratios!$Z$23)</f>
        <v>0</v>
      </c>
      <c r="AC38" s="852">
        <f>IF('Input 5_Product Uptake'!$M$9=0,O38*Ratios!$N$26,O38*Ratios!$N$26*Ratios!$Z$23)</f>
        <v>0</v>
      </c>
      <c r="AD38" s="852">
        <f>IF('Input 5_Product Uptake'!$M$9=0,P38*Ratios!$N$26,P38*Ratios!$N$26*Ratios!$Z$23)</f>
        <v>0</v>
      </c>
      <c r="AE38" s="296"/>
      <c r="AF38" s="860">
        <f>Ratios!$P$26*E38</f>
        <v>569.05758082542013</v>
      </c>
      <c r="AG38" s="860">
        <f>Ratios!$P$26*F38</f>
        <v>1649.5466583420405</v>
      </c>
      <c r="AH38" s="860">
        <f>Ratios!$P$26*G38</f>
        <v>2348.2629284694553</v>
      </c>
      <c r="AI38" s="860">
        <f>Ratios!$P$26*H38</f>
        <v>1570.3107926574887</v>
      </c>
      <c r="AJ38" s="860">
        <f>Ratios!$P$26*I38</f>
        <v>842.78148046296405</v>
      </c>
      <c r="AK38" s="860">
        <f>Ratios!$P$26*J38</f>
        <v>223.30107602010156</v>
      </c>
      <c r="AL38" s="860">
        <f>Ratios!$P$26*K38</f>
        <v>0</v>
      </c>
      <c r="AM38" s="860">
        <f>Ratios!$P$26*L38</f>
        <v>0</v>
      </c>
      <c r="AN38" s="860">
        <f>Ratios!$P$26*M38</f>
        <v>0</v>
      </c>
      <c r="AO38" s="860">
        <f>Ratios!$P$26*N38</f>
        <v>0</v>
      </c>
      <c r="AP38" s="860">
        <f>Ratios!$P$26*O38</f>
        <v>0</v>
      </c>
      <c r="AQ38" s="860">
        <f>Ratios!$P$26*P38</f>
        <v>0</v>
      </c>
      <c r="AR38" s="13"/>
      <c r="AS38" s="275">
        <f t="shared" si="12"/>
        <v>83.683303157937075</v>
      </c>
      <c r="AT38" s="275">
        <f t="shared" si="10"/>
        <v>242.57565092617199</v>
      </c>
      <c r="AU38" s="275">
        <f t="shared" si="10"/>
        <v>345.32603581629729</v>
      </c>
      <c r="AV38" s="275">
        <f t="shared" si="10"/>
        <v>230.92354542316812</v>
      </c>
      <c r="AW38" s="275">
        <f t="shared" si="10"/>
        <v>123.93603125922326</v>
      </c>
      <c r="AX38" s="275">
        <f t="shared" si="10"/>
        <v>32.837751872101883</v>
      </c>
      <c r="AY38" s="275">
        <f t="shared" si="10"/>
        <v>0</v>
      </c>
      <c r="AZ38" s="275">
        <f t="shared" si="10"/>
        <v>0</v>
      </c>
      <c r="BA38" s="275">
        <f t="shared" si="10"/>
        <v>0</v>
      </c>
      <c r="BB38" s="275">
        <f t="shared" si="10"/>
        <v>0</v>
      </c>
      <c r="BC38" s="275">
        <f t="shared" si="10"/>
        <v>0</v>
      </c>
      <c r="BD38" s="275">
        <f t="shared" si="10"/>
        <v>0</v>
      </c>
      <c r="BE38" s="276"/>
      <c r="BF38" s="557">
        <f>IF($B36=0,1,IF(AND(BF37&gt;0,$B36&lt;='Input 4_RSV Season'!$AG$27-1),BF37+1,0))</f>
        <v>6</v>
      </c>
      <c r="BG38" s="549">
        <f>IF(AND($BF38&gt;0,$BF38&lt;='Input 6_Product Efficacy'!$Q$9/30),SUM($AS36:$BD36),0)</f>
        <v>0</v>
      </c>
      <c r="BH38" s="554">
        <f>IF(AND($BF38&gt;0,$BF38&gt;'Input 6_Product Efficacy'!$Q$9/30),SUM($AS36:$BD36),0)</f>
        <v>1752.8915532265144</v>
      </c>
      <c r="BJ38" s="549">
        <f>IF(AND($BF38&gt;0,$BF38&lt;='Input 6_Product Efficacy'!$Q$12/30),SUM($AS36:$BD36),0)</f>
        <v>0</v>
      </c>
      <c r="BK38" s="554">
        <f>IF(AND($BF38&gt;0,$BF38&gt;'Input 6_Product Efficacy'!$Q$12/30),SUM($AS36:$BD36),0)</f>
        <v>1752.8915532265144</v>
      </c>
      <c r="BL38" s="276"/>
      <c r="BM38" s="276"/>
      <c r="BN38" s="93"/>
      <c r="BO38" s="244">
        <f t="shared" si="13"/>
        <v>569.05758082542013</v>
      </c>
      <c r="BP38" s="244">
        <f t="shared" si="11"/>
        <v>1649.5466583420405</v>
      </c>
      <c r="BQ38" s="244">
        <f t="shared" si="11"/>
        <v>2348.2629284694553</v>
      </c>
      <c r="BR38" s="244">
        <f t="shared" si="11"/>
        <v>1570.3107926574887</v>
      </c>
      <c r="BS38" s="244">
        <f t="shared" si="11"/>
        <v>842.78148046296405</v>
      </c>
      <c r="BT38" s="244">
        <f t="shared" si="11"/>
        <v>223.30107602010156</v>
      </c>
      <c r="BU38" s="244">
        <f t="shared" si="11"/>
        <v>0</v>
      </c>
      <c r="BV38" s="244">
        <f t="shared" si="11"/>
        <v>0</v>
      </c>
      <c r="BW38" s="244">
        <f t="shared" si="11"/>
        <v>0</v>
      </c>
      <c r="BX38" s="244">
        <f t="shared" si="11"/>
        <v>0</v>
      </c>
      <c r="BY38" s="244">
        <f t="shared" si="11"/>
        <v>0</v>
      </c>
      <c r="BZ38" s="244">
        <f t="shared" si="11"/>
        <v>0</v>
      </c>
      <c r="CA38" s="244"/>
      <c r="CB38" s="557">
        <f>IF($B36=0,1,IF(AND(CB37&gt;0,$B36&lt;='Input 4_RSV Season'!$AG$27-1),CB37+1,0))</f>
        <v>6</v>
      </c>
      <c r="CC38" s="549">
        <f>IF(AND($CB38&gt;0,$CB38&lt;='Input 6_Product Efficacy'!$Q$12/30),SUM($BO36:$BZ36),0)</f>
        <v>0</v>
      </c>
      <c r="CD38" s="554">
        <f>IF(AND($CB38&gt;0,$CB38&gt;'Input 6_Product Efficacy'!$Q$12/30),SUM($BO36:$BZ36),0)</f>
        <v>11919.895475992387</v>
      </c>
      <c r="CF38" s="565">
        <f>IF(AND($CB38&gt;0,$CB38&gt;'Input 6_Product Efficacy'!$Q$15/30),SUM($BO36:$BZ36),0)</f>
        <v>11919.895475992387</v>
      </c>
    </row>
    <row r="39" spans="2:84" x14ac:dyDescent="0.3">
      <c r="B39" s="26">
        <v>8</v>
      </c>
      <c r="C39" s="293">
        <f>'Input 2_RSV Rates'!O18*'Input 3_Clinical Severity'!$N$11</f>
        <v>23.8</v>
      </c>
      <c r="D39" s="13"/>
      <c r="E39" s="77">
        <f t="shared" si="9"/>
        <v>4.7303008956425478E-3</v>
      </c>
      <c r="F39" s="77">
        <f t="shared" si="9"/>
        <v>1.3711884874710676E-2</v>
      </c>
      <c r="G39" s="77">
        <f t="shared" si="9"/>
        <v>1.95199758478414E-2</v>
      </c>
      <c r="H39" s="77">
        <f t="shared" si="9"/>
        <v>1.3053235382912348E-2</v>
      </c>
      <c r="I39" s="77">
        <f t="shared" si="9"/>
        <v>7.005635503673141E-3</v>
      </c>
      <c r="J39" s="77">
        <f t="shared" si="9"/>
        <v>1.8561940223407467E-3</v>
      </c>
      <c r="K39" s="77">
        <f t="shared" si="9"/>
        <v>0</v>
      </c>
      <c r="L39" s="77">
        <f t="shared" si="9"/>
        <v>0</v>
      </c>
      <c r="M39" s="77">
        <f t="shared" si="9"/>
        <v>0</v>
      </c>
      <c r="N39" s="77">
        <f t="shared" si="9"/>
        <v>0</v>
      </c>
      <c r="O39" s="77">
        <f t="shared" si="9"/>
        <v>0</v>
      </c>
      <c r="P39" s="77">
        <f t="shared" si="9"/>
        <v>0</v>
      </c>
      <c r="Q39" s="13"/>
      <c r="R39" s="13"/>
      <c r="S39" s="852">
        <f>IF('Input 5_Product Uptake'!$M$9=0,E39*Ratios!$N$26,E39*Ratios!$N$26*Ratios!$Z$23)</f>
        <v>82.985942298287583</v>
      </c>
      <c r="T39" s="852">
        <f>IF('Input 5_Product Uptake'!$M$9=0,F39*Ratios!$N$26,F39*Ratios!$N$26*Ratios!$Z$23)</f>
        <v>240.55418716845392</v>
      </c>
      <c r="U39" s="852">
        <f>IF('Input 5_Product Uptake'!$M$9=0,G39*Ratios!$N$26,G39*Ratios!$N$26*Ratios!$Z$23)</f>
        <v>342.44831885116145</v>
      </c>
      <c r="V39" s="852">
        <f>IF('Input 5_Product Uptake'!$M$9=0,H39*Ratios!$N$26,H39*Ratios!$N$26*Ratios!$Z$23)</f>
        <v>228.99918254464171</v>
      </c>
      <c r="W39" s="852">
        <f>IF('Input 5_Product Uptake'!$M$9=0,I39*Ratios!$N$26,I39*Ratios!$N$26*Ratios!$Z$23)</f>
        <v>122.90323099872974</v>
      </c>
      <c r="X39" s="852">
        <f>IF('Input 5_Product Uptake'!$M$9=0,J39*Ratios!$N$26,J39*Ratios!$N$26*Ratios!$Z$23)</f>
        <v>32.564103939834375</v>
      </c>
      <c r="Y39" s="852">
        <f>IF('Input 5_Product Uptake'!$M$9=0,K39*Ratios!$N$26,K39*Ratios!$N$26*Ratios!$Z$23)</f>
        <v>0</v>
      </c>
      <c r="Z39" s="852">
        <f>IF('Input 5_Product Uptake'!$M$9=0,L39*Ratios!$N$26,L39*Ratios!$N$26*Ratios!$Z$23)</f>
        <v>0</v>
      </c>
      <c r="AA39" s="852">
        <f>IF('Input 5_Product Uptake'!$M$9=0,M39*Ratios!$N$26,M39*Ratios!$N$26*Ratios!$Z$23)</f>
        <v>0</v>
      </c>
      <c r="AB39" s="852">
        <f>IF('Input 5_Product Uptake'!$M$9=0,N39*Ratios!$N$26,N39*Ratios!$N$26*Ratios!$Z$23)</f>
        <v>0</v>
      </c>
      <c r="AC39" s="852">
        <f>IF('Input 5_Product Uptake'!$M$9=0,O39*Ratios!$N$26,O39*Ratios!$N$26*Ratios!$Z$23)</f>
        <v>0</v>
      </c>
      <c r="AD39" s="852">
        <f>IF('Input 5_Product Uptake'!$M$9=0,P39*Ratios!$N$26,P39*Ratios!$N$26*Ratios!$Z$23)</f>
        <v>0</v>
      </c>
      <c r="AE39" s="296"/>
      <c r="AF39" s="860">
        <f>Ratios!$P$26*E39</f>
        <v>564.31543431854163</v>
      </c>
      <c r="AG39" s="860">
        <f>Ratios!$P$26*F39</f>
        <v>1635.8004361891903</v>
      </c>
      <c r="AH39" s="860">
        <f>Ratios!$P$26*G39</f>
        <v>2328.6940707322101</v>
      </c>
      <c r="AI39" s="860">
        <f>Ratios!$P$26*H39</f>
        <v>1557.2248693853428</v>
      </c>
      <c r="AJ39" s="860">
        <f>Ratios!$P$26*I39</f>
        <v>835.75830145910606</v>
      </c>
      <c r="AK39" s="860">
        <f>Ratios!$P$26*J39</f>
        <v>221.44023371993407</v>
      </c>
      <c r="AL39" s="860">
        <f>Ratios!$P$26*K39</f>
        <v>0</v>
      </c>
      <c r="AM39" s="860">
        <f>Ratios!$P$26*L39</f>
        <v>0</v>
      </c>
      <c r="AN39" s="860">
        <f>Ratios!$P$26*M39</f>
        <v>0</v>
      </c>
      <c r="AO39" s="860">
        <f>Ratios!$P$26*N39</f>
        <v>0</v>
      </c>
      <c r="AP39" s="860">
        <f>Ratios!$P$26*O39</f>
        <v>0</v>
      </c>
      <c r="AQ39" s="860">
        <f>Ratios!$P$26*P39</f>
        <v>0</v>
      </c>
      <c r="AR39" s="13"/>
      <c r="AS39" s="275">
        <f t="shared" si="12"/>
        <v>82.985942298287583</v>
      </c>
      <c r="AT39" s="275">
        <f t="shared" si="10"/>
        <v>240.55418716845392</v>
      </c>
      <c r="AU39" s="275">
        <f t="shared" si="10"/>
        <v>342.44831885116145</v>
      </c>
      <c r="AV39" s="275">
        <f t="shared" si="10"/>
        <v>228.99918254464171</v>
      </c>
      <c r="AW39" s="275">
        <f t="shared" si="10"/>
        <v>122.90323099872974</v>
      </c>
      <c r="AX39" s="275">
        <f t="shared" si="10"/>
        <v>32.564103939834375</v>
      </c>
      <c r="AY39" s="275">
        <f t="shared" si="10"/>
        <v>0</v>
      </c>
      <c r="AZ39" s="275">
        <f t="shared" si="10"/>
        <v>0</v>
      </c>
      <c r="BA39" s="275">
        <f t="shared" si="10"/>
        <v>0</v>
      </c>
      <c r="BB39" s="275">
        <f t="shared" si="10"/>
        <v>0</v>
      </c>
      <c r="BC39" s="275">
        <f t="shared" si="10"/>
        <v>0</v>
      </c>
      <c r="BD39" s="275">
        <f t="shared" si="10"/>
        <v>0</v>
      </c>
      <c r="BE39" s="276"/>
      <c r="BF39" s="557">
        <f>IF($B37=0,1,IF(AND(BF38&gt;0,$B37&lt;='Input 4_RSV Season'!$AG$27-1),BF38+1,0))</f>
        <v>0</v>
      </c>
      <c r="BG39" s="549">
        <f>IF(AND($BF39&gt;0,$BF39&lt;='Input 6_Product Efficacy'!$Q$9/30),SUM($AS37:$BD37),0)</f>
        <v>0</v>
      </c>
      <c r="BH39" s="554">
        <f>IF(AND($BF39&gt;0,$BF39&gt;'Input 6_Product Efficacy'!$Q$9/30),SUM($AS37:$BD37),0)</f>
        <v>0</v>
      </c>
      <c r="BJ39" s="549">
        <f>IF(AND($BF39&gt;0,$BF39&lt;='Input 6_Product Efficacy'!$Q$12/30),SUM($AS37:$BD37),0)</f>
        <v>0</v>
      </c>
      <c r="BK39" s="554">
        <f>IF(AND($BF39&gt;0,$BF39&gt;'Input 6_Product Efficacy'!$Q$12/30),SUM($AS37:$BD37),0)</f>
        <v>0</v>
      </c>
      <c r="BL39" s="276"/>
      <c r="BM39" s="276"/>
      <c r="BN39" s="93"/>
      <c r="BO39" s="244">
        <f t="shared" si="13"/>
        <v>564.31543431854163</v>
      </c>
      <c r="BP39" s="244">
        <f t="shared" si="11"/>
        <v>1635.8004361891903</v>
      </c>
      <c r="BQ39" s="244">
        <f t="shared" si="11"/>
        <v>2328.6940707322101</v>
      </c>
      <c r="BR39" s="244">
        <f t="shared" si="11"/>
        <v>1557.2248693853428</v>
      </c>
      <c r="BS39" s="244">
        <f t="shared" si="11"/>
        <v>835.75830145910606</v>
      </c>
      <c r="BT39" s="244">
        <f t="shared" si="11"/>
        <v>221.44023371993407</v>
      </c>
      <c r="BU39" s="244">
        <f t="shared" si="11"/>
        <v>0</v>
      </c>
      <c r="BV39" s="244">
        <f t="shared" si="11"/>
        <v>0</v>
      </c>
      <c r="BW39" s="244">
        <f t="shared" si="11"/>
        <v>0</v>
      </c>
      <c r="BX39" s="244">
        <f t="shared" si="11"/>
        <v>0</v>
      </c>
      <c r="BY39" s="244">
        <f t="shared" si="11"/>
        <v>0</v>
      </c>
      <c r="BZ39" s="244">
        <f t="shared" si="11"/>
        <v>0</v>
      </c>
      <c r="CA39" s="244"/>
      <c r="CB39" s="557">
        <f>IF($B37=0,1,IF(AND(CB38&gt;0,$B37&lt;='Input 4_RSV Season'!$AG$27-1),CB38+1,0))</f>
        <v>0</v>
      </c>
      <c r="CC39" s="549">
        <f>IF(AND($CB39&gt;0,$CB39&lt;='Input 6_Product Efficacy'!$Q$12/30),SUM($BO37:$BZ37),0)</f>
        <v>0</v>
      </c>
      <c r="CD39" s="554">
        <f>IF(AND($CB39&gt;0,$CB39&gt;'Input 6_Product Efficacy'!$Q$12/30),SUM($BO37:$BZ37),0)</f>
        <v>0</v>
      </c>
      <c r="CF39" s="565">
        <f>IF(AND($CB39&gt;0,$CB39&gt;'Input 6_Product Efficacy'!$Q$15/30),SUM($BO37:$BZ37),0)</f>
        <v>0</v>
      </c>
    </row>
    <row r="40" spans="2:84" x14ac:dyDescent="0.3">
      <c r="B40" s="26">
        <v>9</v>
      </c>
      <c r="C40" s="293">
        <f>'Input 2_RSV Rates'!O19*'Input 3_Clinical Severity'!$N$11</f>
        <v>23.8</v>
      </c>
      <c r="D40" s="13"/>
      <c r="E40" s="77">
        <f t="shared" si="9"/>
        <v>4.7303008956425478E-3</v>
      </c>
      <c r="F40" s="77">
        <f t="shared" si="9"/>
        <v>1.3711884874710676E-2</v>
      </c>
      <c r="G40" s="77">
        <f t="shared" si="9"/>
        <v>1.95199758478414E-2</v>
      </c>
      <c r="H40" s="77">
        <f t="shared" si="9"/>
        <v>1.3053235382912348E-2</v>
      </c>
      <c r="I40" s="77">
        <f t="shared" si="9"/>
        <v>7.005635503673141E-3</v>
      </c>
      <c r="J40" s="77">
        <f t="shared" si="9"/>
        <v>1.8561940223407467E-3</v>
      </c>
      <c r="K40" s="77">
        <f t="shared" si="9"/>
        <v>0</v>
      </c>
      <c r="L40" s="77">
        <f t="shared" si="9"/>
        <v>0</v>
      </c>
      <c r="M40" s="77">
        <f t="shared" si="9"/>
        <v>0</v>
      </c>
      <c r="N40" s="77">
        <f t="shared" si="9"/>
        <v>0</v>
      </c>
      <c r="O40" s="77">
        <f t="shared" si="9"/>
        <v>0</v>
      </c>
      <c r="P40" s="77">
        <f t="shared" si="9"/>
        <v>0</v>
      </c>
      <c r="Q40" s="13"/>
      <c r="R40" s="13"/>
      <c r="S40" s="852">
        <f>IF('Input 5_Product Uptake'!$M$9=0,E40*Ratios!$N$26,E40*Ratios!$N$26*Ratios!$Z$23)</f>
        <v>82.985942298287583</v>
      </c>
      <c r="T40" s="852">
        <f>IF('Input 5_Product Uptake'!$M$9=0,F40*Ratios!$N$26,F40*Ratios!$N$26*Ratios!$Z$23)</f>
        <v>240.55418716845392</v>
      </c>
      <c r="U40" s="852">
        <f>IF('Input 5_Product Uptake'!$M$9=0,G40*Ratios!$N$26,G40*Ratios!$N$26*Ratios!$Z$23)</f>
        <v>342.44831885116145</v>
      </c>
      <c r="V40" s="852">
        <f>IF('Input 5_Product Uptake'!$M$9=0,H40*Ratios!$N$26,H40*Ratios!$N$26*Ratios!$Z$23)</f>
        <v>228.99918254464171</v>
      </c>
      <c r="W40" s="852">
        <f>IF('Input 5_Product Uptake'!$M$9=0,I40*Ratios!$N$26,I40*Ratios!$N$26*Ratios!$Z$23)</f>
        <v>122.90323099872974</v>
      </c>
      <c r="X40" s="852">
        <f>IF('Input 5_Product Uptake'!$M$9=0,J40*Ratios!$N$26,J40*Ratios!$N$26*Ratios!$Z$23)</f>
        <v>32.564103939834375</v>
      </c>
      <c r="Y40" s="852">
        <f>IF('Input 5_Product Uptake'!$M$9=0,K40*Ratios!$N$26,K40*Ratios!$N$26*Ratios!$Z$23)</f>
        <v>0</v>
      </c>
      <c r="Z40" s="852">
        <f>IF('Input 5_Product Uptake'!$M$9=0,L40*Ratios!$N$26,L40*Ratios!$N$26*Ratios!$Z$23)</f>
        <v>0</v>
      </c>
      <c r="AA40" s="852">
        <f>IF('Input 5_Product Uptake'!$M$9=0,M40*Ratios!$N$26,M40*Ratios!$N$26*Ratios!$Z$23)</f>
        <v>0</v>
      </c>
      <c r="AB40" s="852">
        <f>IF('Input 5_Product Uptake'!$M$9=0,N40*Ratios!$N$26,N40*Ratios!$N$26*Ratios!$Z$23)</f>
        <v>0</v>
      </c>
      <c r="AC40" s="852">
        <f>IF('Input 5_Product Uptake'!$M$9=0,O40*Ratios!$N$26,O40*Ratios!$N$26*Ratios!$Z$23)</f>
        <v>0</v>
      </c>
      <c r="AD40" s="852">
        <f>IF('Input 5_Product Uptake'!$M$9=0,P40*Ratios!$N$26,P40*Ratios!$N$26*Ratios!$Z$23)</f>
        <v>0</v>
      </c>
      <c r="AE40" s="296"/>
      <c r="AF40" s="860">
        <f>Ratios!$P$26*E40</f>
        <v>564.31543431854163</v>
      </c>
      <c r="AG40" s="860">
        <f>Ratios!$P$26*F40</f>
        <v>1635.8004361891903</v>
      </c>
      <c r="AH40" s="860">
        <f>Ratios!$P$26*G40</f>
        <v>2328.6940707322101</v>
      </c>
      <c r="AI40" s="860">
        <f>Ratios!$P$26*H40</f>
        <v>1557.2248693853428</v>
      </c>
      <c r="AJ40" s="860">
        <f>Ratios!$P$26*I40</f>
        <v>835.75830145910606</v>
      </c>
      <c r="AK40" s="860">
        <f>Ratios!$P$26*J40</f>
        <v>221.44023371993407</v>
      </c>
      <c r="AL40" s="860">
        <f>Ratios!$P$26*K40</f>
        <v>0</v>
      </c>
      <c r="AM40" s="860">
        <f>Ratios!$P$26*L40</f>
        <v>0</v>
      </c>
      <c r="AN40" s="860">
        <f>Ratios!$P$26*M40</f>
        <v>0</v>
      </c>
      <c r="AO40" s="860">
        <f>Ratios!$P$26*N40</f>
        <v>0</v>
      </c>
      <c r="AP40" s="860">
        <f>Ratios!$P$26*O40</f>
        <v>0</v>
      </c>
      <c r="AQ40" s="860">
        <f>Ratios!$P$26*P40</f>
        <v>0</v>
      </c>
      <c r="AR40" s="13"/>
      <c r="AS40" s="275">
        <f t="shared" si="12"/>
        <v>82.985942298287583</v>
      </c>
      <c r="AT40" s="275">
        <f t="shared" si="10"/>
        <v>240.55418716845392</v>
      </c>
      <c r="AU40" s="275">
        <f t="shared" si="10"/>
        <v>342.44831885116145</v>
      </c>
      <c r="AV40" s="275">
        <f t="shared" si="10"/>
        <v>228.99918254464171</v>
      </c>
      <c r="AW40" s="275">
        <f t="shared" si="10"/>
        <v>122.90323099872974</v>
      </c>
      <c r="AX40" s="275">
        <f t="shared" si="10"/>
        <v>32.564103939834375</v>
      </c>
      <c r="AY40" s="275">
        <f t="shared" si="10"/>
        <v>0</v>
      </c>
      <c r="AZ40" s="275">
        <f t="shared" si="10"/>
        <v>0</v>
      </c>
      <c r="BA40" s="275">
        <f t="shared" si="10"/>
        <v>0</v>
      </c>
      <c r="BB40" s="275">
        <f t="shared" si="10"/>
        <v>0</v>
      </c>
      <c r="BC40" s="275">
        <f t="shared" si="10"/>
        <v>0</v>
      </c>
      <c r="BD40" s="275">
        <f t="shared" si="10"/>
        <v>0</v>
      </c>
      <c r="BE40" s="276"/>
      <c r="BF40" s="557">
        <f>IF($B38=0,1,IF(AND(BF39&gt;0,$B38&lt;='Input 4_RSV Season'!$AG$27-1),BF39+1,0))</f>
        <v>0</v>
      </c>
      <c r="BG40" s="549">
        <f>IF(AND($BF40&gt;0,$BF40&lt;='Input 6_Product Efficacy'!$Q$9/30),SUM($AS38:$BD38),0)</f>
        <v>0</v>
      </c>
      <c r="BH40" s="554">
        <f>IF(AND($BF40&gt;0,$BF40&gt;'Input 6_Product Efficacy'!$Q$9/30),SUM($AS38:$BD38),0)</f>
        <v>0</v>
      </c>
      <c r="BJ40" s="549">
        <f>IF(AND($BF40&gt;0,$BF40&lt;='Input 6_Product Efficacy'!$Q$12/30),SUM($AS38:$BD38),0)</f>
        <v>0</v>
      </c>
      <c r="BK40" s="554">
        <f>IF(AND($BF40&gt;0,$BF40&gt;'Input 6_Product Efficacy'!$Q$12/30),SUM($AS38:$BD38),0)</f>
        <v>0</v>
      </c>
      <c r="BL40" s="276"/>
      <c r="BM40" s="276"/>
      <c r="BN40" s="93"/>
      <c r="BO40" s="244">
        <f t="shared" si="13"/>
        <v>564.31543431854163</v>
      </c>
      <c r="BP40" s="244">
        <f t="shared" si="11"/>
        <v>1635.8004361891903</v>
      </c>
      <c r="BQ40" s="244">
        <f t="shared" si="11"/>
        <v>2328.6940707322101</v>
      </c>
      <c r="BR40" s="244">
        <f t="shared" si="11"/>
        <v>1557.2248693853428</v>
      </c>
      <c r="BS40" s="244">
        <f t="shared" si="11"/>
        <v>835.75830145910606</v>
      </c>
      <c r="BT40" s="244">
        <f t="shared" si="11"/>
        <v>221.44023371993407</v>
      </c>
      <c r="BU40" s="244">
        <f t="shared" si="11"/>
        <v>0</v>
      </c>
      <c r="BV40" s="244">
        <f t="shared" si="11"/>
        <v>0</v>
      </c>
      <c r="BW40" s="244">
        <f t="shared" si="11"/>
        <v>0</v>
      </c>
      <c r="BX40" s="244">
        <f t="shared" si="11"/>
        <v>0</v>
      </c>
      <c r="BY40" s="244">
        <f t="shared" si="11"/>
        <v>0</v>
      </c>
      <c r="BZ40" s="244">
        <f t="shared" si="11"/>
        <v>0</v>
      </c>
      <c r="CA40" s="244"/>
      <c r="CB40" s="557">
        <f>IF($B38=0,1,IF(AND(CB39&gt;0,$B38&lt;='Input 4_RSV Season'!$AG$27-1),CB39+1,0))</f>
        <v>0</v>
      </c>
      <c r="CC40" s="549">
        <f>IF(AND($CB40&gt;0,$CB40&lt;='Input 6_Product Efficacy'!$Q$12/30),SUM($BO38:$BZ38),0)</f>
        <v>0</v>
      </c>
      <c r="CD40" s="554">
        <f>IF(AND($CB40&gt;0,$CB40&gt;'Input 6_Product Efficacy'!$Q$12/30),SUM($BO38:$BZ38),0)</f>
        <v>0</v>
      </c>
      <c r="CF40" s="565">
        <f>IF(AND($CB40&gt;0,$CB40&gt;'Input 6_Product Efficacy'!$Q$15/30),SUM($BO38:$BZ38),0)</f>
        <v>0</v>
      </c>
    </row>
    <row r="41" spans="2:84" x14ac:dyDescent="0.3">
      <c r="B41" s="26">
        <v>10</v>
      </c>
      <c r="C41" s="293">
        <f>'Input 2_RSV Rates'!O20*'Input 3_Clinical Severity'!$N$11</f>
        <v>17.3</v>
      </c>
      <c r="D41" s="13"/>
      <c r="E41" s="77">
        <f t="shared" si="9"/>
        <v>3.4384119955721041E-3</v>
      </c>
      <c r="F41" s="77">
        <f t="shared" si="9"/>
        <v>9.9670423669115417E-3</v>
      </c>
      <c r="G41" s="77">
        <f t="shared" si="9"/>
        <v>1.418889000704438E-2</v>
      </c>
      <c r="H41" s="77">
        <f t="shared" si="9"/>
        <v>9.4882761396799832E-3</v>
      </c>
      <c r="I41" s="77">
        <f t="shared" si="9"/>
        <v>5.0923316896447617E-3</v>
      </c>
      <c r="J41" s="77">
        <f t="shared" si="9"/>
        <v>1.3492502767434838E-3</v>
      </c>
      <c r="K41" s="77">
        <f t="shared" si="9"/>
        <v>0</v>
      </c>
      <c r="L41" s="77">
        <f t="shared" si="9"/>
        <v>0</v>
      </c>
      <c r="M41" s="77">
        <f t="shared" si="9"/>
        <v>0</v>
      </c>
      <c r="N41" s="77">
        <f t="shared" si="9"/>
        <v>0</v>
      </c>
      <c r="O41" s="77">
        <f t="shared" si="9"/>
        <v>0</v>
      </c>
      <c r="P41" s="77">
        <f t="shared" si="9"/>
        <v>0</v>
      </c>
      <c r="Q41" s="13"/>
      <c r="R41" s="13"/>
      <c r="S41" s="852">
        <f>IF('Input 5_Product Uptake'!$M$9=0,E41*Ratios!$N$26,E41*Ratios!$N$26*Ratios!$Z$23)</f>
        <v>60.321714359679639</v>
      </c>
      <c r="T41" s="852">
        <f>IF('Input 5_Product Uptake'!$M$9=0,F41*Ratios!$N$26,F41*Ratios!$N$26*Ratios!$Z$23)</f>
        <v>174.85661504261563</v>
      </c>
      <c r="U41" s="852">
        <f>IF('Input 5_Product Uptake'!$M$9=0,G41*Ratios!$N$26,G41*Ratios!$N$26*Ratios!$Z$23)</f>
        <v>248.92251748424763</v>
      </c>
      <c r="V41" s="852">
        <f>IF('Input 5_Product Uptake'!$M$9=0,H41*Ratios!$N$26,H41*Ratios!$N$26*Ratios!$Z$23)</f>
        <v>166.45738899253368</v>
      </c>
      <c r="W41" s="852">
        <f>IF('Input 5_Product Uptake'!$M$9=0,I41*Ratios!$N$26,I41*Ratios!$N$26*Ratios!$Z$23)</f>
        <v>89.337222532690092</v>
      </c>
      <c r="X41" s="852">
        <f>IF('Input 5_Product Uptake'!$M$9=0,J41*Ratios!$N$26,J41*Ratios!$N$26*Ratios!$Z$23)</f>
        <v>23.670546141140107</v>
      </c>
      <c r="Y41" s="852">
        <f>IF('Input 5_Product Uptake'!$M$9=0,K41*Ratios!$N$26,K41*Ratios!$N$26*Ratios!$Z$23)</f>
        <v>0</v>
      </c>
      <c r="Z41" s="852">
        <f>IF('Input 5_Product Uptake'!$M$9=0,L41*Ratios!$N$26,L41*Ratios!$N$26*Ratios!$Z$23)</f>
        <v>0</v>
      </c>
      <c r="AA41" s="852">
        <f>IF('Input 5_Product Uptake'!$M$9=0,M41*Ratios!$N$26,M41*Ratios!$N$26*Ratios!$Z$23)</f>
        <v>0</v>
      </c>
      <c r="AB41" s="852">
        <f>IF('Input 5_Product Uptake'!$M$9=0,N41*Ratios!$N$26,N41*Ratios!$N$26*Ratios!$Z$23)</f>
        <v>0</v>
      </c>
      <c r="AC41" s="852">
        <f>IF('Input 5_Product Uptake'!$M$9=0,O41*Ratios!$N$26,O41*Ratios!$N$26*Ratios!$Z$23)</f>
        <v>0</v>
      </c>
      <c r="AD41" s="852">
        <f>IF('Input 5_Product Uptake'!$M$9=0,P41*Ratios!$N$26,P41*Ratios!$N$26*Ratios!$Z$23)</f>
        <v>0</v>
      </c>
      <c r="AE41" s="296"/>
      <c r="AF41" s="860">
        <f>Ratios!$P$26*E41</f>
        <v>410.19567284499038</v>
      </c>
      <c r="AG41" s="860">
        <f>Ratios!$P$26*F41</f>
        <v>1189.0482162215544</v>
      </c>
      <c r="AH41" s="860">
        <f>Ratios!$P$26*G41</f>
        <v>1692.7061942717326</v>
      </c>
      <c r="AI41" s="860">
        <f>Ratios!$P$26*H41</f>
        <v>1131.9323630406063</v>
      </c>
      <c r="AJ41" s="860">
        <f>Ratios!$P$26*I41</f>
        <v>607.50498383371996</v>
      </c>
      <c r="AK41" s="860">
        <f>Ratios!$P$26*J41</f>
        <v>160.9628589644899</v>
      </c>
      <c r="AL41" s="860">
        <f>Ratios!$P$26*K41</f>
        <v>0</v>
      </c>
      <c r="AM41" s="860">
        <f>Ratios!$P$26*L41</f>
        <v>0</v>
      </c>
      <c r="AN41" s="860">
        <f>Ratios!$P$26*M41</f>
        <v>0</v>
      </c>
      <c r="AO41" s="860">
        <f>Ratios!$P$26*N41</f>
        <v>0</v>
      </c>
      <c r="AP41" s="860">
        <f>Ratios!$P$26*O41</f>
        <v>0</v>
      </c>
      <c r="AQ41" s="860">
        <f>Ratios!$P$26*P41</f>
        <v>0</v>
      </c>
      <c r="AR41" s="13"/>
      <c r="AS41" s="275">
        <f t="shared" si="12"/>
        <v>60.321714359679639</v>
      </c>
      <c r="AT41" s="275">
        <f t="shared" si="10"/>
        <v>174.85661504261563</v>
      </c>
      <c r="AU41" s="275">
        <f t="shared" si="10"/>
        <v>248.92251748424763</v>
      </c>
      <c r="AV41" s="275">
        <f t="shared" si="10"/>
        <v>166.45738899253368</v>
      </c>
      <c r="AW41" s="275">
        <f t="shared" si="10"/>
        <v>89.337222532690092</v>
      </c>
      <c r="AX41" s="275">
        <f t="shared" si="10"/>
        <v>23.670546141140107</v>
      </c>
      <c r="AY41" s="275">
        <f t="shared" si="10"/>
        <v>0</v>
      </c>
      <c r="AZ41" s="275">
        <f t="shared" si="10"/>
        <v>0</v>
      </c>
      <c r="BA41" s="275">
        <f t="shared" si="10"/>
        <v>0</v>
      </c>
      <c r="BB41" s="275">
        <f t="shared" si="10"/>
        <v>0</v>
      </c>
      <c r="BC41" s="275">
        <f t="shared" si="10"/>
        <v>0</v>
      </c>
      <c r="BD41" s="275">
        <f t="shared" si="10"/>
        <v>0</v>
      </c>
      <c r="BE41" s="276"/>
      <c r="BF41" s="557">
        <f>IF($B39=0,1,IF(AND(BF40&gt;0,$B39&lt;='Input 4_RSV Season'!$AG$27-1),BF40+1,0))</f>
        <v>0</v>
      </c>
      <c r="BG41" s="549">
        <f>IF(AND($BF41&gt;0,$BF41&lt;='Input 6_Product Efficacy'!$Q$9/30),SUM($AS39:$BD39),0)</f>
        <v>0</v>
      </c>
      <c r="BH41" s="554">
        <f>IF(AND($BF41&gt;0,$BF41&gt;'Input 6_Product Efficacy'!$Q$9/30),SUM($AS39:$BD39),0)</f>
        <v>0</v>
      </c>
      <c r="BJ41" s="549">
        <f>IF(AND($BF41&gt;0,$BF41&lt;='Input 6_Product Efficacy'!$Q$12/30),SUM($AS39:$BD39),0)</f>
        <v>0</v>
      </c>
      <c r="BK41" s="554">
        <f>IF(AND($BF41&gt;0,$BF41&gt;'Input 6_Product Efficacy'!$Q$12/30),SUM($AS39:$BD39),0)</f>
        <v>0</v>
      </c>
      <c r="BL41" s="276"/>
      <c r="BM41" s="276"/>
      <c r="BN41" s="93"/>
      <c r="BO41" s="244">
        <f t="shared" si="13"/>
        <v>410.19567284499038</v>
      </c>
      <c r="BP41" s="244">
        <f t="shared" si="11"/>
        <v>1189.0482162215544</v>
      </c>
      <c r="BQ41" s="244">
        <f t="shared" si="11"/>
        <v>1692.7061942717326</v>
      </c>
      <c r="BR41" s="244">
        <f t="shared" si="11"/>
        <v>1131.9323630406063</v>
      </c>
      <c r="BS41" s="244">
        <f t="shared" si="11"/>
        <v>607.50498383371996</v>
      </c>
      <c r="BT41" s="244">
        <f t="shared" si="11"/>
        <v>160.9628589644899</v>
      </c>
      <c r="BU41" s="244">
        <f t="shared" si="11"/>
        <v>0</v>
      </c>
      <c r="BV41" s="244">
        <f t="shared" si="11"/>
        <v>0</v>
      </c>
      <c r="BW41" s="244">
        <f t="shared" si="11"/>
        <v>0</v>
      </c>
      <c r="BX41" s="244">
        <f t="shared" si="11"/>
        <v>0</v>
      </c>
      <c r="BY41" s="244">
        <f t="shared" si="11"/>
        <v>0</v>
      </c>
      <c r="BZ41" s="244">
        <f t="shared" si="11"/>
        <v>0</v>
      </c>
      <c r="CA41" s="244"/>
      <c r="CB41" s="557">
        <f>IF($B39=0,1,IF(AND(CB40&gt;0,$B39&lt;='Input 4_RSV Season'!$AG$27-1),CB40+1,0))</f>
        <v>0</v>
      </c>
      <c r="CC41" s="549">
        <f>IF(AND($CB41&gt;0,$CB41&lt;='Input 6_Product Efficacy'!$Q$12/30),SUM($BO39:$BZ39),0)</f>
        <v>0</v>
      </c>
      <c r="CD41" s="554">
        <f>IF(AND($CB41&gt;0,$CB41&gt;'Input 6_Product Efficacy'!$Q$12/30),SUM($BO39:$BZ39),0)</f>
        <v>0</v>
      </c>
      <c r="CF41" s="565">
        <f>IF(AND($CB41&gt;0,$CB41&gt;'Input 6_Product Efficacy'!$Q$15/30),SUM($BO39:$BZ39),0)</f>
        <v>0</v>
      </c>
    </row>
    <row r="42" spans="2:84" x14ac:dyDescent="0.3">
      <c r="B42" s="26">
        <v>11</v>
      </c>
      <c r="C42" s="293">
        <f>'Input 2_RSV Rates'!O21*'Input 3_Clinical Severity'!$N$11</f>
        <v>23.8</v>
      </c>
      <c r="D42" s="13"/>
      <c r="E42" s="77">
        <f t="shared" si="9"/>
        <v>4.7303008956425478E-3</v>
      </c>
      <c r="F42" s="77">
        <f t="shared" si="9"/>
        <v>1.3711884874710676E-2</v>
      </c>
      <c r="G42" s="77">
        <f t="shared" si="9"/>
        <v>1.95199758478414E-2</v>
      </c>
      <c r="H42" s="77">
        <f t="shared" si="9"/>
        <v>1.3053235382912348E-2</v>
      </c>
      <c r="I42" s="77">
        <f t="shared" si="9"/>
        <v>7.005635503673141E-3</v>
      </c>
      <c r="J42" s="77">
        <f t="shared" si="9"/>
        <v>1.8561940223407467E-3</v>
      </c>
      <c r="K42" s="77">
        <f t="shared" si="9"/>
        <v>0</v>
      </c>
      <c r="L42" s="77">
        <f t="shared" si="9"/>
        <v>0</v>
      </c>
      <c r="M42" s="77">
        <f t="shared" si="9"/>
        <v>0</v>
      </c>
      <c r="N42" s="77">
        <f t="shared" si="9"/>
        <v>0</v>
      </c>
      <c r="O42" s="77">
        <f t="shared" si="9"/>
        <v>0</v>
      </c>
      <c r="P42" s="77">
        <f t="shared" si="9"/>
        <v>0</v>
      </c>
      <c r="Q42" s="13"/>
      <c r="R42" s="13"/>
      <c r="S42" s="852">
        <f>IF('Input 5_Product Uptake'!$M$9=0,E42*Ratios!$N$26,E42*Ratios!$N$26*Ratios!$Z$23)</f>
        <v>82.985942298287583</v>
      </c>
      <c r="T42" s="852">
        <f>IF('Input 5_Product Uptake'!$M$9=0,F42*Ratios!$N$26,F42*Ratios!$N$26*Ratios!$Z$23)</f>
        <v>240.55418716845392</v>
      </c>
      <c r="U42" s="852">
        <f>IF('Input 5_Product Uptake'!$M$9=0,G42*Ratios!$N$26,G42*Ratios!$N$26*Ratios!$Z$23)</f>
        <v>342.44831885116145</v>
      </c>
      <c r="V42" s="852">
        <f>IF('Input 5_Product Uptake'!$M$9=0,H42*Ratios!$N$26,H42*Ratios!$N$26*Ratios!$Z$23)</f>
        <v>228.99918254464171</v>
      </c>
      <c r="W42" s="852">
        <f>IF('Input 5_Product Uptake'!$M$9=0,I42*Ratios!$N$26,I42*Ratios!$N$26*Ratios!$Z$23)</f>
        <v>122.90323099872974</v>
      </c>
      <c r="X42" s="852">
        <f>IF('Input 5_Product Uptake'!$M$9=0,J42*Ratios!$N$26,J42*Ratios!$N$26*Ratios!$Z$23)</f>
        <v>32.564103939834375</v>
      </c>
      <c r="Y42" s="852">
        <f>IF('Input 5_Product Uptake'!$M$9=0,K42*Ratios!$N$26,K42*Ratios!$N$26*Ratios!$Z$23)</f>
        <v>0</v>
      </c>
      <c r="Z42" s="852">
        <f>IF('Input 5_Product Uptake'!$M$9=0,L42*Ratios!$N$26,L42*Ratios!$N$26*Ratios!$Z$23)</f>
        <v>0</v>
      </c>
      <c r="AA42" s="852">
        <f>IF('Input 5_Product Uptake'!$M$9=0,M42*Ratios!$N$26,M42*Ratios!$N$26*Ratios!$Z$23)</f>
        <v>0</v>
      </c>
      <c r="AB42" s="852">
        <f>IF('Input 5_Product Uptake'!$M$9=0,N42*Ratios!$N$26,N42*Ratios!$N$26*Ratios!$Z$23)</f>
        <v>0</v>
      </c>
      <c r="AC42" s="852">
        <f>IF('Input 5_Product Uptake'!$M$9=0,O42*Ratios!$N$26,O42*Ratios!$N$26*Ratios!$Z$23)</f>
        <v>0</v>
      </c>
      <c r="AD42" s="852">
        <f>IF('Input 5_Product Uptake'!$M$9=0,P42*Ratios!$N$26,P42*Ratios!$N$26*Ratios!$Z$23)</f>
        <v>0</v>
      </c>
      <c r="AE42" s="296"/>
      <c r="AF42" s="860">
        <f>Ratios!$P$26*E42</f>
        <v>564.31543431854163</v>
      </c>
      <c r="AG42" s="860">
        <f>Ratios!$P$26*F42</f>
        <v>1635.8004361891903</v>
      </c>
      <c r="AH42" s="860">
        <f>Ratios!$P$26*G42</f>
        <v>2328.6940707322101</v>
      </c>
      <c r="AI42" s="860">
        <f>Ratios!$P$26*H42</f>
        <v>1557.2248693853428</v>
      </c>
      <c r="AJ42" s="860">
        <f>Ratios!$P$26*I42</f>
        <v>835.75830145910606</v>
      </c>
      <c r="AK42" s="860">
        <f>Ratios!$P$26*J42</f>
        <v>221.44023371993407</v>
      </c>
      <c r="AL42" s="860">
        <f>Ratios!$P$26*K42</f>
        <v>0</v>
      </c>
      <c r="AM42" s="860">
        <f>Ratios!$P$26*L42</f>
        <v>0</v>
      </c>
      <c r="AN42" s="860">
        <f>Ratios!$P$26*M42</f>
        <v>0</v>
      </c>
      <c r="AO42" s="860">
        <f>Ratios!$P$26*N42</f>
        <v>0</v>
      </c>
      <c r="AP42" s="860">
        <f>Ratios!$P$26*O42</f>
        <v>0</v>
      </c>
      <c r="AQ42" s="860">
        <f>Ratios!$P$26*P42</f>
        <v>0</v>
      </c>
      <c r="AR42" s="13"/>
      <c r="AS42" s="275">
        <f t="shared" si="12"/>
        <v>82.985942298287583</v>
      </c>
      <c r="AT42" s="275">
        <f t="shared" si="10"/>
        <v>240.55418716845392</v>
      </c>
      <c r="AU42" s="275">
        <f t="shared" si="10"/>
        <v>342.44831885116145</v>
      </c>
      <c r="AV42" s="275">
        <f t="shared" si="10"/>
        <v>228.99918254464171</v>
      </c>
      <c r="AW42" s="275">
        <f t="shared" si="10"/>
        <v>122.90323099872974</v>
      </c>
      <c r="AX42" s="275">
        <f t="shared" si="10"/>
        <v>32.564103939834375</v>
      </c>
      <c r="AY42" s="275">
        <f t="shared" si="10"/>
        <v>0</v>
      </c>
      <c r="AZ42" s="275">
        <f t="shared" si="10"/>
        <v>0</v>
      </c>
      <c r="BA42" s="275">
        <f t="shared" si="10"/>
        <v>0</v>
      </c>
      <c r="BB42" s="275">
        <f t="shared" si="10"/>
        <v>0</v>
      </c>
      <c r="BC42" s="275">
        <f t="shared" si="10"/>
        <v>0</v>
      </c>
      <c r="BD42" s="275">
        <f t="shared" si="10"/>
        <v>0</v>
      </c>
      <c r="BE42" s="280"/>
      <c r="BF42" s="557">
        <f>IF($B40=0,1,IF(AND(BF41&gt;0,$B40&lt;='Input 4_RSV Season'!$AG$27-1),BF41+1,0))</f>
        <v>0</v>
      </c>
      <c r="BG42" s="549">
        <f>IF(AND($BF42&gt;0,$BF42&lt;='Input 6_Product Efficacy'!$Q$9/30),SUM($AS40:$BD40),0)</f>
        <v>0</v>
      </c>
      <c r="BH42" s="554">
        <f>IF(AND($BF42&gt;0,$BF42&gt;'Input 6_Product Efficacy'!$Q$9/30),SUM($AS40:$BD40),0)</f>
        <v>0</v>
      </c>
      <c r="BJ42" s="549">
        <f>IF(AND($BF42&gt;0,$BF42&lt;='Input 6_Product Efficacy'!$Q$12/30),SUM($AS40:$BD40),0)</f>
        <v>0</v>
      </c>
      <c r="BK42" s="554">
        <f>IF(AND($BF42&gt;0,$BF42&gt;'Input 6_Product Efficacy'!$Q$12/30),SUM($AS40:$BD40),0)</f>
        <v>0</v>
      </c>
      <c r="BL42" s="280"/>
      <c r="BM42" s="280"/>
      <c r="BN42" s="34"/>
      <c r="BO42" s="46">
        <f t="shared" si="13"/>
        <v>564.31543431854163</v>
      </c>
      <c r="BP42" s="46">
        <f t="shared" si="11"/>
        <v>1635.8004361891903</v>
      </c>
      <c r="BQ42" s="46">
        <f t="shared" si="11"/>
        <v>2328.6940707322101</v>
      </c>
      <c r="BR42" s="46">
        <f t="shared" si="11"/>
        <v>1557.2248693853428</v>
      </c>
      <c r="BS42" s="46">
        <f t="shared" si="11"/>
        <v>835.75830145910606</v>
      </c>
      <c r="BT42" s="46">
        <f t="shared" si="11"/>
        <v>221.44023371993407</v>
      </c>
      <c r="BU42" s="46">
        <f t="shared" si="11"/>
        <v>0</v>
      </c>
      <c r="BV42" s="46">
        <f t="shared" si="11"/>
        <v>0</v>
      </c>
      <c r="BW42" s="46">
        <f t="shared" si="11"/>
        <v>0</v>
      </c>
      <c r="BX42" s="46">
        <f t="shared" si="11"/>
        <v>0</v>
      </c>
      <c r="BY42" s="46">
        <f t="shared" si="11"/>
        <v>0</v>
      </c>
      <c r="BZ42" s="46">
        <f t="shared" si="11"/>
        <v>0</v>
      </c>
      <c r="CA42" s="46"/>
      <c r="CB42" s="557">
        <f>IF($B40=0,1,IF(AND(CB41&gt;0,$B40&lt;='Input 4_RSV Season'!$AG$27-1),CB41+1,0))</f>
        <v>0</v>
      </c>
      <c r="CC42" s="549">
        <f>IF(AND($CB42&gt;0,$CB42&lt;='Input 6_Product Efficacy'!$Q$12/30),SUM($BO40:$BZ40),0)</f>
        <v>0</v>
      </c>
      <c r="CD42" s="554">
        <f>IF(AND($CB42&gt;0,$CB42&gt;'Input 6_Product Efficacy'!$Q$12/30),SUM($BO40:$BZ40),0)</f>
        <v>0</v>
      </c>
      <c r="CF42" s="565">
        <f>IF(AND($CB42&gt;0,$CB42&gt;'Input 6_Product Efficacy'!$Q$15/30),SUM($BO40:$BZ40),0)</f>
        <v>0</v>
      </c>
    </row>
    <row r="43" spans="2:84" ht="15" thickBot="1" x14ac:dyDescent="0.35">
      <c r="B43" s="114"/>
      <c r="C43" s="101"/>
      <c r="D43" s="13"/>
      <c r="E43" s="246"/>
      <c r="F43" s="246"/>
      <c r="G43" s="246"/>
      <c r="H43" s="246"/>
      <c r="I43" s="246"/>
      <c r="J43" s="246"/>
      <c r="K43" s="43"/>
      <c r="L43" s="43"/>
      <c r="M43" s="43"/>
      <c r="N43" s="43"/>
      <c r="O43" s="43"/>
      <c r="P43" s="43"/>
      <c r="Q43" s="13"/>
      <c r="R43" s="13"/>
      <c r="S43" s="296"/>
      <c r="T43" s="296"/>
      <c r="U43" s="296"/>
      <c r="V43" s="296"/>
      <c r="W43" s="296"/>
      <c r="X43" s="296"/>
      <c r="Y43" s="296"/>
      <c r="Z43" s="296"/>
      <c r="AA43" s="296"/>
      <c r="AB43" s="296"/>
      <c r="AC43" s="296"/>
      <c r="AD43" s="296"/>
      <c r="AE43" s="296"/>
      <c r="AF43" s="862"/>
      <c r="AG43" s="862"/>
      <c r="AH43" s="862"/>
      <c r="AI43" s="862"/>
      <c r="AJ43" s="862"/>
      <c r="AK43" s="862"/>
      <c r="AL43" s="862"/>
      <c r="AM43" s="862"/>
      <c r="AN43" s="862"/>
      <c r="AO43" s="862"/>
      <c r="AP43" s="862"/>
      <c r="AQ43" s="862"/>
      <c r="AR43" s="13"/>
      <c r="AS43" s="2" t="s">
        <v>31</v>
      </c>
      <c r="AT43" s="20">
        <f>BG48</f>
        <v>0.57007473659360985</v>
      </c>
      <c r="AU43" s="32"/>
      <c r="AV43" s="32"/>
      <c r="AW43" s="47" t="s">
        <v>22</v>
      </c>
      <c r="AX43" s="48">
        <f>SUM(AS31:BD42)</f>
        <v>17543.480664143903</v>
      </c>
      <c r="AY43" s="48"/>
      <c r="AZ43" s="48"/>
      <c r="BA43" s="48"/>
      <c r="BB43" s="48"/>
      <c r="BC43" s="48"/>
      <c r="BD43" s="48"/>
      <c r="BE43" s="48"/>
      <c r="BF43" s="557">
        <f>IF($B41=0,1,IF(AND(BF42&gt;0,$B41&lt;='Input 4_RSV Season'!$AG$27-1),BF42+1,0))</f>
        <v>0</v>
      </c>
      <c r="BG43" s="549">
        <f>IF(AND($BF43&gt;0,$BF43&lt;='Input 6_Product Efficacy'!$Q$9/30),SUM($AS41:$BD41),0)</f>
        <v>0</v>
      </c>
      <c r="BH43" s="554">
        <f>IF(AND($BF43&gt;0,$BF43&gt;'Input 6_Product Efficacy'!$Q$9/30),SUM($AS41:$BD41),0)</f>
        <v>0</v>
      </c>
      <c r="BJ43" s="549">
        <f>IF(AND($BF43&gt;0,$BF43&lt;='Input 6_Product Efficacy'!$Q$12/30),SUM($AS41:$BD41),0)</f>
        <v>0</v>
      </c>
      <c r="BK43" s="554">
        <f>IF(AND($BF43&gt;0,$BF43&gt;'Input 6_Product Efficacy'!$Q$12/30),SUM($AS41:$BD41),0)</f>
        <v>0</v>
      </c>
      <c r="BL43" s="48"/>
      <c r="BM43" s="48"/>
      <c r="BN43" s="32"/>
      <c r="BO43" s="47" t="s">
        <v>35</v>
      </c>
      <c r="BP43" s="20">
        <f>SUM(BT44:BT45)</f>
        <v>3.8366514622464848E-2</v>
      </c>
      <c r="BQ43" s="32"/>
      <c r="BR43" s="32"/>
      <c r="BS43" s="47" t="s">
        <v>23</v>
      </c>
      <c r="BT43" s="48">
        <f>SUM(BO31:BZ42)</f>
        <v>119297.99959202949</v>
      </c>
      <c r="BU43" s="48"/>
      <c r="BV43" s="48"/>
      <c r="BW43" s="510" t="s">
        <v>278</v>
      </c>
      <c r="BX43" s="510" t="s">
        <v>279</v>
      </c>
      <c r="BY43" s="510" t="s">
        <v>280</v>
      </c>
      <c r="CA43" s="36"/>
      <c r="CB43" s="557">
        <f>IF($B41=0,1,IF(AND(CB42&gt;0,$B41&lt;='Input 4_RSV Season'!$AG$27-1),CB42+1,0))</f>
        <v>0</v>
      </c>
      <c r="CC43" s="549">
        <f>IF(AND($CB43&gt;0,$CB43&lt;='Input 6_Product Efficacy'!$Q$12/30),SUM($BO41:$BZ41),0)</f>
        <v>0</v>
      </c>
      <c r="CD43" s="554">
        <f>IF(AND($CB43&gt;0,$CB43&gt;'Input 6_Product Efficacy'!$Q$12/30),SUM($BO41:$BZ41),0)</f>
        <v>0</v>
      </c>
      <c r="CF43" s="565">
        <f>IF(AND($CB43&gt;0,$CB43&gt;'Input 6_Product Efficacy'!$Q$15/30),SUM($BO41:$BZ41),0)</f>
        <v>0</v>
      </c>
    </row>
    <row r="44" spans="2:84" x14ac:dyDescent="0.3">
      <c r="B44" s="115" t="s">
        <v>247</v>
      </c>
      <c r="C44" s="115" t="s">
        <v>250</v>
      </c>
      <c r="D44" s="13"/>
      <c r="E44" s="246"/>
      <c r="F44" s="246"/>
      <c r="G44" s="246"/>
      <c r="H44" s="246"/>
      <c r="I44" s="246"/>
      <c r="J44" s="246"/>
      <c r="K44" s="43"/>
      <c r="L44" s="43"/>
      <c r="M44" s="43"/>
      <c r="N44" s="43"/>
      <c r="O44" s="43"/>
      <c r="P44" s="43"/>
      <c r="Q44" s="13"/>
      <c r="R44" s="13"/>
      <c r="S44" s="296"/>
      <c r="T44" s="296"/>
      <c r="U44" s="296"/>
      <c r="V44" s="296"/>
      <c r="W44" s="296"/>
      <c r="X44" s="296"/>
      <c r="Y44" s="296"/>
      <c r="Z44" s="296"/>
      <c r="AA44" s="296"/>
      <c r="AB44" s="296"/>
      <c r="AC44" s="296"/>
      <c r="AD44" s="296"/>
      <c r="AE44" s="296"/>
      <c r="AF44" s="862"/>
      <c r="AG44" s="862"/>
      <c r="AH44" s="862"/>
      <c r="AI44" s="862"/>
      <c r="AJ44" s="862"/>
      <c r="AK44" s="862"/>
      <c r="AL44" s="862"/>
      <c r="AM44" s="862"/>
      <c r="AN44" s="862"/>
      <c r="AO44" s="862"/>
      <c r="AP44" s="862"/>
      <c r="AQ44" s="862"/>
      <c r="AR44" s="13"/>
      <c r="AS44" s="512" t="s">
        <v>117</v>
      </c>
      <c r="AV44" s="2" t="s">
        <v>291</v>
      </c>
      <c r="AW44" s="70">
        <f>BG47</f>
        <v>0.47941475115407434</v>
      </c>
      <c r="BC44" s="70"/>
      <c r="BD44" s="70"/>
      <c r="BE44" s="70"/>
      <c r="BF44" s="557">
        <f>IF($B42=0,1,IF(AND(BF43&gt;0,$B42&lt;='Input 4_RSV Season'!$AG$27-1),BF43+1,0))</f>
        <v>0</v>
      </c>
      <c r="BG44" s="550">
        <f>IF(AND($BF44&gt;0,$BF44&lt;='Input 6_Product Efficacy'!$Q$9/30),SUM($AS42:$BD42),0)</f>
        <v>0</v>
      </c>
      <c r="BH44" s="555">
        <f>IF(AND($BF44&gt;0,$BF44&gt;'Input 6_Product Efficacy'!$Q$9/30),SUM($AS42:$BD42),0)</f>
        <v>0</v>
      </c>
      <c r="BI44" s="500"/>
      <c r="BJ44" s="550">
        <f>IF(AND($BF44&gt;0,$BF44&lt;='Input 6_Product Efficacy'!$Q$12/30),SUM($AS42:$BD42),0)</f>
        <v>0</v>
      </c>
      <c r="BK44" s="555">
        <f>IF(AND($BF44&gt;0,$BF44&gt;'Input 6_Product Efficacy'!$Q$12/30),SUM($AS42:$BD42),0)</f>
        <v>0</v>
      </c>
      <c r="BL44" s="70"/>
      <c r="BM44" s="70"/>
      <c r="BP44" s="512" t="s">
        <v>277</v>
      </c>
      <c r="BS44" s="2" t="s">
        <v>286</v>
      </c>
      <c r="BT44" s="617">
        <f>IF('Input 6_Product Efficacy'!$Q$15=120,'WiS percent RSV_low'!BY44,IF('Input 6_Product Efficacy'!$Q$15=60,'WiS percent RSV_low'!BX44,'WiS percent RSV_low'!BW44))</f>
        <v>1.3351387311357498E-2</v>
      </c>
      <c r="BV44" s="510" t="s">
        <v>281</v>
      </c>
      <c r="BW44" s="70">
        <f>SUM(BO31:BZ33)/((1-'Input 1_Population'!$G$24)*'WiS percent RSV_base'!$BB$5)</f>
        <v>1.3351387311357498E-2</v>
      </c>
      <c r="BX44" s="70">
        <f>SUM(BO31:BZ32)/((1-'Input 1_Population'!$G$24)*'WiS percent RSV_base'!$BB$5)</f>
        <v>7.1600184758738418E-3</v>
      </c>
      <c r="BY44" s="70">
        <f>SUM(BO31:BZ34)/((1-'Input 1_Population'!$G$24)*'WiS percent RSV_base'!$BB$5)</f>
        <v>2.2348844280342617E-2</v>
      </c>
      <c r="BZ44" s="70"/>
      <c r="CB44" s="557">
        <f>IF($B42=0,1,IF(AND(CB43&gt;0,$B42&lt;='Input 4_RSV Season'!$AG$27-1),CB43+1,0))</f>
        <v>0</v>
      </c>
      <c r="CC44" s="550">
        <f>IF(AND($CB44&gt;0,$CB44&lt;='Input 6_Product Efficacy'!$Q$12/30),SUM($BO42:$BZ42),0)</f>
        <v>0</v>
      </c>
      <c r="CD44" s="555">
        <f>IF(AND($CB44&gt;0,$CB44&gt;'Input 6_Product Efficacy'!$Q$12/30),SUM($BO42:$BZ42),0)</f>
        <v>0</v>
      </c>
      <c r="CF44" s="566">
        <f>IF(AND($CB44&gt;0,$CB44&gt;'Input 6_Product Efficacy'!$Q$15/30),SUM($BO42:$BZ42),0)</f>
        <v>0</v>
      </c>
    </row>
    <row r="45" spans="2:84" ht="15" thickBot="1" x14ac:dyDescent="0.35">
      <c r="B45" s="24" t="s">
        <v>248</v>
      </c>
      <c r="C45" s="429">
        <f>SUM(C31:C36)/SUM(C31:C42)</f>
        <v>0.62828318405957528</v>
      </c>
      <c r="D45" s="13"/>
      <c r="E45" s="246"/>
      <c r="F45" s="246"/>
      <c r="G45" s="246"/>
      <c r="H45" s="246"/>
      <c r="I45" s="246"/>
      <c r="J45" s="246"/>
      <c r="K45" s="43"/>
      <c r="L45" s="43"/>
      <c r="M45" s="43"/>
      <c r="N45" s="43"/>
      <c r="O45" s="43"/>
      <c r="P45" s="43"/>
      <c r="Q45" s="13"/>
      <c r="R45" s="13"/>
      <c r="S45" s="296"/>
      <c r="T45" s="296"/>
      <c r="U45" s="296"/>
      <c r="V45" s="296"/>
      <c r="W45" s="296"/>
      <c r="X45" s="296"/>
      <c r="Y45" s="296"/>
      <c r="Z45" s="296"/>
      <c r="AA45" s="296"/>
      <c r="AB45" s="296"/>
      <c r="AC45" s="296"/>
      <c r="AD45" s="296"/>
      <c r="AE45" s="296"/>
      <c r="AF45" s="862"/>
      <c r="AG45" s="862"/>
      <c r="AH45" s="862"/>
      <c r="AI45" s="862"/>
      <c r="AJ45" s="862"/>
      <c r="AK45" s="862"/>
      <c r="AL45" s="862"/>
      <c r="AM45" s="862"/>
      <c r="AN45" s="862"/>
      <c r="AO45" s="862"/>
      <c r="AP45" s="862"/>
      <c r="AQ45" s="862"/>
      <c r="AR45" s="13"/>
      <c r="AS45" s="70"/>
      <c r="AT45" s="494"/>
      <c r="AU45" s="494"/>
      <c r="AV45" s="12" t="s">
        <v>292</v>
      </c>
      <c r="AW45" s="282">
        <f>BH47</f>
        <v>9.0659985439535573E-2</v>
      </c>
      <c r="BC45" s="70"/>
      <c r="BD45" s="70"/>
      <c r="BE45" s="70"/>
      <c r="BF45" s="2"/>
      <c r="BG45" s="5">
        <f>SUM(BG33:BG44)</f>
        <v>9269.3823379294063</v>
      </c>
      <c r="BH45" s="5">
        <f>SUM(BH33:BH44)</f>
        <v>1752.8915532265144</v>
      </c>
      <c r="BI45" s="5"/>
      <c r="BJ45" s="5">
        <f>SUM(BJ33:BJ44)</f>
        <v>9269.3823379294063</v>
      </c>
      <c r="BK45" s="5">
        <f>SUM(BK33:BK44)</f>
        <v>1752.8915532265144</v>
      </c>
      <c r="BL45" s="70"/>
      <c r="BM45" s="70"/>
      <c r="BO45" s="12"/>
      <c r="BP45" s="282"/>
      <c r="BQ45" s="494"/>
      <c r="BR45" s="494"/>
      <c r="BS45" s="12" t="s">
        <v>287</v>
      </c>
      <c r="BT45" s="618">
        <f>CF47</f>
        <v>2.501512731110735E-2</v>
      </c>
      <c r="BU45" s="494"/>
      <c r="BV45" s="509"/>
      <c r="BW45" s="282"/>
      <c r="BX45" s="282"/>
      <c r="BY45" s="282"/>
      <c r="BZ45" s="282"/>
      <c r="CB45" s="2"/>
      <c r="CC45" s="5">
        <f t="shared" ref="CC45:CD45" si="14">SUM(CC33:CC44)</f>
        <v>63033.031559625859</v>
      </c>
      <c r="CD45" s="5">
        <f t="shared" si="14"/>
        <v>11919.895475992387</v>
      </c>
      <c r="CF45" s="5">
        <f t="shared" ref="CF45" si="15">SUM(CF33:CF44)</f>
        <v>48869.620568512146</v>
      </c>
    </row>
    <row r="46" spans="2:84" ht="15" thickBot="1" x14ac:dyDescent="0.35">
      <c r="B46" s="24" t="s">
        <v>249</v>
      </c>
      <c r="C46" s="429">
        <f>SUM(C37:C42)/SUM(C31:C42)</f>
        <v>0.37171681594042466</v>
      </c>
      <c r="D46" s="13"/>
      <c r="E46" s="246"/>
      <c r="F46" s="246"/>
      <c r="G46" s="246"/>
      <c r="H46" s="246"/>
      <c r="I46" s="246"/>
      <c r="J46" s="246"/>
      <c r="K46" s="43"/>
      <c r="L46" s="43"/>
      <c r="M46" s="43"/>
      <c r="N46" s="43"/>
      <c r="O46" s="43"/>
      <c r="P46" s="43"/>
      <c r="Q46" s="13"/>
      <c r="R46" s="13"/>
      <c r="S46" s="296"/>
      <c r="T46" s="296"/>
      <c r="U46" s="296"/>
      <c r="V46" s="296"/>
      <c r="W46" s="296"/>
      <c r="X46" s="296"/>
      <c r="Y46" s="296"/>
      <c r="Z46" s="296"/>
      <c r="AA46" s="296"/>
      <c r="AB46" s="296"/>
      <c r="AC46" s="296"/>
      <c r="AD46" s="296"/>
      <c r="AE46" s="296"/>
      <c r="AF46" s="862"/>
      <c r="AG46" s="862"/>
      <c r="AH46" s="862"/>
      <c r="AI46" s="862"/>
      <c r="AJ46" s="862"/>
      <c r="AK46" s="862"/>
      <c r="AL46" s="862"/>
      <c r="AM46" s="862"/>
      <c r="AN46" s="862"/>
      <c r="AO46" s="862"/>
      <c r="AP46" s="862"/>
      <c r="AQ46" s="862"/>
      <c r="AR46" s="13"/>
      <c r="AS46" s="70"/>
      <c r="AU46" s="13"/>
      <c r="AV46" s="14"/>
      <c r="AW46" s="70"/>
      <c r="AX46" s="13"/>
      <c r="AY46" s="510"/>
      <c r="AZ46" s="510"/>
      <c r="BA46" s="510"/>
      <c r="BB46" s="510"/>
      <c r="BC46" s="70"/>
      <c r="BD46" s="70"/>
      <c r="BE46" s="70"/>
      <c r="BL46" s="70"/>
      <c r="BM46" s="70"/>
      <c r="BO46" s="2"/>
      <c r="BP46" s="70"/>
      <c r="BR46" s="13"/>
      <c r="BS46" s="14"/>
      <c r="BT46" s="70"/>
      <c r="BU46" s="13"/>
      <c r="BV46" s="510"/>
      <c r="BW46" s="510"/>
      <c r="BX46" s="510"/>
      <c r="BY46" s="510"/>
      <c r="BZ46" s="510"/>
    </row>
    <row r="47" spans="2:84" ht="16.2" thickBot="1" x14ac:dyDescent="0.35">
      <c r="B47" s="26"/>
      <c r="C47" s="26"/>
      <c r="D47" s="13"/>
      <c r="E47" s="246"/>
      <c r="F47" s="246"/>
      <c r="G47" s="246"/>
      <c r="H47" s="246"/>
      <c r="I47" s="246"/>
      <c r="J47" s="246"/>
      <c r="K47" s="43"/>
      <c r="L47" s="43"/>
      <c r="M47" s="43"/>
      <c r="N47" s="43"/>
      <c r="O47" s="43"/>
      <c r="P47" s="43"/>
      <c r="Q47" s="13"/>
      <c r="R47" s="13"/>
      <c r="S47" s="296"/>
      <c r="T47" s="296"/>
      <c r="U47" s="296"/>
      <c r="V47" s="296"/>
      <c r="W47" s="296"/>
      <c r="X47" s="296"/>
      <c r="Y47" s="296"/>
      <c r="Z47" s="296"/>
      <c r="AA47" s="296"/>
      <c r="AB47" s="296"/>
      <c r="AC47" s="296"/>
      <c r="AD47" s="296"/>
      <c r="AE47" s="296"/>
      <c r="AF47" s="862"/>
      <c r="AG47" s="862"/>
      <c r="AH47" s="862"/>
      <c r="AI47" s="862"/>
      <c r="AJ47" s="862"/>
      <c r="AK47" s="862"/>
      <c r="AL47" s="862"/>
      <c r="AM47" s="862"/>
      <c r="AN47" s="862"/>
      <c r="AO47" s="862"/>
      <c r="AP47" s="862"/>
      <c r="AQ47" s="862"/>
      <c r="AR47" s="13"/>
      <c r="AS47" s="512" t="s">
        <v>216</v>
      </c>
      <c r="AV47" s="2" t="s">
        <v>291</v>
      </c>
      <c r="AW47" s="70">
        <f>BJ47</f>
        <v>0.47941475115407434</v>
      </c>
      <c r="AY47" s="510"/>
      <c r="AZ47" s="70"/>
      <c r="BA47" s="70"/>
      <c r="BB47" s="70"/>
      <c r="BC47" s="70"/>
      <c r="BD47" s="70"/>
      <c r="BE47" s="70"/>
      <c r="BG47" s="567">
        <f>BG45/('Input 1_Population'!$G$24*$BB$5)</f>
        <v>0.47941475115407434</v>
      </c>
      <c r="BH47" s="568">
        <f>BH45/('Input 1_Population'!$G$24*$BB$5)</f>
        <v>9.0659985439535573E-2</v>
      </c>
      <c r="BI47" s="863"/>
      <c r="BJ47" s="580">
        <f>BJ45/('Input 1_Population'!$G$24*$BB$5)</f>
        <v>0.47941475115407434</v>
      </c>
      <c r="BK47" s="581">
        <f>BK45/('Input 1_Population'!$G$24*$BB$5)</f>
        <v>9.0659985439535573E-2</v>
      </c>
      <c r="BL47" s="70"/>
      <c r="BM47" s="70"/>
      <c r="BO47" s="2"/>
      <c r="BP47" s="512" t="s">
        <v>216</v>
      </c>
      <c r="BS47" s="2" t="s">
        <v>286</v>
      </c>
      <c r="BT47" s="70">
        <f>CC47</f>
        <v>3.2265020495883374E-2</v>
      </c>
      <c r="BV47" s="510"/>
      <c r="BW47" s="70"/>
      <c r="BX47" s="70"/>
      <c r="BY47" s="70"/>
      <c r="BZ47" s="70"/>
      <c r="CC47" s="580">
        <f>CC45/((1-'Input 1_Population'!$G$24)*$BB$5)</f>
        <v>3.2265020495883374E-2</v>
      </c>
      <c r="CD47" s="581">
        <f>CD45/((1-'Input 1_Population'!$G$24)*$BB$5)</f>
        <v>6.1014941265814752E-3</v>
      </c>
      <c r="CE47" s="20"/>
      <c r="CF47" s="580">
        <f>CF45/((1-'Input 1_Population'!$G$24)*$BB$5)</f>
        <v>2.501512731110735E-2</v>
      </c>
    </row>
    <row r="48" spans="2:84" ht="15" thickBot="1" x14ac:dyDescent="0.35">
      <c r="B48" s="26"/>
      <c r="C48" s="26"/>
      <c r="D48" s="13"/>
      <c r="E48" s="246"/>
      <c r="F48" s="246"/>
      <c r="G48" s="246"/>
      <c r="H48" s="246"/>
      <c r="I48" s="246"/>
      <c r="J48" s="246"/>
      <c r="K48" s="43"/>
      <c r="L48" s="43"/>
      <c r="M48" s="43"/>
      <c r="N48" s="43"/>
      <c r="O48" s="43"/>
      <c r="P48" s="43"/>
      <c r="Q48" s="13"/>
      <c r="R48" s="13"/>
      <c r="S48" s="296"/>
      <c r="T48" s="296"/>
      <c r="U48" s="296"/>
      <c r="V48" s="296"/>
      <c r="W48" s="296"/>
      <c r="X48" s="296"/>
      <c r="Y48" s="296"/>
      <c r="Z48" s="296"/>
      <c r="AA48" s="296"/>
      <c r="AB48" s="296"/>
      <c r="AC48" s="296"/>
      <c r="AD48" s="296"/>
      <c r="AE48" s="296"/>
      <c r="AF48" s="862"/>
      <c r="AG48" s="862"/>
      <c r="AH48" s="862"/>
      <c r="AI48" s="862"/>
      <c r="AJ48" s="862"/>
      <c r="AK48" s="862"/>
      <c r="AL48" s="862"/>
      <c r="AM48" s="862"/>
      <c r="AN48" s="862"/>
      <c r="AO48" s="862"/>
      <c r="AP48" s="862"/>
      <c r="AQ48" s="862"/>
      <c r="AR48" s="13"/>
      <c r="AS48" s="70"/>
      <c r="AT48" s="13"/>
      <c r="AU48" s="13"/>
      <c r="AV48" s="14" t="s">
        <v>292</v>
      </c>
      <c r="AW48" s="70">
        <f>BK47</f>
        <v>9.0659985439535573E-2</v>
      </c>
      <c r="AX48" s="13"/>
      <c r="AY48" s="510"/>
      <c r="AZ48" s="70"/>
      <c r="BA48" s="70"/>
      <c r="BB48" s="70"/>
      <c r="BC48" s="70"/>
      <c r="BD48" s="70"/>
      <c r="BE48" s="70"/>
      <c r="BG48" s="1121">
        <f>SUM(BG47:BH47)</f>
        <v>0.57007473659360985</v>
      </c>
      <c r="BH48" s="1121"/>
      <c r="BJ48" s="1121">
        <f>SUM(BJ47:BK47)</f>
        <v>0.57007473659360985</v>
      </c>
      <c r="BK48" s="1121"/>
      <c r="BL48" s="70"/>
      <c r="BM48" s="70"/>
      <c r="BO48" s="14"/>
      <c r="BP48" s="70"/>
      <c r="BQ48" s="13"/>
      <c r="BR48" s="13"/>
      <c r="BS48" s="14" t="s">
        <v>287</v>
      </c>
      <c r="BT48" s="70">
        <f>CD47</f>
        <v>6.1014941265814752E-3</v>
      </c>
      <c r="BU48" s="13"/>
      <c r="BV48" s="510"/>
      <c r="BW48" s="70"/>
      <c r="BX48" s="70"/>
      <c r="BY48" s="70"/>
      <c r="BZ48" s="70"/>
      <c r="CC48" s="868" t="s">
        <v>326</v>
      </c>
      <c r="CD48" s="624">
        <f>SUM(CC47:CD47)</f>
        <v>3.8366514622464848E-2</v>
      </c>
      <c r="CE48" s="27"/>
      <c r="CF48" s="27"/>
    </row>
    <row r="49" spans="2:85" ht="15.6" x14ac:dyDescent="0.3">
      <c r="B49" s="26"/>
      <c r="C49" s="26"/>
      <c r="D49" s="13"/>
      <c r="E49" s="246"/>
      <c r="F49" s="246"/>
      <c r="G49" s="246"/>
      <c r="H49" s="246"/>
      <c r="I49" s="246"/>
      <c r="J49" s="246"/>
      <c r="K49" s="43"/>
      <c r="L49" s="43"/>
      <c r="M49" s="43"/>
      <c r="N49" s="43"/>
      <c r="O49" s="43"/>
      <c r="P49" s="43"/>
      <c r="Q49" s="13"/>
      <c r="R49" s="13"/>
      <c r="S49" s="296"/>
      <c r="T49" s="296"/>
      <c r="U49" s="296"/>
      <c r="V49" s="296"/>
      <c r="W49" s="296"/>
      <c r="X49" s="296"/>
      <c r="Y49" s="296"/>
      <c r="Z49" s="296"/>
      <c r="AA49" s="296"/>
      <c r="AB49" s="296"/>
      <c r="AC49" s="296"/>
      <c r="AD49" s="296"/>
      <c r="AE49" s="296"/>
      <c r="AF49" s="862"/>
      <c r="AG49" s="862"/>
      <c r="AH49" s="862"/>
      <c r="AI49" s="862"/>
      <c r="AJ49" s="862"/>
      <c r="AK49" s="862"/>
      <c r="AL49" s="862"/>
      <c r="AM49" s="862"/>
      <c r="AN49" s="862"/>
      <c r="AO49" s="862"/>
      <c r="AP49" s="862"/>
      <c r="AQ49" s="862"/>
      <c r="AR49" s="13"/>
      <c r="AS49" s="70"/>
      <c r="AT49" s="13"/>
      <c r="AU49" s="13"/>
      <c r="AV49" s="14"/>
      <c r="AW49" s="70"/>
      <c r="AX49" s="13"/>
      <c r="AY49" s="510"/>
      <c r="AZ49" s="70"/>
      <c r="BA49" s="70"/>
      <c r="BB49" s="70"/>
      <c r="BC49" s="70"/>
      <c r="BD49" s="70"/>
      <c r="BE49" s="70"/>
      <c r="BF49" s="13"/>
      <c r="BG49" s="13"/>
      <c r="BH49" s="13"/>
      <c r="BI49" s="13"/>
      <c r="BJ49" s="13"/>
      <c r="BK49" s="13"/>
      <c r="BL49" s="70"/>
      <c r="BM49" s="70"/>
      <c r="BO49" s="14"/>
      <c r="BP49" s="70"/>
      <c r="BQ49" s="13"/>
      <c r="BR49" s="13"/>
      <c r="BS49" s="14"/>
      <c r="BT49" s="70"/>
      <c r="BU49" s="13"/>
      <c r="BV49" s="510"/>
      <c r="BW49" s="70"/>
      <c r="BX49" s="70"/>
      <c r="BY49" s="70"/>
      <c r="BZ49" s="70"/>
      <c r="CB49" s="13"/>
      <c r="CC49" s="13"/>
      <c r="CD49" s="13"/>
      <c r="CF49" s="687"/>
      <c r="CG49" s="13"/>
    </row>
    <row r="50" spans="2:85" x14ac:dyDescent="0.3">
      <c r="B50" s="26"/>
      <c r="C50" s="26"/>
      <c r="D50" s="13"/>
      <c r="E50" s="246"/>
      <c r="F50" s="246"/>
      <c r="G50" s="246"/>
      <c r="H50" s="246"/>
      <c r="I50" s="246"/>
      <c r="J50" s="246"/>
      <c r="K50" s="43"/>
      <c r="L50" s="43"/>
      <c r="M50" s="43"/>
      <c r="N50" s="43"/>
      <c r="O50" s="43"/>
      <c r="P50" s="43"/>
      <c r="Q50" s="13"/>
      <c r="R50" s="13"/>
      <c r="S50" s="296"/>
      <c r="T50" s="296"/>
      <c r="U50" s="296"/>
      <c r="V50" s="296"/>
      <c r="W50" s="296"/>
      <c r="X50" s="296"/>
      <c r="Y50" s="296"/>
      <c r="Z50" s="296"/>
      <c r="AA50" s="296"/>
      <c r="AB50" s="296"/>
      <c r="AC50" s="296"/>
      <c r="AD50" s="296"/>
      <c r="AE50" s="296"/>
      <c r="AF50" s="862"/>
      <c r="AG50" s="862"/>
      <c r="AH50" s="862"/>
      <c r="AI50" s="862"/>
      <c r="AJ50" s="862"/>
      <c r="AK50" s="862"/>
      <c r="AL50" s="862"/>
      <c r="AM50" s="862"/>
      <c r="AN50" s="862"/>
      <c r="AO50" s="862"/>
      <c r="AP50" s="862"/>
      <c r="AQ50" s="862"/>
      <c r="AR50" s="13"/>
      <c r="AT50" s="614"/>
      <c r="AU50" s="1"/>
      <c r="AY50" s="510"/>
      <c r="AZ50" s="70"/>
      <c r="BA50" s="70"/>
      <c r="BB50" s="70"/>
      <c r="BC50" s="70"/>
      <c r="BD50" s="70"/>
      <c r="BE50" s="70"/>
      <c r="BF50" s="13"/>
      <c r="BG50" s="13"/>
      <c r="BH50" s="13"/>
      <c r="BI50" s="13"/>
      <c r="BJ50" s="13"/>
      <c r="BK50" s="13"/>
      <c r="BL50" s="70"/>
      <c r="BM50" s="70"/>
      <c r="BO50" s="14"/>
      <c r="BP50" s="70"/>
      <c r="BQ50" s="13"/>
      <c r="BR50" s="13"/>
      <c r="BS50" s="14"/>
      <c r="BT50" s="70"/>
      <c r="BU50" s="13"/>
      <c r="BV50" s="510"/>
      <c r="BW50" s="70"/>
      <c r="BX50" s="70"/>
      <c r="BY50" s="70"/>
      <c r="BZ50" s="70"/>
      <c r="CB50" s="13"/>
      <c r="CC50" s="13"/>
      <c r="CD50" s="13"/>
    </row>
    <row r="51" spans="2:85" x14ac:dyDescent="0.3">
      <c r="B51" s="26"/>
      <c r="C51" s="26"/>
      <c r="D51" s="13"/>
      <c r="E51" s="246"/>
      <c r="F51" s="246"/>
      <c r="G51" s="246"/>
      <c r="H51" s="246"/>
      <c r="I51" s="246"/>
      <c r="J51" s="246"/>
      <c r="K51" s="43"/>
      <c r="L51" s="43"/>
      <c r="M51" s="43"/>
      <c r="N51" s="43"/>
      <c r="O51" s="43"/>
      <c r="P51" s="43"/>
      <c r="Q51" s="13"/>
      <c r="R51" s="13"/>
      <c r="S51" s="296"/>
      <c r="T51" s="296"/>
      <c r="U51" s="296"/>
      <c r="V51" s="296"/>
      <c r="W51" s="296"/>
      <c r="X51" s="296"/>
      <c r="Y51" s="296"/>
      <c r="Z51" s="296"/>
      <c r="AA51" s="296"/>
      <c r="AB51" s="296"/>
      <c r="AC51" s="296"/>
      <c r="AD51" s="296"/>
      <c r="AE51" s="296"/>
      <c r="AF51" s="862"/>
      <c r="AG51" s="862"/>
      <c r="AH51" s="862"/>
      <c r="AI51" s="862"/>
      <c r="AJ51" s="862"/>
      <c r="AK51" s="862"/>
      <c r="AL51" s="862"/>
      <c r="AM51" s="862"/>
      <c r="AN51" s="862"/>
      <c r="AO51" s="862"/>
      <c r="AP51" s="862"/>
      <c r="AQ51" s="862"/>
      <c r="AR51" s="13"/>
      <c r="AS51" s="70"/>
      <c r="AT51" s="13"/>
      <c r="AU51" s="13"/>
      <c r="AV51" s="14"/>
      <c r="AW51" s="70"/>
      <c r="AX51" s="13"/>
      <c r="AY51" s="510"/>
      <c r="AZ51" s="70"/>
      <c r="BA51" s="70"/>
      <c r="BB51" s="70"/>
      <c r="BC51" s="70"/>
      <c r="BD51" s="70"/>
      <c r="BE51" s="70"/>
      <c r="BG51" s="1117" t="s">
        <v>311</v>
      </c>
      <c r="BH51" s="1117"/>
      <c r="BI51" s="1117"/>
      <c r="BJ51" s="1117"/>
      <c r="BK51" s="1117"/>
      <c r="BL51" s="70"/>
      <c r="BM51" s="70"/>
      <c r="BO51" s="14"/>
      <c r="BP51" s="70"/>
      <c r="BQ51" s="13"/>
      <c r="BR51" s="13"/>
      <c r="BS51" s="14"/>
      <c r="BT51" s="70"/>
      <c r="BU51" s="13"/>
      <c r="BV51" s="510"/>
      <c r="BW51" s="70"/>
      <c r="BX51" s="70"/>
      <c r="BY51" s="70"/>
      <c r="BZ51" s="70"/>
      <c r="CC51" s="1117"/>
      <c r="CD51" s="1117"/>
    </row>
    <row r="52" spans="2:85" x14ac:dyDescent="0.3">
      <c r="B52" s="1135" t="s">
        <v>93</v>
      </c>
      <c r="C52" s="1135"/>
      <c r="D52" s="13"/>
      <c r="E52" s="246"/>
      <c r="F52" s="246"/>
      <c r="G52" s="246"/>
      <c r="H52" s="246"/>
      <c r="I52" s="246"/>
      <c r="J52" s="246"/>
      <c r="K52" s="43"/>
      <c r="L52" s="43"/>
      <c r="M52" s="43"/>
      <c r="N52" s="43"/>
      <c r="O52" s="43"/>
      <c r="P52" s="43"/>
      <c r="Q52" s="13"/>
      <c r="R52" s="13"/>
      <c r="S52" s="296"/>
      <c r="T52" s="296"/>
      <c r="U52" s="296"/>
      <c r="V52" s="296"/>
      <c r="W52" s="296"/>
      <c r="X52" s="296"/>
      <c r="Y52" s="296"/>
      <c r="Z52" s="296"/>
      <c r="AA52" s="296"/>
      <c r="AB52" s="296"/>
      <c r="AC52" s="296"/>
      <c r="AD52" s="296"/>
      <c r="AE52" s="296"/>
      <c r="AF52" s="862"/>
      <c r="AG52" s="862"/>
      <c r="AH52" s="862"/>
      <c r="AI52" s="862"/>
      <c r="AJ52" s="862"/>
      <c r="AK52" s="862"/>
      <c r="AL52" s="862"/>
      <c r="AM52" s="862"/>
      <c r="AN52" s="862"/>
      <c r="AO52" s="862"/>
      <c r="AP52" s="862"/>
      <c r="AQ52" s="862"/>
      <c r="AR52" s="13"/>
      <c r="AS52" s="12"/>
      <c r="AT52" s="281"/>
      <c r="AU52" s="34"/>
      <c r="AV52" s="34"/>
      <c r="AW52" s="12"/>
      <c r="AX52" s="282"/>
      <c r="AY52" s="282"/>
      <c r="AZ52" s="282"/>
      <c r="BA52" s="282"/>
      <c r="BB52" s="282"/>
      <c r="BC52" s="282"/>
      <c r="BD52" s="282"/>
      <c r="BE52" s="282"/>
      <c r="BG52" s="1129" t="s">
        <v>117</v>
      </c>
      <c r="BH52" s="1129"/>
      <c r="BI52" s="57"/>
      <c r="BJ52" s="1122" t="s">
        <v>216</v>
      </c>
      <c r="BK52" s="1122"/>
      <c r="BL52" s="282"/>
      <c r="BM52" s="282"/>
      <c r="BN52" s="34"/>
      <c r="BO52" s="283"/>
      <c r="BP52" s="281"/>
      <c r="BQ52" s="494"/>
      <c r="BR52" s="494"/>
      <c r="BS52" s="494"/>
      <c r="BT52" s="494"/>
      <c r="BU52" s="494"/>
      <c r="BV52" s="509"/>
      <c r="BW52" s="282"/>
      <c r="BX52" s="282"/>
      <c r="BY52" s="282"/>
      <c r="BZ52" s="282"/>
      <c r="CA52" s="10"/>
      <c r="CC52" s="1122" t="s">
        <v>216</v>
      </c>
      <c r="CD52" s="1122"/>
      <c r="CF52" s="1122" t="s">
        <v>226</v>
      </c>
      <c r="CG52" s="1122"/>
    </row>
    <row r="53" spans="2:85" x14ac:dyDescent="0.3">
      <c r="B53" s="31" t="s">
        <v>14</v>
      </c>
      <c r="C53" s="31" t="s">
        <v>511</v>
      </c>
      <c r="D53" s="13"/>
      <c r="E53" s="246"/>
      <c r="F53" s="246"/>
      <c r="G53" s="246"/>
      <c r="H53" s="246"/>
      <c r="I53" s="246"/>
      <c r="J53" s="246"/>
      <c r="K53" s="43"/>
      <c r="L53" s="43"/>
      <c r="M53" s="43"/>
      <c r="N53" s="43"/>
      <c r="O53" s="43"/>
      <c r="P53" s="43"/>
      <c r="Q53" s="13"/>
      <c r="R53" s="13"/>
      <c r="S53" s="296"/>
      <c r="T53" s="296"/>
      <c r="U53" s="296"/>
      <c r="V53" s="296"/>
      <c r="W53" s="296"/>
      <c r="X53" s="296"/>
      <c r="Y53" s="296"/>
      <c r="Z53" s="296"/>
      <c r="AA53" s="296"/>
      <c r="AB53" s="296"/>
      <c r="AC53" s="296"/>
      <c r="AD53" s="296"/>
      <c r="AE53" s="296"/>
      <c r="AF53" s="862"/>
      <c r="AG53" s="862"/>
      <c r="AH53" s="862"/>
      <c r="AI53" s="862"/>
      <c r="AJ53" s="862"/>
      <c r="AK53" s="862"/>
      <c r="AL53" s="862"/>
      <c r="AM53" s="862"/>
      <c r="AN53" s="862"/>
      <c r="AO53" s="862"/>
      <c r="AP53" s="862"/>
      <c r="AQ53" s="862"/>
      <c r="AR53" s="13"/>
      <c r="BF53" s="561" t="s">
        <v>314</v>
      </c>
      <c r="BG53" s="1123" t="s">
        <v>312</v>
      </c>
      <c r="BH53" s="1126" t="s">
        <v>313</v>
      </c>
      <c r="BI53" s="57"/>
      <c r="BJ53" s="1123" t="s">
        <v>312</v>
      </c>
      <c r="BK53" s="1126" t="s">
        <v>313</v>
      </c>
      <c r="CB53" s="561" t="s">
        <v>314</v>
      </c>
      <c r="CC53" s="1123" t="s">
        <v>312</v>
      </c>
      <c r="CD53" s="1126" t="s">
        <v>313</v>
      </c>
      <c r="CF53" s="1140" t="s">
        <v>313</v>
      </c>
      <c r="CG53" s="1140"/>
    </row>
    <row r="54" spans="2:85" x14ac:dyDescent="0.3">
      <c r="B54" s="26">
        <v>0</v>
      </c>
      <c r="C54" s="293">
        <f>'Input 2_RSV Rates'!G10*'Input 3_Clinical Severity'!$H$9</f>
        <v>46.15</v>
      </c>
      <c r="D54" s="13"/>
      <c r="E54" s="77">
        <f t="shared" ref="E54:P65" si="16">($C54/(SUM($C$54:$C$65)))*E$7</f>
        <v>3.4051883157820992E-3</v>
      </c>
      <c r="F54" s="77">
        <f t="shared" si="16"/>
        <v>9.8707357508114012E-3</v>
      </c>
      <c r="G54" s="77">
        <f t="shared" si="16"/>
        <v>1.4051789758797019E-2</v>
      </c>
      <c r="H54" s="77">
        <f t="shared" si="16"/>
        <v>9.3965956055759199E-3</v>
      </c>
      <c r="I54" s="77">
        <f t="shared" si="16"/>
        <v>5.0431269993228564E-3</v>
      </c>
      <c r="J54" s="77">
        <f t="shared" si="16"/>
        <v>1.3362131365727225E-3</v>
      </c>
      <c r="K54" s="77">
        <f t="shared" si="16"/>
        <v>0</v>
      </c>
      <c r="L54" s="77">
        <f t="shared" si="16"/>
        <v>0</v>
      </c>
      <c r="M54" s="77">
        <f t="shared" si="16"/>
        <v>0</v>
      </c>
      <c r="N54" s="77">
        <f t="shared" si="16"/>
        <v>0</v>
      </c>
      <c r="O54" s="77">
        <f t="shared" si="16"/>
        <v>0</v>
      </c>
      <c r="P54" s="77">
        <f t="shared" si="16"/>
        <v>0</v>
      </c>
      <c r="Q54" s="13"/>
      <c r="R54" s="13"/>
      <c r="S54" s="852">
        <f>IF('Input 5_Product Uptake'!$M$9=0,E54*Ratios!$N$29,E54*Ratios!$N$29*Ratios!$Z$23)</f>
        <v>160.91601836411638</v>
      </c>
      <c r="T54" s="852">
        <f>IF('Input 5_Product Uptake'!$M$9=0,F54*Ratios!$N$29,F54*Ratios!$N$29*Ratios!$Z$23)</f>
        <v>466.45276209345133</v>
      </c>
      <c r="U54" s="852">
        <f>IF('Input 5_Product Uptake'!$M$9=0,G54*Ratios!$N$29,G54*Ratios!$N$29*Ratios!$Z$23)</f>
        <v>664.03318970508792</v>
      </c>
      <c r="V54" s="852">
        <f>IF('Input 5_Product Uptake'!$M$9=0,H54*Ratios!$N$29,H54*Ratios!$N$29*Ratios!$Z$23)</f>
        <v>444.04673421996677</v>
      </c>
      <c r="W54" s="852">
        <f>IF('Input 5_Product Uptake'!$M$9=0,I54*Ratios!$N$29,I54*Ratios!$N$29*Ratios!$Z$23)</f>
        <v>238.31866010888126</v>
      </c>
      <c r="X54" s="852">
        <f>IF('Input 5_Product Uptake'!$M$9=0,J54*Ratios!$N$29,J54*Ratios!$N$29*Ratios!$Z$23)</f>
        <v>63.144260370729221</v>
      </c>
      <c r="Y54" s="852">
        <f>IF('Input 5_Product Uptake'!$M$9=0,K54*Ratios!$N$29,K54*Ratios!$N$29*Ratios!$Z$23)</f>
        <v>0</v>
      </c>
      <c r="Z54" s="852">
        <f>IF('Input 5_Product Uptake'!$M$9=0,L54*Ratios!$N$29,L54*Ratios!$N$29*Ratios!$Z$23)</f>
        <v>0</v>
      </c>
      <c r="AA54" s="852">
        <f>IF('Input 5_Product Uptake'!$M$9=0,M54*Ratios!$N$29,M54*Ratios!$N$29*Ratios!$Z$23)</f>
        <v>0</v>
      </c>
      <c r="AB54" s="852">
        <f>IF('Input 5_Product Uptake'!$M$9=0,N54*Ratios!$N$29,N54*Ratios!$N$29*Ratios!$Z$23)</f>
        <v>0</v>
      </c>
      <c r="AC54" s="852">
        <f>IF('Input 5_Product Uptake'!$M$9=0,O54*Ratios!$N$29,O54*Ratios!$N$29*Ratios!$Z$23)</f>
        <v>0</v>
      </c>
      <c r="AD54" s="852">
        <f>IF('Input 5_Product Uptake'!$M$9=0,P54*Ratios!$N$29,P54*Ratios!$N$29*Ratios!$Z$23)</f>
        <v>0</v>
      </c>
      <c r="AE54" s="297"/>
      <c r="AF54" s="860">
        <f>Ratios!$P$29*E54</f>
        <v>1094.2503064622138</v>
      </c>
      <c r="AG54" s="860">
        <f>Ratios!$P$29*F54</f>
        <v>3171.9407617702141</v>
      </c>
      <c r="AH54" s="860">
        <f>Ratios!$P$29*G54</f>
        <v>4515.5139228693888</v>
      </c>
      <c r="AI54" s="860">
        <f>Ratios!$P$29*H54</f>
        <v>3019.5767950476279</v>
      </c>
      <c r="AJ54" s="860">
        <f>Ratios!$P$29*I54</f>
        <v>1620.5985551402407</v>
      </c>
      <c r="AK54" s="860">
        <f>Ratios!$P$29*J54</f>
        <v>429.38936076365349</v>
      </c>
      <c r="AL54" s="860">
        <f>Ratios!$P$29*K54</f>
        <v>0</v>
      </c>
      <c r="AM54" s="860">
        <f>Ratios!$P$29*L54</f>
        <v>0</v>
      </c>
      <c r="AN54" s="860">
        <f>Ratios!$P$29*M54</f>
        <v>0</v>
      </c>
      <c r="AO54" s="860">
        <f>Ratios!$P$29*N54</f>
        <v>0</v>
      </c>
      <c r="AP54" s="860">
        <f>Ratios!$P$29*O54</f>
        <v>0</v>
      </c>
      <c r="AQ54" s="860">
        <f>Ratios!$P$29*P54</f>
        <v>0</v>
      </c>
      <c r="AR54" s="13"/>
      <c r="AS54" s="275">
        <f>S54</f>
        <v>160.91601836411638</v>
      </c>
      <c r="AT54" s="275">
        <f t="shared" ref="AT54:BD65" si="17">T54</f>
        <v>466.45276209345133</v>
      </c>
      <c r="AU54" s="275">
        <f t="shared" si="17"/>
        <v>664.03318970508792</v>
      </c>
      <c r="AV54" s="275">
        <f t="shared" si="17"/>
        <v>444.04673421996677</v>
      </c>
      <c r="AW54" s="275">
        <f t="shared" si="17"/>
        <v>238.31866010888126</v>
      </c>
      <c r="AX54" s="275">
        <f t="shared" si="17"/>
        <v>63.144260370729221</v>
      </c>
      <c r="AY54" s="275">
        <f t="shared" si="17"/>
        <v>0</v>
      </c>
      <c r="AZ54" s="275">
        <f t="shared" si="17"/>
        <v>0</v>
      </c>
      <c r="BA54" s="275">
        <f t="shared" si="17"/>
        <v>0</v>
      </c>
      <c r="BB54" s="275">
        <f t="shared" si="17"/>
        <v>0</v>
      </c>
      <c r="BC54" s="275">
        <f t="shared" si="17"/>
        <v>0</v>
      </c>
      <c r="BD54" s="275">
        <f t="shared" si="17"/>
        <v>0</v>
      </c>
      <c r="BE54" s="275"/>
      <c r="BF54" s="573" t="s">
        <v>317</v>
      </c>
      <c r="BG54" s="1124"/>
      <c r="BH54" s="1127"/>
      <c r="BI54" s="57"/>
      <c r="BJ54" s="1124"/>
      <c r="BK54" s="1127"/>
      <c r="BL54" s="275"/>
      <c r="BM54" s="275"/>
      <c r="BN54" s="32"/>
      <c r="BO54" s="35">
        <f>AF54</f>
        <v>1094.2503064622138</v>
      </c>
      <c r="BP54" s="35">
        <f t="shared" ref="BP54:BZ65" si="18">AG54</f>
        <v>3171.9407617702141</v>
      </c>
      <c r="BQ54" s="35">
        <f t="shared" si="18"/>
        <v>4515.5139228693888</v>
      </c>
      <c r="BR54" s="35">
        <f t="shared" si="18"/>
        <v>3019.5767950476279</v>
      </c>
      <c r="BS54" s="35">
        <f t="shared" si="18"/>
        <v>1620.5985551402407</v>
      </c>
      <c r="BT54" s="35">
        <f t="shared" si="18"/>
        <v>429.38936076365349</v>
      </c>
      <c r="BU54" s="35">
        <f t="shared" si="18"/>
        <v>0</v>
      </c>
      <c r="BV54" s="35">
        <f t="shared" si="18"/>
        <v>0</v>
      </c>
      <c r="BW54" s="35">
        <f t="shared" si="18"/>
        <v>0</v>
      </c>
      <c r="BX54" s="35">
        <f t="shared" si="18"/>
        <v>0</v>
      </c>
      <c r="BY54" s="35">
        <f t="shared" si="18"/>
        <v>0</v>
      </c>
      <c r="BZ54" s="35">
        <f t="shared" si="18"/>
        <v>0</v>
      </c>
      <c r="CA54" s="35"/>
      <c r="CB54" s="573" t="s">
        <v>317</v>
      </c>
      <c r="CC54" s="1124"/>
      <c r="CD54" s="1127"/>
      <c r="CF54" s="1139"/>
      <c r="CG54" s="1139"/>
    </row>
    <row r="55" spans="2:85" x14ac:dyDescent="0.3">
      <c r="B55" s="26">
        <v>1</v>
      </c>
      <c r="C55" s="293">
        <f>'Input 2_RSV Rates'!G11*'Input 3_Clinical Severity'!$H$9</f>
        <v>101.79</v>
      </c>
      <c r="D55" s="13"/>
      <c r="E55" s="77">
        <f t="shared" si="16"/>
        <v>7.5105984542461523E-3</v>
      </c>
      <c r="F55" s="77">
        <f t="shared" si="16"/>
        <v>2.1771228430662894E-2</v>
      </c>
      <c r="G55" s="77">
        <f t="shared" si="16"/>
        <v>3.0993102482079059E-2</v>
      </c>
      <c r="H55" s="77">
        <f t="shared" si="16"/>
        <v>2.0725448899059001E-2</v>
      </c>
      <c r="I55" s="77">
        <f t="shared" si="16"/>
        <v>1.112329138160506E-2</v>
      </c>
      <c r="J55" s="77">
        <f t="shared" si="16"/>
        <v>2.9471968617927938E-3</v>
      </c>
      <c r="K55" s="77">
        <f t="shared" si="16"/>
        <v>0</v>
      </c>
      <c r="L55" s="77">
        <f t="shared" si="16"/>
        <v>0</v>
      </c>
      <c r="M55" s="77">
        <f t="shared" si="16"/>
        <v>0</v>
      </c>
      <c r="N55" s="77">
        <f t="shared" si="16"/>
        <v>0</v>
      </c>
      <c r="O55" s="77">
        <f t="shared" si="16"/>
        <v>0</v>
      </c>
      <c r="P55" s="77">
        <f t="shared" si="16"/>
        <v>0</v>
      </c>
      <c r="Q55" s="13"/>
      <c r="R55" s="13"/>
      <c r="S55" s="852">
        <f>IF('Input 5_Product Uptake'!$M$9=0,E55*Ratios!$N$29,E55*Ratios!$N$29*Ratios!$Z$23)</f>
        <v>354.92180951860047</v>
      </c>
      <c r="T55" s="852">
        <f>IF('Input 5_Product Uptake'!$M$9=0,F55*Ratios!$N$29,F55*Ratios!$N$29*Ratios!$Z$23)</f>
        <v>1028.8239794906265</v>
      </c>
      <c r="U55" s="852">
        <f>IF('Input 5_Product Uptake'!$M$9=0,G55*Ratios!$N$29,G55*Ratios!$N$29*Ratios!$Z$23)</f>
        <v>1464.61404940587</v>
      </c>
      <c r="V55" s="852">
        <f>IF('Input 5_Product Uptake'!$M$9=0,H55*Ratios!$N$29,H55*Ratios!$N$29*Ratios!$Z$23)</f>
        <v>979.40448702601122</v>
      </c>
      <c r="W55" s="852">
        <f>IF('Input 5_Product Uptake'!$M$9=0,I55*Ratios!$N$29,I55*Ratios!$N$29*Ratios!$Z$23)</f>
        <v>525.64369257818032</v>
      </c>
      <c r="X55" s="852">
        <f>IF('Input 5_Product Uptake'!$M$9=0,J55*Ratios!$N$29,J55*Ratios!$N$29*Ratios!$Z$23)</f>
        <v>139.27311512755207</v>
      </c>
      <c r="Y55" s="852">
        <f>IF('Input 5_Product Uptake'!$M$9=0,K55*Ratios!$N$29,K55*Ratios!$N$29*Ratios!$Z$23)</f>
        <v>0</v>
      </c>
      <c r="Z55" s="852">
        <f>IF('Input 5_Product Uptake'!$M$9=0,L55*Ratios!$N$29,L55*Ratios!$N$29*Ratios!$Z$23)</f>
        <v>0</v>
      </c>
      <c r="AA55" s="852">
        <f>IF('Input 5_Product Uptake'!$M$9=0,M55*Ratios!$N$29,M55*Ratios!$N$29*Ratios!$Z$23)</f>
        <v>0</v>
      </c>
      <c r="AB55" s="852">
        <f>IF('Input 5_Product Uptake'!$M$9=0,N55*Ratios!$N$29,N55*Ratios!$N$29*Ratios!$Z$23)</f>
        <v>0</v>
      </c>
      <c r="AC55" s="852">
        <f>IF('Input 5_Product Uptake'!$M$9=0,O55*Ratios!$N$29,O55*Ratios!$N$29*Ratios!$Z$23)</f>
        <v>0</v>
      </c>
      <c r="AD55" s="852">
        <f>IF('Input 5_Product Uptake'!$M$9=0,P55*Ratios!$N$29,P55*Ratios!$N$29*Ratios!$Z$23)</f>
        <v>0</v>
      </c>
      <c r="AE55" s="297"/>
      <c r="AF55" s="860">
        <f>Ratios!$P$29*E55</f>
        <v>2413.5154646758124</v>
      </c>
      <c r="AG55" s="860">
        <f>Ratios!$P$29*F55</f>
        <v>6996.1397646931773</v>
      </c>
      <c r="AH55" s="860">
        <f>Ratios!$P$29*G55</f>
        <v>9959.5701453710735</v>
      </c>
      <c r="AI55" s="860">
        <f>Ratios!$P$29*H55</f>
        <v>6660.0806493585706</v>
      </c>
      <c r="AJ55" s="860">
        <f>Ratios!$P$29*I55</f>
        <v>3574.4469540135447</v>
      </c>
      <c r="AK55" s="860">
        <f>Ratios!$P$29*J55</f>
        <v>947.07568867025554</v>
      </c>
      <c r="AL55" s="860">
        <f>Ratios!$P$29*K55</f>
        <v>0</v>
      </c>
      <c r="AM55" s="860">
        <f>Ratios!$P$29*L55</f>
        <v>0</v>
      </c>
      <c r="AN55" s="860">
        <f>Ratios!$P$29*M55</f>
        <v>0</v>
      </c>
      <c r="AO55" s="860">
        <f>Ratios!$P$29*N55</f>
        <v>0</v>
      </c>
      <c r="AP55" s="860">
        <f>Ratios!$P$29*O55</f>
        <v>0</v>
      </c>
      <c r="AQ55" s="860">
        <f>Ratios!$P$29*P55</f>
        <v>0</v>
      </c>
      <c r="AR55" s="13"/>
      <c r="AS55" s="275">
        <f t="shared" ref="AS55:AS65" si="19">S55</f>
        <v>354.92180951860047</v>
      </c>
      <c r="AT55" s="275">
        <f t="shared" si="17"/>
        <v>1028.8239794906265</v>
      </c>
      <c r="AU55" s="275">
        <f t="shared" si="17"/>
        <v>1464.61404940587</v>
      </c>
      <c r="AV55" s="275">
        <f t="shared" si="17"/>
        <v>979.40448702601122</v>
      </c>
      <c r="AW55" s="275">
        <f t="shared" si="17"/>
        <v>525.64369257818032</v>
      </c>
      <c r="AX55" s="275">
        <f t="shared" si="17"/>
        <v>139.27311512755207</v>
      </c>
      <c r="AY55" s="275">
        <f t="shared" si="17"/>
        <v>0</v>
      </c>
      <c r="AZ55" s="275">
        <f t="shared" si="17"/>
        <v>0</v>
      </c>
      <c r="BA55" s="275">
        <f t="shared" si="17"/>
        <v>0</v>
      </c>
      <c r="BB55" s="275">
        <f t="shared" si="17"/>
        <v>0</v>
      </c>
      <c r="BC55" s="275">
        <f t="shared" si="17"/>
        <v>0</v>
      </c>
      <c r="BD55" s="275">
        <f t="shared" si="17"/>
        <v>0</v>
      </c>
      <c r="BE55" s="275"/>
      <c r="BF55" s="518"/>
      <c r="BG55" s="1125"/>
      <c r="BH55" s="1128"/>
      <c r="BI55" s="57"/>
      <c r="BJ55" s="1125"/>
      <c r="BK55" s="1128"/>
      <c r="BL55" s="275"/>
      <c r="BM55" s="275"/>
      <c r="BN55" s="32"/>
      <c r="BO55" s="35">
        <f t="shared" ref="BO55:BO65" si="20">AF55</f>
        <v>2413.5154646758124</v>
      </c>
      <c r="BP55" s="35">
        <f t="shared" si="18"/>
        <v>6996.1397646931773</v>
      </c>
      <c r="BQ55" s="35">
        <f t="shared" si="18"/>
        <v>9959.5701453710735</v>
      </c>
      <c r="BR55" s="35">
        <f t="shared" si="18"/>
        <v>6660.0806493585706</v>
      </c>
      <c r="BS55" s="35">
        <f t="shared" si="18"/>
        <v>3574.4469540135447</v>
      </c>
      <c r="BT55" s="35">
        <f t="shared" si="18"/>
        <v>947.07568867025554</v>
      </c>
      <c r="BU55" s="35">
        <f t="shared" si="18"/>
        <v>0</v>
      </c>
      <c r="BV55" s="35">
        <f t="shared" si="18"/>
        <v>0</v>
      </c>
      <c r="BW55" s="35">
        <f t="shared" si="18"/>
        <v>0</v>
      </c>
      <c r="BX55" s="35">
        <f t="shared" si="18"/>
        <v>0</v>
      </c>
      <c r="BY55" s="35">
        <f t="shared" si="18"/>
        <v>0</v>
      </c>
      <c r="BZ55" s="35">
        <f t="shared" si="18"/>
        <v>0</v>
      </c>
      <c r="CA55" s="35"/>
      <c r="CB55" s="518"/>
      <c r="CC55" s="1125"/>
      <c r="CD55" s="1128"/>
      <c r="CF55" s="1139"/>
      <c r="CG55" s="1139"/>
    </row>
    <row r="56" spans="2:85" x14ac:dyDescent="0.3">
      <c r="B56" s="26">
        <v>2</v>
      </c>
      <c r="C56" s="293">
        <f>'Input 2_RSV Rates'!G12*'Input 3_Clinical Severity'!$H$9</f>
        <v>126.88</v>
      </c>
      <c r="D56" s="13"/>
      <c r="E56" s="77">
        <f t="shared" si="16"/>
        <v>9.3618698484600818E-3</v>
      </c>
      <c r="F56" s="77">
        <f t="shared" si="16"/>
        <v>2.7137572092371626E-2</v>
      </c>
      <c r="G56" s="77">
        <f t="shared" si="16"/>
        <v>3.8632526210101097E-2</v>
      </c>
      <c r="H56" s="77">
        <f t="shared" si="16"/>
        <v>2.5834020594484784E-2</v>
      </c>
      <c r="I56" s="77">
        <f t="shared" si="16"/>
        <v>1.3865047750251007E-2</v>
      </c>
      <c r="J56" s="77">
        <f t="shared" si="16"/>
        <v>3.6736451304083865E-3</v>
      </c>
      <c r="K56" s="77">
        <f t="shared" si="16"/>
        <v>0</v>
      </c>
      <c r="L56" s="77">
        <f t="shared" si="16"/>
        <v>0</v>
      </c>
      <c r="M56" s="77">
        <f t="shared" si="16"/>
        <v>0</v>
      </c>
      <c r="N56" s="77">
        <f t="shared" si="16"/>
        <v>0</v>
      </c>
      <c r="O56" s="77">
        <f t="shared" si="16"/>
        <v>0</v>
      </c>
      <c r="P56" s="77">
        <f t="shared" si="16"/>
        <v>0</v>
      </c>
      <c r="Q56" s="13"/>
      <c r="R56" s="13"/>
      <c r="S56" s="852">
        <f>IF('Input 5_Product Uptake'!$M$9=0,E56*Ratios!$N$29,E56*Ratios!$N$29*Ratios!$Z$23)</f>
        <v>442.40572936162704</v>
      </c>
      <c r="T56" s="852">
        <f>IF('Input 5_Product Uptake'!$M$9=0,F56*Ratios!$N$29,F56*Ratios!$N$29*Ratios!$Z$23)</f>
        <v>1282.4166078963617</v>
      </c>
      <c r="U56" s="852">
        <f>IF('Input 5_Product Uptake'!$M$9=0,G56*Ratios!$N$29,G56*Ratios!$N$29*Ratios!$Z$23)</f>
        <v>1825.6236426821572</v>
      </c>
      <c r="V56" s="852">
        <f>IF('Input 5_Product Uptake'!$M$9=0,H56*Ratios!$N$29,H56*Ratios!$N$29*Ratios!$Z$23)</f>
        <v>1220.8158101371482</v>
      </c>
      <c r="W56" s="852">
        <f>IF('Input 5_Product Uptake'!$M$9=0,I56*Ratios!$N$29,I56*Ratios!$N$29*Ratios!$Z$23)</f>
        <v>655.20848525709323</v>
      </c>
      <c r="X56" s="852">
        <f>IF('Input 5_Product Uptake'!$M$9=0,J56*Ratios!$N$29,J56*Ratios!$N$29*Ratios!$Z$23)</f>
        <v>173.60224823051186</v>
      </c>
      <c r="Y56" s="852">
        <f>IF('Input 5_Product Uptake'!$M$9=0,K56*Ratios!$N$29,K56*Ratios!$N$29*Ratios!$Z$23)</f>
        <v>0</v>
      </c>
      <c r="Z56" s="852">
        <f>IF('Input 5_Product Uptake'!$M$9=0,L56*Ratios!$N$29,L56*Ratios!$N$29*Ratios!$Z$23)</f>
        <v>0</v>
      </c>
      <c r="AA56" s="852">
        <f>IF('Input 5_Product Uptake'!$M$9=0,M56*Ratios!$N$29,M56*Ratios!$N$29*Ratios!$Z$23)</f>
        <v>0</v>
      </c>
      <c r="AB56" s="852">
        <f>IF('Input 5_Product Uptake'!$M$9=0,N56*Ratios!$N$29,N56*Ratios!$N$29*Ratios!$Z$23)</f>
        <v>0</v>
      </c>
      <c r="AC56" s="852">
        <f>IF('Input 5_Product Uptake'!$M$9=0,O56*Ratios!$N$29,O56*Ratios!$N$29*Ratios!$Z$23)</f>
        <v>0</v>
      </c>
      <c r="AD56" s="852">
        <f>IF('Input 5_Product Uptake'!$M$9=0,P56*Ratios!$N$29,P56*Ratios!$N$29*Ratios!$Z$23)</f>
        <v>0</v>
      </c>
      <c r="AE56" s="297"/>
      <c r="AF56" s="860">
        <f>Ratios!$P$29*E56</f>
        <v>3008.4177439637201</v>
      </c>
      <c r="AG56" s="860">
        <f>Ratios!$P$29*F56</f>
        <v>8720.6033337682511</v>
      </c>
      <c r="AH56" s="860">
        <f>Ratios!$P$29*G56</f>
        <v>12414.483348508515</v>
      </c>
      <c r="AI56" s="860">
        <f>Ratios!$P$29*H56</f>
        <v>8301.7097238492534</v>
      </c>
      <c r="AJ56" s="860">
        <f>Ratios!$P$29*I56</f>
        <v>4455.5047600475345</v>
      </c>
      <c r="AK56" s="860">
        <f>Ratios!$P$29*J56</f>
        <v>1180.5183552262699</v>
      </c>
      <c r="AL56" s="860">
        <f>Ratios!$P$29*K56</f>
        <v>0</v>
      </c>
      <c r="AM56" s="860">
        <f>Ratios!$P$29*L56</f>
        <v>0</v>
      </c>
      <c r="AN56" s="860">
        <f>Ratios!$P$29*M56</f>
        <v>0</v>
      </c>
      <c r="AO56" s="860">
        <f>Ratios!$P$29*N56</f>
        <v>0</v>
      </c>
      <c r="AP56" s="860">
        <f>Ratios!$P$29*O56</f>
        <v>0</v>
      </c>
      <c r="AQ56" s="860">
        <f>Ratios!$P$29*P56</f>
        <v>0</v>
      </c>
      <c r="AR56" s="13"/>
      <c r="AS56" s="275">
        <f t="shared" si="19"/>
        <v>442.40572936162704</v>
      </c>
      <c r="AT56" s="275">
        <f t="shared" si="17"/>
        <v>1282.4166078963617</v>
      </c>
      <c r="AU56" s="275">
        <f t="shared" si="17"/>
        <v>1825.6236426821572</v>
      </c>
      <c r="AV56" s="275">
        <f t="shared" si="17"/>
        <v>1220.8158101371482</v>
      </c>
      <c r="AW56" s="275">
        <f t="shared" si="17"/>
        <v>655.20848525709323</v>
      </c>
      <c r="AX56" s="275">
        <f t="shared" si="17"/>
        <v>173.60224823051186</v>
      </c>
      <c r="AY56" s="275">
        <f t="shared" si="17"/>
        <v>0</v>
      </c>
      <c r="AZ56" s="275">
        <f t="shared" si="17"/>
        <v>0</v>
      </c>
      <c r="BA56" s="275">
        <f t="shared" si="17"/>
        <v>0</v>
      </c>
      <c r="BB56" s="275">
        <f t="shared" si="17"/>
        <v>0</v>
      </c>
      <c r="BC56" s="275">
        <f t="shared" si="17"/>
        <v>0</v>
      </c>
      <c r="BD56" s="275">
        <f t="shared" si="17"/>
        <v>0</v>
      </c>
      <c r="BE56" s="275"/>
      <c r="BF56" s="557">
        <f>IF($B54=0,1,IF(AND(BF55&gt;0,$B54&lt;='Input 4_RSV Season'!$AG$27-1),BF55+1,0))</f>
        <v>1</v>
      </c>
      <c r="BG56" s="549">
        <f>IF(AND($BF56&gt;0,$BF56&lt;='Input 6_Product Efficacy'!$Q$9/30),SUM($AS54:$BD54),0)</f>
        <v>2036.9116248622329</v>
      </c>
      <c r="BH56" s="554">
        <f>IF(AND($BF56&gt;0,$BF56&gt;'Input 6_Product Efficacy'!$Q$9/30),SUM($AS54:$BD54),0)</f>
        <v>0</v>
      </c>
      <c r="BJ56" s="549">
        <f>IF(AND($BF56&gt;0,$BF56&lt;='Input 6_Product Efficacy'!$Q$12/30),SUM($AS54:$BD54),0)</f>
        <v>2036.9116248622329</v>
      </c>
      <c r="BK56" s="554">
        <f>IF(AND($BF56&gt;0,$BF56&gt;'Input 6_Product Efficacy'!$Q$12/30),SUM($AS54:$BD54),0)</f>
        <v>0</v>
      </c>
      <c r="BL56" s="275"/>
      <c r="BM56" s="275"/>
      <c r="BN56" s="32"/>
      <c r="BO56" s="35">
        <f t="shared" si="20"/>
        <v>3008.4177439637201</v>
      </c>
      <c r="BP56" s="35">
        <f t="shared" si="18"/>
        <v>8720.6033337682511</v>
      </c>
      <c r="BQ56" s="35">
        <f t="shared" si="18"/>
        <v>12414.483348508515</v>
      </c>
      <c r="BR56" s="35">
        <f t="shared" si="18"/>
        <v>8301.7097238492534</v>
      </c>
      <c r="BS56" s="35">
        <f t="shared" si="18"/>
        <v>4455.5047600475345</v>
      </c>
      <c r="BT56" s="35">
        <f t="shared" si="18"/>
        <v>1180.5183552262699</v>
      </c>
      <c r="BU56" s="35">
        <f t="shared" si="18"/>
        <v>0</v>
      </c>
      <c r="BV56" s="35">
        <f t="shared" si="18"/>
        <v>0</v>
      </c>
      <c r="BW56" s="35">
        <f t="shared" si="18"/>
        <v>0</v>
      </c>
      <c r="BX56" s="35">
        <f t="shared" si="18"/>
        <v>0</v>
      </c>
      <c r="BY56" s="35">
        <f t="shared" si="18"/>
        <v>0</v>
      </c>
      <c r="BZ56" s="35">
        <f t="shared" si="18"/>
        <v>0</v>
      </c>
      <c r="CA56" s="35"/>
      <c r="CB56" s="557">
        <f>IF($B54=0,1,IF(AND(CB55&gt;0,$B54&lt;='Input 4_RSV Season'!$AG$27-1),CB55+1,0))</f>
        <v>1</v>
      </c>
      <c r="CC56" s="549">
        <f>IF(AND($CB56&gt;0,$CB56&lt;='Input 6_Product Efficacy'!$Q$12/30),SUM($BO54:$BZ54),0)</f>
        <v>13851.269702053338</v>
      </c>
      <c r="CD56" s="554">
        <f>IF(AND($CB56&gt;0,$CB56&gt;'Input 6_Product Efficacy'!$Q$12/30),SUM($BO54:$BZ54),0)</f>
        <v>0</v>
      </c>
      <c r="CF56" s="564">
        <f>IF(AND($CB56&gt;0,$CB56&gt;'Input 6_Product Efficacy'!$Q$15/30),SUM($BO54:$BZ54),0)</f>
        <v>0</v>
      </c>
    </row>
    <row r="57" spans="2:85" x14ac:dyDescent="0.3">
      <c r="B57" s="26">
        <v>3</v>
      </c>
      <c r="C57" s="293">
        <f>'Input 2_RSV Rates'!G13*'Input 3_Clinical Severity'!$H$9</f>
        <v>126.10000000000001</v>
      </c>
      <c r="D57" s="13"/>
      <c r="E57" s="77">
        <f t="shared" si="16"/>
        <v>9.3043173698834827E-3</v>
      </c>
      <c r="F57" s="77">
        <f t="shared" si="16"/>
        <v>2.6970742755738197E-2</v>
      </c>
      <c r="G57" s="77">
        <f t="shared" si="16"/>
        <v>3.8395031171924249E-2</v>
      </c>
      <c r="H57" s="77">
        <f t="shared" si="16"/>
        <v>2.5675204894108853E-2</v>
      </c>
      <c r="I57" s="77">
        <f t="shared" si="16"/>
        <v>1.3779811800966678E-2</v>
      </c>
      <c r="J57" s="77">
        <f t="shared" si="16"/>
        <v>3.6510612464099746E-3</v>
      </c>
      <c r="K57" s="77">
        <f t="shared" si="16"/>
        <v>0</v>
      </c>
      <c r="L57" s="77">
        <f t="shared" si="16"/>
        <v>0</v>
      </c>
      <c r="M57" s="77">
        <f t="shared" si="16"/>
        <v>0</v>
      </c>
      <c r="N57" s="77">
        <f t="shared" si="16"/>
        <v>0</v>
      </c>
      <c r="O57" s="77">
        <f t="shared" si="16"/>
        <v>0</v>
      </c>
      <c r="P57" s="77">
        <f t="shared" si="16"/>
        <v>0</v>
      </c>
      <c r="Q57" s="13"/>
      <c r="R57" s="13"/>
      <c r="S57" s="852">
        <f>IF('Input 5_Product Uptake'!$M$9=0,E57*Ratios!$N$29,E57*Ratios!$N$29*Ratios!$Z$23)</f>
        <v>439.68602200899409</v>
      </c>
      <c r="T57" s="852">
        <f>IF('Input 5_Product Uptake'!$M$9=0,F57*Ratios!$N$29,F57*Ratios!$N$29*Ratios!$Z$23)</f>
        <v>1274.5328992412615</v>
      </c>
      <c r="U57" s="852">
        <f>IF('Input 5_Product Uptake'!$M$9=0,G57*Ratios!$N$29,G57*Ratios!$N$29*Ratios!$Z$23)</f>
        <v>1814.4005465181278</v>
      </c>
      <c r="V57" s="852">
        <f>IF('Input 5_Product Uptake'!$M$9=0,H57*Ratios!$N$29,H57*Ratios!$N$29*Ratios!$Z$23)</f>
        <v>1213.3107949108953</v>
      </c>
      <c r="W57" s="852">
        <f>IF('Input 5_Product Uptake'!$M$9=0,I57*Ratios!$N$29,I57*Ratios!$N$29*Ratios!$Z$23)</f>
        <v>651.18056424116855</v>
      </c>
      <c r="X57" s="852">
        <f>IF('Input 5_Product Uptake'!$M$9=0,J57*Ratios!$N$29,J57*Ratios!$N$29*Ratios!$Z$23)</f>
        <v>172.53502129466858</v>
      </c>
      <c r="Y57" s="852">
        <f>IF('Input 5_Product Uptake'!$M$9=0,K57*Ratios!$N$29,K57*Ratios!$N$29*Ratios!$Z$23)</f>
        <v>0</v>
      </c>
      <c r="Z57" s="852">
        <f>IF('Input 5_Product Uptake'!$M$9=0,L57*Ratios!$N$29,L57*Ratios!$N$29*Ratios!$Z$23)</f>
        <v>0</v>
      </c>
      <c r="AA57" s="852">
        <f>IF('Input 5_Product Uptake'!$M$9=0,M57*Ratios!$N$29,M57*Ratios!$N$29*Ratios!$Z$23)</f>
        <v>0</v>
      </c>
      <c r="AB57" s="852">
        <f>IF('Input 5_Product Uptake'!$M$9=0,N57*Ratios!$N$29,N57*Ratios!$N$29*Ratios!$Z$23)</f>
        <v>0</v>
      </c>
      <c r="AC57" s="852">
        <f>IF('Input 5_Product Uptake'!$M$9=0,O57*Ratios!$N$29,O57*Ratios!$N$29*Ratios!$Z$23)</f>
        <v>0</v>
      </c>
      <c r="AD57" s="852">
        <f>IF('Input 5_Product Uptake'!$M$9=0,P57*Ratios!$N$29,P57*Ratios!$N$29*Ratios!$Z$23)</f>
        <v>0</v>
      </c>
      <c r="AE57" s="297"/>
      <c r="AF57" s="860">
        <f>Ratios!$P$29*E57</f>
        <v>2989.9233725868939</v>
      </c>
      <c r="AG57" s="860">
        <f>Ratios!$P$29*F57</f>
        <v>8666.9930673721356</v>
      </c>
      <c r="AH57" s="860">
        <f>Ratios!$P$29*G57</f>
        <v>12338.164803333259</v>
      </c>
      <c r="AI57" s="860">
        <f>Ratios!$P$29*H57</f>
        <v>8250.6746230878853</v>
      </c>
      <c r="AJ57" s="860">
        <f>Ratios!$P$29*I57</f>
        <v>4428.1143619324885</v>
      </c>
      <c r="AK57" s="860">
        <f>Ratios!$P$29*J57</f>
        <v>1173.2610702556167</v>
      </c>
      <c r="AL57" s="860">
        <f>Ratios!$P$29*K57</f>
        <v>0</v>
      </c>
      <c r="AM57" s="860">
        <f>Ratios!$P$29*L57</f>
        <v>0</v>
      </c>
      <c r="AN57" s="860">
        <f>Ratios!$P$29*M57</f>
        <v>0</v>
      </c>
      <c r="AO57" s="860">
        <f>Ratios!$P$29*N57</f>
        <v>0</v>
      </c>
      <c r="AP57" s="860">
        <f>Ratios!$P$29*O57</f>
        <v>0</v>
      </c>
      <c r="AQ57" s="860">
        <f>Ratios!$P$29*P57</f>
        <v>0</v>
      </c>
      <c r="AR57" s="13"/>
      <c r="AS57" s="275">
        <f t="shared" si="19"/>
        <v>439.68602200899409</v>
      </c>
      <c r="AT57" s="275">
        <f t="shared" si="17"/>
        <v>1274.5328992412615</v>
      </c>
      <c r="AU57" s="275">
        <f t="shared" si="17"/>
        <v>1814.4005465181278</v>
      </c>
      <c r="AV57" s="275">
        <f t="shared" si="17"/>
        <v>1213.3107949108953</v>
      </c>
      <c r="AW57" s="275">
        <f t="shared" si="17"/>
        <v>651.18056424116855</v>
      </c>
      <c r="AX57" s="275">
        <f t="shared" si="17"/>
        <v>172.53502129466858</v>
      </c>
      <c r="AY57" s="275">
        <f t="shared" si="17"/>
        <v>0</v>
      </c>
      <c r="AZ57" s="275">
        <f t="shared" si="17"/>
        <v>0</v>
      </c>
      <c r="BA57" s="275">
        <f t="shared" si="17"/>
        <v>0</v>
      </c>
      <c r="BB57" s="275">
        <f t="shared" si="17"/>
        <v>0</v>
      </c>
      <c r="BC57" s="275">
        <f t="shared" si="17"/>
        <v>0</v>
      </c>
      <c r="BD57" s="275">
        <f t="shared" si="17"/>
        <v>0</v>
      </c>
      <c r="BE57" s="275"/>
      <c r="BF57" s="557">
        <f>IF($B55=0,1,IF(AND(BF56&gt;0,$B55&lt;='Input 4_RSV Season'!$AG$27-1),BF56+1,0))</f>
        <v>2</v>
      </c>
      <c r="BG57" s="549">
        <f>IF(AND($BF57&gt;0,$BF57&lt;='Input 6_Product Efficacy'!$Q$9/30),SUM($AS55:$BD55),0)</f>
        <v>4492.6811331468407</v>
      </c>
      <c r="BH57" s="554">
        <f>IF(AND($BF57&gt;0,$BF57&gt;'Input 6_Product Efficacy'!$Q$9/30),SUM($AS55:$BD55),0)</f>
        <v>0</v>
      </c>
      <c r="BJ57" s="549">
        <f>IF(AND($BF57&gt;0,$BF57&lt;='Input 6_Product Efficacy'!$Q$12/30),SUM($AS55:$BD55),0)</f>
        <v>4492.6811331468407</v>
      </c>
      <c r="BK57" s="554">
        <f>IF(AND($BF57&gt;0,$BF57&gt;'Input 6_Product Efficacy'!$Q$12/30),SUM($AS55:$BD55),0)</f>
        <v>0</v>
      </c>
      <c r="BL57" s="275"/>
      <c r="BM57" s="275"/>
      <c r="BN57" s="32"/>
      <c r="BO57" s="35">
        <f t="shared" si="20"/>
        <v>2989.9233725868939</v>
      </c>
      <c r="BP57" s="35">
        <f t="shared" si="18"/>
        <v>8666.9930673721356</v>
      </c>
      <c r="BQ57" s="35">
        <f t="shared" si="18"/>
        <v>12338.164803333259</v>
      </c>
      <c r="BR57" s="35">
        <f t="shared" si="18"/>
        <v>8250.6746230878853</v>
      </c>
      <c r="BS57" s="35">
        <f t="shared" si="18"/>
        <v>4428.1143619324885</v>
      </c>
      <c r="BT57" s="35">
        <f t="shared" si="18"/>
        <v>1173.2610702556167</v>
      </c>
      <c r="BU57" s="35">
        <f t="shared" si="18"/>
        <v>0</v>
      </c>
      <c r="BV57" s="35">
        <f t="shared" si="18"/>
        <v>0</v>
      </c>
      <c r="BW57" s="35">
        <f t="shared" si="18"/>
        <v>0</v>
      </c>
      <c r="BX57" s="35">
        <f t="shared" si="18"/>
        <v>0</v>
      </c>
      <c r="BY57" s="35">
        <f t="shared" si="18"/>
        <v>0</v>
      </c>
      <c r="BZ57" s="35">
        <f t="shared" si="18"/>
        <v>0</v>
      </c>
      <c r="CA57" s="35"/>
      <c r="CB57" s="557">
        <f>IF($B55=0,1,IF(AND(CB56&gt;0,$B55&lt;='Input 4_RSV Season'!$AG$27-1),CB56+1,0))</f>
        <v>2</v>
      </c>
      <c r="CC57" s="549">
        <f>IF(AND($CB57&gt;0,$CB57&lt;='Input 6_Product Efficacy'!$Q$12/30),SUM($BO55:$BZ55),0)</f>
        <v>30550.828666782429</v>
      </c>
      <c r="CD57" s="554">
        <f>IF(AND($CB57&gt;0,$CB57&gt;'Input 6_Product Efficacy'!$Q$12/30),SUM($BO55:$BZ55),0)</f>
        <v>0</v>
      </c>
      <c r="CF57" s="565">
        <f>IF(AND($CB57&gt;0,$CB57&gt;'Input 6_Product Efficacy'!$Q$15/30),SUM($BO55:$BZ55),0)</f>
        <v>0</v>
      </c>
    </row>
    <row r="58" spans="2:85" x14ac:dyDescent="0.3">
      <c r="B58" s="26">
        <v>4</v>
      </c>
      <c r="C58" s="293">
        <f>'Input 2_RSV Rates'!G14*'Input 3_Clinical Severity'!$H$9</f>
        <v>143.65</v>
      </c>
      <c r="D58" s="13"/>
      <c r="E58" s="77">
        <f t="shared" si="16"/>
        <v>1.0599248137856957E-2</v>
      </c>
      <c r="F58" s="77">
        <f t="shared" si="16"/>
        <v>3.0724402829990418E-2</v>
      </c>
      <c r="G58" s="77">
        <f t="shared" si="16"/>
        <v>4.3738669530903398E-2</v>
      </c>
      <c r="H58" s="77">
        <f t="shared" si="16"/>
        <v>2.92485581525673E-2</v>
      </c>
      <c r="I58" s="77">
        <f t="shared" si="16"/>
        <v>1.5697620659864103E-2</v>
      </c>
      <c r="J58" s="77">
        <f t="shared" si="16"/>
        <v>4.1591986363742495E-3</v>
      </c>
      <c r="K58" s="77">
        <f t="shared" si="16"/>
        <v>0</v>
      </c>
      <c r="L58" s="77">
        <f t="shared" si="16"/>
        <v>0</v>
      </c>
      <c r="M58" s="77">
        <f t="shared" si="16"/>
        <v>0</v>
      </c>
      <c r="N58" s="77">
        <f t="shared" si="16"/>
        <v>0</v>
      </c>
      <c r="O58" s="77">
        <f t="shared" si="16"/>
        <v>0</v>
      </c>
      <c r="P58" s="77">
        <f t="shared" si="16"/>
        <v>0</v>
      </c>
      <c r="Q58" s="13"/>
      <c r="R58" s="13"/>
      <c r="S58" s="852">
        <f>IF('Input 5_Product Uptake'!$M$9=0,E58*Ratios!$N$29,E58*Ratios!$N$29*Ratios!$Z$23)</f>
        <v>500.87943744323553</v>
      </c>
      <c r="T58" s="852">
        <f>IF('Input 5_Product Uptake'!$M$9=0,F58*Ratios!$N$29,F58*Ratios!$N$29*Ratios!$Z$23)</f>
        <v>1451.9163439810245</v>
      </c>
      <c r="U58" s="852">
        <f>IF('Input 5_Product Uptake'!$M$9=0,G58*Ratios!$N$29,G58*Ratios!$N$29*Ratios!$Z$23)</f>
        <v>2066.9202102087952</v>
      </c>
      <c r="V58" s="852">
        <f>IF('Input 5_Product Uptake'!$M$9=0,H58*Ratios!$N$29,H58*Ratios!$N$29*Ratios!$Z$23)</f>
        <v>1382.1736375015867</v>
      </c>
      <c r="W58" s="852">
        <f>IF('Input 5_Product Uptake'!$M$9=0,I58*Ratios!$N$29,I58*Ratios!$N$29*Ratios!$Z$23)</f>
        <v>741.80878709947558</v>
      </c>
      <c r="X58" s="852">
        <f>IF('Input 5_Product Uptake'!$M$9=0,J58*Ratios!$N$29,J58*Ratios!$N$29*Ratios!$Z$23)</f>
        <v>196.54762735114309</v>
      </c>
      <c r="Y58" s="852">
        <f>IF('Input 5_Product Uptake'!$M$9=0,K58*Ratios!$N$29,K58*Ratios!$N$29*Ratios!$Z$23)</f>
        <v>0</v>
      </c>
      <c r="Z58" s="852">
        <f>IF('Input 5_Product Uptake'!$M$9=0,L58*Ratios!$N$29,L58*Ratios!$N$29*Ratios!$Z$23)</f>
        <v>0</v>
      </c>
      <c r="AA58" s="852">
        <f>IF('Input 5_Product Uptake'!$M$9=0,M58*Ratios!$N$29,M58*Ratios!$N$29*Ratios!$Z$23)</f>
        <v>0</v>
      </c>
      <c r="AB58" s="852">
        <f>IF('Input 5_Product Uptake'!$M$9=0,N58*Ratios!$N$29,N58*Ratios!$N$29*Ratios!$Z$23)</f>
        <v>0</v>
      </c>
      <c r="AC58" s="852">
        <f>IF('Input 5_Product Uptake'!$M$9=0,O58*Ratios!$N$29,O58*Ratios!$N$29*Ratios!$Z$23)</f>
        <v>0</v>
      </c>
      <c r="AD58" s="852">
        <f>IF('Input 5_Product Uptake'!$M$9=0,P58*Ratios!$N$29,P58*Ratios!$N$29*Ratios!$Z$23)</f>
        <v>0</v>
      </c>
      <c r="AE58" s="297"/>
      <c r="AF58" s="860">
        <f>Ratios!$P$29*E58</f>
        <v>3406.0467285654822</v>
      </c>
      <c r="AG58" s="860">
        <f>Ratios!$P$29*F58</f>
        <v>9873.2240612847509</v>
      </c>
      <c r="AH58" s="860">
        <f>Ratios!$P$29*G58</f>
        <v>14055.332069776548</v>
      </c>
      <c r="AI58" s="860">
        <f>Ratios!$P$29*H58</f>
        <v>9398.9643902186726</v>
      </c>
      <c r="AJ58" s="860">
        <f>Ratios!$P$29*I58</f>
        <v>5044.3983195210312</v>
      </c>
      <c r="AK58" s="860">
        <f>Ratios!$P$29*J58</f>
        <v>1336.549982095316</v>
      </c>
      <c r="AL58" s="860">
        <f>Ratios!$P$29*K58</f>
        <v>0</v>
      </c>
      <c r="AM58" s="860">
        <f>Ratios!$P$29*L58</f>
        <v>0</v>
      </c>
      <c r="AN58" s="860">
        <f>Ratios!$P$29*M58</f>
        <v>0</v>
      </c>
      <c r="AO58" s="860">
        <f>Ratios!$P$29*N58</f>
        <v>0</v>
      </c>
      <c r="AP58" s="860">
        <f>Ratios!$P$29*O58</f>
        <v>0</v>
      </c>
      <c r="AQ58" s="860">
        <f>Ratios!$P$29*P58</f>
        <v>0</v>
      </c>
      <c r="AR58" s="13"/>
      <c r="AS58" s="275">
        <f t="shared" si="19"/>
        <v>500.87943744323553</v>
      </c>
      <c r="AT58" s="275">
        <f t="shared" si="17"/>
        <v>1451.9163439810245</v>
      </c>
      <c r="AU58" s="275">
        <f t="shared" si="17"/>
        <v>2066.9202102087952</v>
      </c>
      <c r="AV58" s="275">
        <f t="shared" si="17"/>
        <v>1382.1736375015867</v>
      </c>
      <c r="AW58" s="275">
        <f t="shared" si="17"/>
        <v>741.80878709947558</v>
      </c>
      <c r="AX58" s="275">
        <f t="shared" si="17"/>
        <v>196.54762735114309</v>
      </c>
      <c r="AY58" s="275">
        <f t="shared" si="17"/>
        <v>0</v>
      </c>
      <c r="AZ58" s="275">
        <f t="shared" si="17"/>
        <v>0</v>
      </c>
      <c r="BA58" s="275">
        <f t="shared" si="17"/>
        <v>0</v>
      </c>
      <c r="BB58" s="275">
        <f t="shared" si="17"/>
        <v>0</v>
      </c>
      <c r="BC58" s="275">
        <f t="shared" si="17"/>
        <v>0</v>
      </c>
      <c r="BD58" s="275">
        <f t="shared" si="17"/>
        <v>0</v>
      </c>
      <c r="BE58" s="275"/>
      <c r="BF58" s="557">
        <f>IF($B56=0,1,IF(AND(BF57&gt;0,$B56&lt;='Input 4_RSV Season'!$AG$27-1),BF57+1,0))</f>
        <v>3</v>
      </c>
      <c r="BG58" s="549">
        <f>IF(AND($BF58&gt;0,$BF58&lt;='Input 6_Product Efficacy'!$Q$9/30),SUM($AS56:$BD56),0)</f>
        <v>5600.0725235648988</v>
      </c>
      <c r="BH58" s="554">
        <f>IF(AND($BF58&gt;0,$BF58&gt;'Input 6_Product Efficacy'!$Q$9/30),SUM($AS56:$BD56),0)</f>
        <v>0</v>
      </c>
      <c r="BJ58" s="549">
        <f>IF(AND($BF58&gt;0,$BF58&lt;='Input 6_Product Efficacy'!$Q$12/30),SUM($AS56:$BD56),0)</f>
        <v>5600.0725235648988</v>
      </c>
      <c r="BK58" s="554">
        <f>IF(AND($BF58&gt;0,$BF58&gt;'Input 6_Product Efficacy'!$Q$12/30),SUM($AS56:$BD56),0)</f>
        <v>0</v>
      </c>
      <c r="BL58" s="275"/>
      <c r="BM58" s="275"/>
      <c r="BN58" s="32"/>
      <c r="BO58" s="35">
        <f t="shared" si="20"/>
        <v>3406.0467285654822</v>
      </c>
      <c r="BP58" s="35">
        <f t="shared" si="18"/>
        <v>9873.2240612847509</v>
      </c>
      <c r="BQ58" s="35">
        <f t="shared" si="18"/>
        <v>14055.332069776548</v>
      </c>
      <c r="BR58" s="35">
        <f t="shared" si="18"/>
        <v>9398.9643902186726</v>
      </c>
      <c r="BS58" s="35">
        <f t="shared" si="18"/>
        <v>5044.3983195210312</v>
      </c>
      <c r="BT58" s="35">
        <f t="shared" si="18"/>
        <v>1336.549982095316</v>
      </c>
      <c r="BU58" s="35">
        <f t="shared" si="18"/>
        <v>0</v>
      </c>
      <c r="BV58" s="35">
        <f t="shared" si="18"/>
        <v>0</v>
      </c>
      <c r="BW58" s="35">
        <f t="shared" si="18"/>
        <v>0</v>
      </c>
      <c r="BX58" s="35">
        <f t="shared" si="18"/>
        <v>0</v>
      </c>
      <c r="BY58" s="35">
        <f t="shared" si="18"/>
        <v>0</v>
      </c>
      <c r="BZ58" s="35">
        <f t="shared" si="18"/>
        <v>0</v>
      </c>
      <c r="CA58" s="35"/>
      <c r="CB58" s="557">
        <f>IF($B56=0,1,IF(AND(CB57&gt;0,$B56&lt;='Input 4_RSV Season'!$AG$27-1),CB57+1,0))</f>
        <v>3</v>
      </c>
      <c r="CC58" s="549">
        <f>IF(AND($CB58&gt;0,$CB58&lt;='Input 6_Product Efficacy'!$Q$12/30),SUM($BO56:$BZ56),0)</f>
        <v>38081.237265363539</v>
      </c>
      <c r="CD58" s="554">
        <f>IF(AND($CB58&gt;0,$CB58&gt;'Input 6_Product Efficacy'!$Q$12/30),SUM($BO56:$BZ56),0)</f>
        <v>0</v>
      </c>
      <c r="CF58" s="565">
        <f>IF(AND($CB58&gt;0,$CB58&gt;'Input 6_Product Efficacy'!$Q$15/30),SUM($BO56:$BZ56),0)</f>
        <v>0</v>
      </c>
    </row>
    <row r="59" spans="2:85" ht="15" thickBot="1" x14ac:dyDescent="0.35">
      <c r="B59" s="804">
        <v>5</v>
      </c>
      <c r="C59" s="806">
        <f>'Input 2_RSV Rates'!G15*'Input 3_Clinical Severity'!$H$9</f>
        <v>156.715</v>
      </c>
      <c r="E59" s="77">
        <f t="shared" si="16"/>
        <v>1.156325215401499E-2</v>
      </c>
      <c r="F59" s="77">
        <f t="shared" si="16"/>
        <v>3.3518794218600413E-2</v>
      </c>
      <c r="G59" s="77">
        <f t="shared" si="16"/>
        <v>4.7716711420365654E-2</v>
      </c>
      <c r="H59" s="77">
        <f t="shared" si="16"/>
        <v>3.190872113386415E-2</v>
      </c>
      <c r="I59" s="77">
        <f t="shared" si="16"/>
        <v>1.7125322810376632E-2</v>
      </c>
      <c r="J59" s="77">
        <f t="shared" si="16"/>
        <v>4.5374786933476538E-3</v>
      </c>
      <c r="K59" s="77">
        <f t="shared" si="16"/>
        <v>0</v>
      </c>
      <c r="L59" s="77">
        <f t="shared" si="16"/>
        <v>0</v>
      </c>
      <c r="M59" s="77">
        <f t="shared" si="16"/>
        <v>0</v>
      </c>
      <c r="N59" s="77">
        <f t="shared" si="16"/>
        <v>0</v>
      </c>
      <c r="O59" s="77">
        <f t="shared" si="16"/>
        <v>0</v>
      </c>
      <c r="P59" s="77">
        <f t="shared" si="16"/>
        <v>0</v>
      </c>
      <c r="Q59" s="13"/>
      <c r="R59" s="13"/>
      <c r="S59" s="852">
        <f>IF('Input 5_Product Uptake'!$M$9=0,E59*Ratios!$N$29,E59*Ratios!$N$29*Ratios!$Z$23)</f>
        <v>546.43453559983766</v>
      </c>
      <c r="T59" s="852">
        <f>IF('Input 5_Product Uptake'!$M$9=0,F59*Ratios!$N$29,F59*Ratios!$N$29*Ratios!$Z$23)</f>
        <v>1583.9684639539596</v>
      </c>
      <c r="U59" s="852">
        <f>IF('Input 5_Product Uptake'!$M$9=0,G59*Ratios!$N$29,G59*Ratios!$N$29*Ratios!$Z$23)</f>
        <v>2254.907070956292</v>
      </c>
      <c r="V59" s="852">
        <f>IF('Input 5_Product Uptake'!$M$9=0,H59*Ratios!$N$29,H59*Ratios!$N$29*Ratios!$Z$23)</f>
        <v>1507.882642541324</v>
      </c>
      <c r="W59" s="852">
        <f>IF('Input 5_Product Uptake'!$M$9=0,I59*Ratios!$N$29,I59*Ratios!$N$29*Ratios!$Z$23)</f>
        <v>809.27646411621527</v>
      </c>
      <c r="X59" s="852">
        <f>IF('Input 5_Product Uptake'!$M$9=0,J59*Ratios!$N$29,J59*Ratios!$N$29*Ratios!$Z$23)</f>
        <v>214.42367852651853</v>
      </c>
      <c r="Y59" s="852">
        <f>IF('Input 5_Product Uptake'!$M$9=0,K59*Ratios!$N$29,K59*Ratios!$N$29*Ratios!$Z$23)</f>
        <v>0</v>
      </c>
      <c r="Z59" s="852">
        <f>IF('Input 5_Product Uptake'!$M$9=0,L59*Ratios!$N$29,L59*Ratios!$N$29*Ratios!$Z$23)</f>
        <v>0</v>
      </c>
      <c r="AA59" s="852">
        <f>IF('Input 5_Product Uptake'!$M$9=0,M59*Ratios!$N$29,M59*Ratios!$N$29*Ratios!$Z$23)</f>
        <v>0</v>
      </c>
      <c r="AB59" s="852">
        <f>IF('Input 5_Product Uptake'!$M$9=0,N59*Ratios!$N$29,N59*Ratios!$N$29*Ratios!$Z$23)</f>
        <v>0</v>
      </c>
      <c r="AC59" s="852">
        <f>IF('Input 5_Product Uptake'!$M$9=0,O59*Ratios!$N$29,O59*Ratios!$N$29*Ratios!$Z$23)</f>
        <v>0</v>
      </c>
      <c r="AD59" s="852">
        <f>IF('Input 5_Product Uptake'!$M$9=0,P59*Ratios!$N$29,P59*Ratios!$N$29*Ratios!$Z$23)</f>
        <v>0</v>
      </c>
      <c r="AE59" s="297"/>
      <c r="AF59" s="860">
        <f>Ratios!$P$29*E59</f>
        <v>3715.8274491273205</v>
      </c>
      <c r="AG59" s="860">
        <f>Ratios!$P$29*F59</f>
        <v>10771.196023419701</v>
      </c>
      <c r="AH59" s="860">
        <f>Ratios!$P$29*G59</f>
        <v>15333.667701462107</v>
      </c>
      <c r="AI59" s="860">
        <f>Ratios!$P$29*H59</f>
        <v>10253.802327971594</v>
      </c>
      <c r="AJ59" s="860">
        <f>Ratios!$P$29*I59</f>
        <v>5503.1874879480574</v>
      </c>
      <c r="AK59" s="860">
        <f>Ratios!$P$29*J59</f>
        <v>1458.1095053537585</v>
      </c>
      <c r="AL59" s="860">
        <f>Ratios!$P$29*K59</f>
        <v>0</v>
      </c>
      <c r="AM59" s="860">
        <f>Ratios!$P$29*L59</f>
        <v>0</v>
      </c>
      <c r="AN59" s="860">
        <f>Ratios!$P$29*M59</f>
        <v>0</v>
      </c>
      <c r="AO59" s="860">
        <f>Ratios!$P$29*N59</f>
        <v>0</v>
      </c>
      <c r="AP59" s="860">
        <f>Ratios!$P$29*O59</f>
        <v>0</v>
      </c>
      <c r="AQ59" s="860">
        <f>Ratios!$P$29*P59</f>
        <v>0</v>
      </c>
      <c r="AS59" s="275">
        <f t="shared" si="19"/>
        <v>546.43453559983766</v>
      </c>
      <c r="AT59" s="275">
        <f t="shared" si="17"/>
        <v>1583.9684639539596</v>
      </c>
      <c r="AU59" s="275">
        <f t="shared" si="17"/>
        <v>2254.907070956292</v>
      </c>
      <c r="AV59" s="275">
        <f t="shared" si="17"/>
        <v>1507.882642541324</v>
      </c>
      <c r="AW59" s="275">
        <f t="shared" si="17"/>
        <v>809.27646411621527</v>
      </c>
      <c r="AX59" s="275">
        <f t="shared" si="17"/>
        <v>214.42367852651853</v>
      </c>
      <c r="AY59" s="275">
        <f t="shared" si="17"/>
        <v>0</v>
      </c>
      <c r="AZ59" s="275">
        <f t="shared" si="17"/>
        <v>0</v>
      </c>
      <c r="BA59" s="275">
        <f t="shared" si="17"/>
        <v>0</v>
      </c>
      <c r="BB59" s="275">
        <f t="shared" si="17"/>
        <v>0</v>
      </c>
      <c r="BC59" s="275">
        <f t="shared" si="17"/>
        <v>0</v>
      </c>
      <c r="BD59" s="275">
        <f t="shared" si="17"/>
        <v>0</v>
      </c>
      <c r="BE59" s="276"/>
      <c r="BF59" s="557">
        <f>IF($B57=0,1,IF(AND(BF58&gt;0,$B57&lt;='Input 4_RSV Season'!$AG$27-1),BF58+1,0))</f>
        <v>4</v>
      </c>
      <c r="BG59" s="549">
        <f>IF(AND($BF59&gt;0,$BF59&lt;='Input 6_Product Efficacy'!$Q$9/30),SUM($AS57:$BD57),0)</f>
        <v>5565.6458482151156</v>
      </c>
      <c r="BH59" s="554">
        <f>IF(AND($BF59&gt;0,$BF59&gt;'Input 6_Product Efficacy'!$Q$9/30),SUM($AS57:$BD57),0)</f>
        <v>0</v>
      </c>
      <c r="BJ59" s="549">
        <f>IF(AND($BF59&gt;0,$BF59&lt;='Input 6_Product Efficacy'!$Q$12/30),SUM($AS57:$BD57),0)</f>
        <v>5565.6458482151156</v>
      </c>
      <c r="BK59" s="554">
        <f>IF(AND($BF59&gt;0,$BF59&gt;'Input 6_Product Efficacy'!$Q$12/30),SUM($AS57:$BD57),0)</f>
        <v>0</v>
      </c>
      <c r="BL59" s="276"/>
      <c r="BM59" s="276"/>
      <c r="BN59" s="93"/>
      <c r="BO59" s="35">
        <f t="shared" si="20"/>
        <v>3715.8274491273205</v>
      </c>
      <c r="BP59" s="35">
        <f t="shared" si="18"/>
        <v>10771.196023419701</v>
      </c>
      <c r="BQ59" s="35">
        <f t="shared" si="18"/>
        <v>15333.667701462107</v>
      </c>
      <c r="BR59" s="35">
        <f t="shared" si="18"/>
        <v>10253.802327971594</v>
      </c>
      <c r="BS59" s="35">
        <f t="shared" si="18"/>
        <v>5503.1874879480574</v>
      </c>
      <c r="BT59" s="35">
        <f t="shared" si="18"/>
        <v>1458.1095053537585</v>
      </c>
      <c r="BU59" s="35">
        <f t="shared" si="18"/>
        <v>0</v>
      </c>
      <c r="BV59" s="35">
        <f t="shared" si="18"/>
        <v>0</v>
      </c>
      <c r="BW59" s="35">
        <f t="shared" si="18"/>
        <v>0</v>
      </c>
      <c r="BX59" s="35">
        <f t="shared" si="18"/>
        <v>0</v>
      </c>
      <c r="BY59" s="35">
        <f t="shared" si="18"/>
        <v>0</v>
      </c>
      <c r="BZ59" s="35">
        <f t="shared" si="18"/>
        <v>0</v>
      </c>
      <c r="CA59" s="244"/>
      <c r="CB59" s="557">
        <f>IF($B57=0,1,IF(AND(CB58&gt;0,$B57&lt;='Input 4_RSV Season'!$AG$27-1),CB58+1,0))</f>
        <v>4</v>
      </c>
      <c r="CC59" s="549">
        <f>IF(AND($CB59&gt;0,$CB59&lt;='Input 6_Product Efficacy'!$Q$12/30),SUM($BO57:$BZ57),0)</f>
        <v>37847.131298568282</v>
      </c>
      <c r="CD59" s="554">
        <f>IF(AND($CB59&gt;0,$CB59&gt;'Input 6_Product Efficacy'!$Q$12/30),SUM($BO57:$BZ57),0)</f>
        <v>0</v>
      </c>
      <c r="CF59" s="565">
        <f>IF(AND($CB59&gt;0,$CB59&gt;'Input 6_Product Efficacy'!$Q$15/30),SUM($BO57:$BZ57),0)</f>
        <v>37847.131298568282</v>
      </c>
    </row>
    <row r="60" spans="2:85" ht="15" thickTop="1" x14ac:dyDescent="0.3">
      <c r="B60" s="26">
        <v>6</v>
      </c>
      <c r="C60" s="293">
        <f>'Input 2_RSV Rates'!G16*'Input 3_Clinical Severity'!$H$11</f>
        <v>66.209999999999994</v>
      </c>
      <c r="E60" s="77">
        <f t="shared" si="16"/>
        <v>4.8853200084059108E-3</v>
      </c>
      <c r="F60" s="77">
        <f t="shared" si="16"/>
        <v>1.4161244074999411E-2</v>
      </c>
      <c r="G60" s="77">
        <f t="shared" si="16"/>
        <v>2.0159674971396545E-2</v>
      </c>
      <c r="H60" s="77">
        <f t="shared" si="16"/>
        <v>1.3481009643449223E-2</v>
      </c>
      <c r="I60" s="77">
        <f t="shared" si="16"/>
        <v>7.235220771942932E-3</v>
      </c>
      <c r="J60" s="77">
        <f t="shared" si="16"/>
        <v>1.9170243070959904E-3</v>
      </c>
      <c r="K60" s="77">
        <f t="shared" si="16"/>
        <v>0</v>
      </c>
      <c r="L60" s="77">
        <f t="shared" si="16"/>
        <v>0</v>
      </c>
      <c r="M60" s="77">
        <f t="shared" si="16"/>
        <v>0</v>
      </c>
      <c r="N60" s="77">
        <f t="shared" si="16"/>
        <v>0</v>
      </c>
      <c r="O60" s="77">
        <f t="shared" si="16"/>
        <v>0</v>
      </c>
      <c r="P60" s="77">
        <f t="shared" si="16"/>
        <v>0</v>
      </c>
      <c r="Q60" s="13"/>
      <c r="R60" s="13"/>
      <c r="S60" s="852">
        <f>IF('Input 5_Product Uptake'!$M$9=0,E60*Ratios!$N$29,E60*Ratios!$N$29*Ratios!$Z$23)</f>
        <v>230.86131258695877</v>
      </c>
      <c r="T60" s="852">
        <f>IF('Input 5_Product Uptake'!$M$9=0,F60*Ratios!$N$29,F60*Ratios!$N$29*Ratios!$Z$23)</f>
        <v>669.20557699257654</v>
      </c>
      <c r="U60" s="852">
        <f>IF('Input 5_Product Uptake'!$M$9=0,G60*Ratios!$N$29,G60*Ratios!$N$29*Ratios!$Z$23)</f>
        <v>952.66820130820963</v>
      </c>
      <c r="V60" s="852">
        <f>IF('Input 5_Product Uptake'!$M$9=0,H60*Ratios!$N$29,H60*Ratios!$N$29*Ratios!$Z$23)</f>
        <v>637.06033093616475</v>
      </c>
      <c r="W60" s="852">
        <f>IF('Input 5_Product Uptake'!$M$9=0,I60*Ratios!$N$29,I60*Ratios!$N$29*Ratios!$Z$23)</f>
        <v>341.90852623638199</v>
      </c>
      <c r="X60" s="852">
        <f>IF('Input 5_Product Uptake'!$M$9=0,J60*Ratios!$N$29,J60*Ratios!$N$29*Ratios!$Z$23)</f>
        <v>90.591147977161029</v>
      </c>
      <c r="Y60" s="852">
        <f>IF('Input 5_Product Uptake'!$M$9=0,K60*Ratios!$N$29,K60*Ratios!$N$29*Ratios!$Z$23)</f>
        <v>0</v>
      </c>
      <c r="Z60" s="852">
        <f>IF('Input 5_Product Uptake'!$M$9=0,L60*Ratios!$N$29,L60*Ratios!$N$29*Ratios!$Z$23)</f>
        <v>0</v>
      </c>
      <c r="AA60" s="852">
        <f>IF('Input 5_Product Uptake'!$M$9=0,M60*Ratios!$N$29,M60*Ratios!$N$29*Ratios!$Z$23)</f>
        <v>0</v>
      </c>
      <c r="AB60" s="852">
        <f>IF('Input 5_Product Uptake'!$M$9=0,N60*Ratios!$N$29,N60*Ratios!$N$29*Ratios!$Z$23)</f>
        <v>0</v>
      </c>
      <c r="AC60" s="852">
        <f>IF('Input 5_Product Uptake'!$M$9=0,O60*Ratios!$N$29,O60*Ratios!$N$29*Ratios!$Z$23)</f>
        <v>0</v>
      </c>
      <c r="AD60" s="852">
        <f>IF('Input 5_Product Uptake'!$M$9=0,P60*Ratios!$N$29,P60*Ratios!$N$29*Ratios!$Z$23)</f>
        <v>0</v>
      </c>
      <c r="AE60" s="297"/>
      <c r="AF60" s="860">
        <f>Ratios!$P$29*E60</f>
        <v>1569.8876011021271</v>
      </c>
      <c r="AG60" s="860">
        <f>Ratios!$P$29*F60</f>
        <v>4550.6868437011026</v>
      </c>
      <c r="AH60" s="860">
        <f>Ratios!$P$29*G60</f>
        <v>6478.2703539151071</v>
      </c>
      <c r="AI60" s="860">
        <f>Ratios!$P$29*H60</f>
        <v>4332.0948992438443</v>
      </c>
      <c r="AJ60" s="860">
        <f>Ratios!$P$29*I60</f>
        <v>2325.0234092272012</v>
      </c>
      <c r="AK60" s="860">
        <f>Ratios!$P$29*J60</f>
        <v>616.03184347045499</v>
      </c>
      <c r="AL60" s="860">
        <f>Ratios!$P$29*K60</f>
        <v>0</v>
      </c>
      <c r="AM60" s="860">
        <f>Ratios!$P$29*L60</f>
        <v>0</v>
      </c>
      <c r="AN60" s="860">
        <f>Ratios!$P$29*M60</f>
        <v>0</v>
      </c>
      <c r="AO60" s="860">
        <f>Ratios!$P$29*N60</f>
        <v>0</v>
      </c>
      <c r="AP60" s="860">
        <f>Ratios!$P$29*O60</f>
        <v>0</v>
      </c>
      <c r="AQ60" s="860">
        <f>Ratios!$P$29*P60</f>
        <v>0</v>
      </c>
      <c r="AS60" s="275">
        <f t="shared" si="19"/>
        <v>230.86131258695877</v>
      </c>
      <c r="AT60" s="275">
        <f t="shared" si="17"/>
        <v>669.20557699257654</v>
      </c>
      <c r="AU60" s="275">
        <f t="shared" si="17"/>
        <v>952.66820130820963</v>
      </c>
      <c r="AV60" s="275">
        <f t="shared" si="17"/>
        <v>637.06033093616475</v>
      </c>
      <c r="AW60" s="275">
        <f t="shared" si="17"/>
        <v>341.90852623638199</v>
      </c>
      <c r="AX60" s="275">
        <f t="shared" si="17"/>
        <v>90.591147977161029</v>
      </c>
      <c r="AY60" s="275">
        <f t="shared" si="17"/>
        <v>0</v>
      </c>
      <c r="AZ60" s="275">
        <f t="shared" si="17"/>
        <v>0</v>
      </c>
      <c r="BA60" s="275">
        <f t="shared" si="17"/>
        <v>0</v>
      </c>
      <c r="BB60" s="275">
        <f t="shared" si="17"/>
        <v>0</v>
      </c>
      <c r="BC60" s="275">
        <f t="shared" si="17"/>
        <v>0</v>
      </c>
      <c r="BD60" s="275">
        <f t="shared" si="17"/>
        <v>0</v>
      </c>
      <c r="BE60" s="276"/>
      <c r="BF60" s="557">
        <f>IF($B58=0,1,IF(AND(BF59&gt;0,$B58&lt;='Input 4_RSV Season'!$AG$27-1),BF59+1,0))</f>
        <v>5</v>
      </c>
      <c r="BG60" s="549">
        <f>IF(AND($BF60&gt;0,$BF60&lt;='Input 6_Product Efficacy'!$Q$9/30),SUM($AS58:$BD58),0)</f>
        <v>6340.2460435852608</v>
      </c>
      <c r="BH60" s="554">
        <f>IF(AND($BF60&gt;0,$BF60&gt;'Input 6_Product Efficacy'!$Q$9/30),SUM($AS58:$BD58),0)</f>
        <v>0</v>
      </c>
      <c r="BJ60" s="549">
        <f>IF(AND($BF60&gt;0,$BF60&lt;='Input 6_Product Efficacy'!$Q$12/30),SUM($AS58:$BD58),0)</f>
        <v>6340.2460435852608</v>
      </c>
      <c r="BK60" s="554">
        <f>IF(AND($BF60&gt;0,$BF60&gt;'Input 6_Product Efficacy'!$Q$12/30),SUM($AS58:$BD58),0)</f>
        <v>0</v>
      </c>
      <c r="BL60" s="276"/>
      <c r="BM60" s="276"/>
      <c r="BN60" s="93"/>
      <c r="BO60" s="35">
        <f t="shared" si="20"/>
        <v>1569.8876011021271</v>
      </c>
      <c r="BP60" s="35">
        <f t="shared" si="18"/>
        <v>4550.6868437011026</v>
      </c>
      <c r="BQ60" s="35">
        <f t="shared" si="18"/>
        <v>6478.2703539151071</v>
      </c>
      <c r="BR60" s="35">
        <f t="shared" si="18"/>
        <v>4332.0948992438443</v>
      </c>
      <c r="BS60" s="35">
        <f t="shared" si="18"/>
        <v>2325.0234092272012</v>
      </c>
      <c r="BT60" s="35">
        <f t="shared" si="18"/>
        <v>616.03184347045499</v>
      </c>
      <c r="BU60" s="35">
        <f t="shared" si="18"/>
        <v>0</v>
      </c>
      <c r="BV60" s="35">
        <f t="shared" si="18"/>
        <v>0</v>
      </c>
      <c r="BW60" s="35">
        <f t="shared" si="18"/>
        <v>0</v>
      </c>
      <c r="BX60" s="35">
        <f t="shared" si="18"/>
        <v>0</v>
      </c>
      <c r="BY60" s="35">
        <f t="shared" si="18"/>
        <v>0</v>
      </c>
      <c r="BZ60" s="35">
        <f t="shared" si="18"/>
        <v>0</v>
      </c>
      <c r="CA60" s="244"/>
      <c r="CB60" s="557">
        <f>IF($B58=0,1,IF(AND(CB59&gt;0,$B58&lt;='Input 4_RSV Season'!$AG$27-1),CB59+1,0))</f>
        <v>5</v>
      </c>
      <c r="CC60" s="549">
        <f>IF(AND($CB60&gt;0,$CB60&lt;='Input 6_Product Efficacy'!$Q$12/30),SUM($BO58:$BZ58),0)</f>
        <v>43114.515551461802</v>
      </c>
      <c r="CD60" s="554">
        <f>IF(AND($CB60&gt;0,$CB60&gt;'Input 6_Product Efficacy'!$Q$12/30),SUM($BO58:$BZ58),0)</f>
        <v>0</v>
      </c>
      <c r="CF60" s="565">
        <f>IF(AND($CB60&gt;0,$CB60&gt;'Input 6_Product Efficacy'!$Q$15/30),SUM($BO58:$BZ58),0)</f>
        <v>43114.515551461802</v>
      </c>
    </row>
    <row r="61" spans="2:85" x14ac:dyDescent="0.3">
      <c r="B61" s="26">
        <v>7</v>
      </c>
      <c r="C61" s="293">
        <f>'Input 2_RSV Rates'!G17*'Input 3_Clinical Severity'!$H$11</f>
        <v>51.84</v>
      </c>
      <c r="E61" s="77">
        <f t="shared" si="16"/>
        <v>3.825026268475494E-3</v>
      </c>
      <c r="F61" s="77">
        <f t="shared" si="16"/>
        <v>1.1087734373175798E-2</v>
      </c>
      <c r="G61" s="77">
        <f t="shared" si="16"/>
        <v>1.578428561421533E-2</v>
      </c>
      <c r="H61" s="77">
        <f t="shared" si="16"/>
        <v>1.0555135778831109E-2</v>
      </c>
      <c r="I61" s="77">
        <f t="shared" si="16"/>
        <v>5.6649123216662382E-3</v>
      </c>
      <c r="J61" s="77">
        <f t="shared" si="16"/>
        <v>1.5009596749713963E-3</v>
      </c>
      <c r="K61" s="77">
        <f t="shared" si="16"/>
        <v>0</v>
      </c>
      <c r="L61" s="77">
        <f t="shared" si="16"/>
        <v>0</v>
      </c>
      <c r="M61" s="77">
        <f t="shared" si="16"/>
        <v>0</v>
      </c>
      <c r="N61" s="77">
        <f t="shared" si="16"/>
        <v>0</v>
      </c>
      <c r="O61" s="77">
        <f t="shared" si="16"/>
        <v>0</v>
      </c>
      <c r="P61" s="77">
        <f t="shared" si="16"/>
        <v>0</v>
      </c>
      <c r="Q61" s="13"/>
      <c r="R61" s="13"/>
      <c r="S61" s="852">
        <f>IF('Input 5_Product Uptake'!$M$9=0,E61*Ratios!$N$29,E61*Ratios!$N$29*Ratios!$Z$23)</f>
        <v>180.755934821144</v>
      </c>
      <c r="T61" s="852">
        <f>IF('Input 5_Product Uptake'!$M$9=0,F61*Ratios!$N$29,F61*Ratios!$N$29*Ratios!$Z$23)</f>
        <v>523.96340600053134</v>
      </c>
      <c r="U61" s="852">
        <f>IF('Input 5_Product Uptake'!$M$9=0,G61*Ratios!$N$29,G61*Ratios!$N$29*Ratios!$Z$23)</f>
        <v>745.90423736320179</v>
      </c>
      <c r="V61" s="852">
        <f>IF('Input 5_Product Uptake'!$M$9=0,H61*Ratios!$N$29,H61*Ratios!$N$29*Ratios!$Z$23)</f>
        <v>498.79485811404282</v>
      </c>
      <c r="W61" s="852">
        <f>IF('Input 5_Product Uptake'!$M$9=0,I61*Ratios!$N$29,I61*Ratios!$N$29*Ratios!$Z$23)</f>
        <v>267.70182751992212</v>
      </c>
      <c r="X61" s="852">
        <f>IF('Input 5_Product Uptake'!$M$9=0,J61*Ratios!$N$29,J61*Ratios!$N$29*Ratios!$Z$23)</f>
        <v>70.929544043740037</v>
      </c>
      <c r="Y61" s="852">
        <f>IF('Input 5_Product Uptake'!$M$9=0,K61*Ratios!$N$29,K61*Ratios!$N$29*Ratios!$Z$23)</f>
        <v>0</v>
      </c>
      <c r="Z61" s="852">
        <f>IF('Input 5_Product Uptake'!$M$9=0,L61*Ratios!$N$29,L61*Ratios!$N$29*Ratios!$Z$23)</f>
        <v>0</v>
      </c>
      <c r="AA61" s="852">
        <f>IF('Input 5_Product Uptake'!$M$9=0,M61*Ratios!$N$29,M61*Ratios!$N$29*Ratios!$Z$23)</f>
        <v>0</v>
      </c>
      <c r="AB61" s="852">
        <f>IF('Input 5_Product Uptake'!$M$9=0,N61*Ratios!$N$29,N61*Ratios!$N$29*Ratios!$Z$23)</f>
        <v>0</v>
      </c>
      <c r="AC61" s="852">
        <f>IF('Input 5_Product Uptake'!$M$9=0,O61*Ratios!$N$29,O61*Ratios!$N$29*Ratios!$Z$23)</f>
        <v>0</v>
      </c>
      <c r="AD61" s="852">
        <f>IF('Input 5_Product Uptake'!$M$9=0,P61*Ratios!$N$29,P61*Ratios!$N$29*Ratios!$Z$23)</f>
        <v>0</v>
      </c>
      <c r="AE61" s="297"/>
      <c r="AF61" s="860">
        <f>Ratios!$P$29*E61</f>
        <v>1229.1643745829072</v>
      </c>
      <c r="AG61" s="860">
        <f>Ratios!$P$29*F61</f>
        <v>3563.0207820188061</v>
      </c>
      <c r="AH61" s="860">
        <f>Ratios!$P$29*G61</f>
        <v>5072.2479254940217</v>
      </c>
      <c r="AI61" s="860">
        <f>Ratios!$P$29*H61</f>
        <v>3391.8713121401738</v>
      </c>
      <c r="AJ61" s="860">
        <f>Ratios!$P$29*I61</f>
        <v>1820.4079978000018</v>
      </c>
      <c r="AK61" s="860">
        <f>Ratios!$P$29*J61</f>
        <v>482.33032420341925</v>
      </c>
      <c r="AL61" s="860">
        <f>Ratios!$P$29*K61</f>
        <v>0</v>
      </c>
      <c r="AM61" s="860">
        <f>Ratios!$P$29*L61</f>
        <v>0</v>
      </c>
      <c r="AN61" s="860">
        <f>Ratios!$P$29*M61</f>
        <v>0</v>
      </c>
      <c r="AO61" s="860">
        <f>Ratios!$P$29*N61</f>
        <v>0</v>
      </c>
      <c r="AP61" s="860">
        <f>Ratios!$P$29*O61</f>
        <v>0</v>
      </c>
      <c r="AQ61" s="860">
        <f>Ratios!$P$29*P61</f>
        <v>0</v>
      </c>
      <c r="AS61" s="275">
        <f t="shared" si="19"/>
        <v>180.755934821144</v>
      </c>
      <c r="AT61" s="275">
        <f t="shared" si="17"/>
        <v>523.96340600053134</v>
      </c>
      <c r="AU61" s="275">
        <f t="shared" si="17"/>
        <v>745.90423736320179</v>
      </c>
      <c r="AV61" s="275">
        <f t="shared" si="17"/>
        <v>498.79485811404282</v>
      </c>
      <c r="AW61" s="275">
        <f t="shared" si="17"/>
        <v>267.70182751992212</v>
      </c>
      <c r="AX61" s="275">
        <f t="shared" si="17"/>
        <v>70.929544043740037</v>
      </c>
      <c r="AY61" s="275">
        <f t="shared" si="17"/>
        <v>0</v>
      </c>
      <c r="AZ61" s="275">
        <f t="shared" si="17"/>
        <v>0</v>
      </c>
      <c r="BA61" s="275">
        <f t="shared" si="17"/>
        <v>0</v>
      </c>
      <c r="BB61" s="275">
        <f t="shared" si="17"/>
        <v>0</v>
      </c>
      <c r="BC61" s="275">
        <f t="shared" si="17"/>
        <v>0</v>
      </c>
      <c r="BD61" s="275">
        <f t="shared" si="17"/>
        <v>0</v>
      </c>
      <c r="BE61" s="276"/>
      <c r="BF61" s="557">
        <f>IF($B59=0,1,IF(AND(BF60&gt;0,$B59&lt;='Input 4_RSV Season'!$AG$27-1),BF60+1,0))</f>
        <v>6</v>
      </c>
      <c r="BG61" s="549">
        <f>IF(AND($BF61&gt;0,$BF61&lt;='Input 6_Product Efficacy'!$Q$9/30),SUM($AS59:$BD59),0)</f>
        <v>0</v>
      </c>
      <c r="BH61" s="554">
        <f>IF(AND($BF61&gt;0,$BF61&gt;'Input 6_Product Efficacy'!$Q$9/30),SUM($AS59:$BD59),0)</f>
        <v>6916.8928556941482</v>
      </c>
      <c r="BJ61" s="549">
        <f>IF(AND($BF61&gt;0,$BF61&lt;='Input 6_Product Efficacy'!$Q$12/30),SUM($AS59:$BD59),0)</f>
        <v>0</v>
      </c>
      <c r="BK61" s="554">
        <f>IF(AND($BF61&gt;0,$BF61&gt;'Input 6_Product Efficacy'!$Q$12/30),SUM($AS59:$BD59),0)</f>
        <v>6916.8928556941482</v>
      </c>
      <c r="BL61" s="276"/>
      <c r="BM61" s="276"/>
      <c r="BN61" s="93"/>
      <c r="BO61" s="35">
        <f t="shared" si="20"/>
        <v>1229.1643745829072</v>
      </c>
      <c r="BP61" s="35">
        <f t="shared" si="18"/>
        <v>3563.0207820188061</v>
      </c>
      <c r="BQ61" s="35">
        <f t="shared" si="18"/>
        <v>5072.2479254940217</v>
      </c>
      <c r="BR61" s="35">
        <f t="shared" si="18"/>
        <v>3391.8713121401738</v>
      </c>
      <c r="BS61" s="35">
        <f t="shared" si="18"/>
        <v>1820.4079978000018</v>
      </c>
      <c r="BT61" s="35">
        <f t="shared" si="18"/>
        <v>482.33032420341925</v>
      </c>
      <c r="BU61" s="35">
        <f t="shared" si="18"/>
        <v>0</v>
      </c>
      <c r="BV61" s="35">
        <f t="shared" si="18"/>
        <v>0</v>
      </c>
      <c r="BW61" s="35">
        <f t="shared" si="18"/>
        <v>0</v>
      </c>
      <c r="BX61" s="35">
        <f t="shared" si="18"/>
        <v>0</v>
      </c>
      <c r="BY61" s="35">
        <f t="shared" si="18"/>
        <v>0</v>
      </c>
      <c r="BZ61" s="35">
        <f t="shared" si="18"/>
        <v>0</v>
      </c>
      <c r="CA61" s="244"/>
      <c r="CB61" s="557">
        <f>IF($B59=0,1,IF(AND(CB60&gt;0,$B59&lt;='Input 4_RSV Season'!$AG$27-1),CB60+1,0))</f>
        <v>6</v>
      </c>
      <c r="CC61" s="549">
        <f>IF(AND($CB61&gt;0,$CB61&lt;='Input 6_Product Efficacy'!$Q$12/30),SUM($BO59:$BZ59),0)</f>
        <v>0</v>
      </c>
      <c r="CD61" s="554">
        <f>IF(AND($CB61&gt;0,$CB61&gt;'Input 6_Product Efficacy'!$Q$12/30),SUM($BO59:$BZ59),0)</f>
        <v>47035.790495282541</v>
      </c>
      <c r="CF61" s="565">
        <f>IF(AND($CB61&gt;0,$CB61&gt;'Input 6_Product Efficacy'!$Q$15/30),SUM($BO59:$BZ59),0)</f>
        <v>47035.790495282541</v>
      </c>
    </row>
    <row r="62" spans="2:85" x14ac:dyDescent="0.3">
      <c r="B62" s="26">
        <v>8</v>
      </c>
      <c r="C62" s="293">
        <f>'Input 2_RSV Rates'!G18*'Input 3_Clinical Severity'!$H$11</f>
        <v>69.509999999999991</v>
      </c>
      <c r="E62" s="77">
        <f t="shared" si="16"/>
        <v>5.1288112639222908E-3</v>
      </c>
      <c r="F62" s="77">
        <f t="shared" si="16"/>
        <v>1.4867060499217778E-2</v>
      </c>
      <c r="G62" s="77">
        <f t="shared" si="16"/>
        <v>2.1164461671375527E-2</v>
      </c>
      <c r="H62" s="77">
        <f t="shared" si="16"/>
        <v>1.4152922221962776E-2</v>
      </c>
      <c r="I62" s="77">
        <f t="shared" si="16"/>
        <v>7.5958344035304808E-3</v>
      </c>
      <c r="J62" s="77">
        <f t="shared" si="16"/>
        <v>2.012571508627734E-3</v>
      </c>
      <c r="K62" s="77">
        <f t="shared" si="16"/>
        <v>0</v>
      </c>
      <c r="L62" s="77">
        <f t="shared" si="16"/>
        <v>0</v>
      </c>
      <c r="M62" s="77">
        <f t="shared" si="16"/>
        <v>0</v>
      </c>
      <c r="N62" s="77">
        <f t="shared" si="16"/>
        <v>0</v>
      </c>
      <c r="O62" s="77">
        <f t="shared" si="16"/>
        <v>0</v>
      </c>
      <c r="P62" s="77">
        <f t="shared" si="16"/>
        <v>0</v>
      </c>
      <c r="Q62" s="13"/>
      <c r="R62" s="13"/>
      <c r="S62" s="852">
        <f>IF('Input 5_Product Uptake'!$M$9=0,E62*Ratios!$N$29,E62*Ratios!$N$29*Ratios!$Z$23)</f>
        <v>242.3677667711751</v>
      </c>
      <c r="T62" s="852">
        <f>IF('Input 5_Product Uptake'!$M$9=0,F62*Ratios!$N$29,F62*Ratios!$N$29*Ratios!$Z$23)</f>
        <v>702.55972899492519</v>
      </c>
      <c r="U62" s="852">
        <f>IF('Input 5_Product Uptake'!$M$9=0,G62*Ratios!$N$29,G62*Ratios!$N$29*Ratios!$Z$23)</f>
        <v>1000.1505312329504</v>
      </c>
      <c r="V62" s="852">
        <f>IF('Input 5_Product Uptake'!$M$9=0,H62*Ratios!$N$29,H62*Ratios!$N$29*Ratios!$Z$23)</f>
        <v>668.81231843185014</v>
      </c>
      <c r="W62" s="852">
        <f>IF('Input 5_Product Uptake'!$M$9=0,I62*Ratios!$N$29,I62*Ratios!$N$29*Ratios!$Z$23)</f>
        <v>358.94973053452514</v>
      </c>
      <c r="X62" s="852">
        <f>IF('Input 5_Product Uptake'!$M$9=0,J62*Ratios!$N$29,J62*Ratios!$N$29*Ratios!$Z$23)</f>
        <v>95.106338859575018</v>
      </c>
      <c r="Y62" s="852">
        <f>IF('Input 5_Product Uptake'!$M$9=0,K62*Ratios!$N$29,K62*Ratios!$N$29*Ratios!$Z$23)</f>
        <v>0</v>
      </c>
      <c r="Z62" s="852">
        <f>IF('Input 5_Product Uptake'!$M$9=0,L62*Ratios!$N$29,L62*Ratios!$N$29*Ratios!$Z$23)</f>
        <v>0</v>
      </c>
      <c r="AA62" s="852">
        <f>IF('Input 5_Product Uptake'!$M$9=0,M62*Ratios!$N$29,M62*Ratios!$N$29*Ratios!$Z$23)</f>
        <v>0</v>
      </c>
      <c r="AB62" s="852">
        <f>IF('Input 5_Product Uptake'!$M$9=0,N62*Ratios!$N$29,N62*Ratios!$N$29*Ratios!$Z$23)</f>
        <v>0</v>
      </c>
      <c r="AC62" s="852">
        <f>IF('Input 5_Product Uptake'!$M$9=0,O62*Ratios!$N$29,O62*Ratios!$N$29*Ratios!$Z$23)</f>
        <v>0</v>
      </c>
      <c r="AD62" s="852">
        <f>IF('Input 5_Product Uptake'!$M$9=0,P62*Ratios!$N$29,P62*Ratios!$N$29*Ratios!$Z$23)</f>
        <v>0</v>
      </c>
      <c r="AE62" s="297"/>
      <c r="AF62" s="860">
        <f>Ratios!$P$29*E62</f>
        <v>1648.1330184656224</v>
      </c>
      <c r="AG62" s="860">
        <f>Ratios!$P$29*F62</f>
        <v>4777.4995092231329</v>
      </c>
      <c r="AH62" s="860">
        <f>Ratios!$P$29*G62</f>
        <v>6801.1565065796567</v>
      </c>
      <c r="AI62" s="860">
        <f>Ratios!$P$29*H62</f>
        <v>4548.0126332342488</v>
      </c>
      <c r="AJ62" s="860">
        <f>Ratios!$P$29*I62</f>
        <v>2440.9058627908585</v>
      </c>
      <c r="AK62" s="860">
        <f>Ratios!$P$29*J62</f>
        <v>646.73574142321877</v>
      </c>
      <c r="AL62" s="860">
        <f>Ratios!$P$29*K62</f>
        <v>0</v>
      </c>
      <c r="AM62" s="860">
        <f>Ratios!$P$29*L62</f>
        <v>0</v>
      </c>
      <c r="AN62" s="860">
        <f>Ratios!$P$29*M62</f>
        <v>0</v>
      </c>
      <c r="AO62" s="860">
        <f>Ratios!$P$29*N62</f>
        <v>0</v>
      </c>
      <c r="AP62" s="860">
        <f>Ratios!$P$29*O62</f>
        <v>0</v>
      </c>
      <c r="AQ62" s="860">
        <f>Ratios!$P$29*P62</f>
        <v>0</v>
      </c>
      <c r="AS62" s="275">
        <f t="shared" si="19"/>
        <v>242.3677667711751</v>
      </c>
      <c r="AT62" s="275">
        <f t="shared" si="17"/>
        <v>702.55972899492519</v>
      </c>
      <c r="AU62" s="275">
        <f t="shared" si="17"/>
        <v>1000.1505312329504</v>
      </c>
      <c r="AV62" s="275">
        <f t="shared" si="17"/>
        <v>668.81231843185014</v>
      </c>
      <c r="AW62" s="275">
        <f t="shared" si="17"/>
        <v>358.94973053452514</v>
      </c>
      <c r="AX62" s="275">
        <f t="shared" si="17"/>
        <v>95.106338859575018</v>
      </c>
      <c r="AY62" s="275">
        <f t="shared" si="17"/>
        <v>0</v>
      </c>
      <c r="AZ62" s="275">
        <f t="shared" si="17"/>
        <v>0</v>
      </c>
      <c r="BA62" s="275">
        <f t="shared" si="17"/>
        <v>0</v>
      </c>
      <c r="BB62" s="275">
        <f t="shared" si="17"/>
        <v>0</v>
      </c>
      <c r="BC62" s="275">
        <f t="shared" si="17"/>
        <v>0</v>
      </c>
      <c r="BD62" s="275">
        <f t="shared" si="17"/>
        <v>0</v>
      </c>
      <c r="BE62" s="276"/>
      <c r="BF62" s="557">
        <f>IF($B60=0,1,IF(AND(BF61&gt;0,$B60&lt;='Input 4_RSV Season'!$AG$27-1),BF61+1,0))</f>
        <v>0</v>
      </c>
      <c r="BG62" s="549">
        <f>IF(AND($BF62&gt;0,$BF62&lt;='Input 6_Product Efficacy'!$Q$9/30),SUM($AS60:$BD60),0)</f>
        <v>0</v>
      </c>
      <c r="BH62" s="554">
        <f>IF(AND($BF62&gt;0,$BF62&gt;'Input 6_Product Efficacy'!$Q$9/30),SUM($AS60:$BD60),0)</f>
        <v>0</v>
      </c>
      <c r="BJ62" s="549">
        <f>IF(AND($BF62&gt;0,$BF62&lt;='Input 6_Product Efficacy'!$Q$12/30),SUM($AS60:$BD60),0)</f>
        <v>0</v>
      </c>
      <c r="BK62" s="554">
        <f>IF(AND($BF62&gt;0,$BF62&gt;'Input 6_Product Efficacy'!$Q$12/30),SUM($AS60:$BD60),0)</f>
        <v>0</v>
      </c>
      <c r="BL62" s="276"/>
      <c r="BM62" s="276"/>
      <c r="BN62" s="93"/>
      <c r="BO62" s="35">
        <f t="shared" si="20"/>
        <v>1648.1330184656224</v>
      </c>
      <c r="BP62" s="35">
        <f t="shared" si="18"/>
        <v>4777.4995092231329</v>
      </c>
      <c r="BQ62" s="35">
        <f t="shared" si="18"/>
        <v>6801.1565065796567</v>
      </c>
      <c r="BR62" s="35">
        <f t="shared" si="18"/>
        <v>4548.0126332342488</v>
      </c>
      <c r="BS62" s="35">
        <f t="shared" si="18"/>
        <v>2440.9058627908585</v>
      </c>
      <c r="BT62" s="35">
        <f t="shared" si="18"/>
        <v>646.73574142321877</v>
      </c>
      <c r="BU62" s="35">
        <f t="shared" si="18"/>
        <v>0</v>
      </c>
      <c r="BV62" s="35">
        <f t="shared" si="18"/>
        <v>0</v>
      </c>
      <c r="BW62" s="35">
        <f t="shared" si="18"/>
        <v>0</v>
      </c>
      <c r="BX62" s="35">
        <f t="shared" si="18"/>
        <v>0</v>
      </c>
      <c r="BY62" s="35">
        <f t="shared" si="18"/>
        <v>0</v>
      </c>
      <c r="BZ62" s="35">
        <f t="shared" si="18"/>
        <v>0</v>
      </c>
      <c r="CA62" s="244"/>
      <c r="CB62" s="557">
        <f>IF($B60=0,1,IF(AND(CB61&gt;0,$B60&lt;='Input 4_RSV Season'!$AG$27-1),CB61+1,0))</f>
        <v>0</v>
      </c>
      <c r="CC62" s="549">
        <f>IF(AND($CB62&gt;0,$CB62&lt;='Input 6_Product Efficacy'!$Q$12/30),SUM($BO60:$BZ60),0)</f>
        <v>0</v>
      </c>
      <c r="CD62" s="554">
        <f>IF(AND($CB62&gt;0,$CB62&gt;'Input 6_Product Efficacy'!$Q$12/30),SUM($BO60:$BZ60),0)</f>
        <v>0</v>
      </c>
      <c r="CF62" s="565">
        <f>IF(AND($CB62&gt;0,$CB62&gt;'Input 6_Product Efficacy'!$Q$15/30),SUM($BO60:$BZ60),0)</f>
        <v>0</v>
      </c>
    </row>
    <row r="63" spans="2:85" x14ac:dyDescent="0.3">
      <c r="B63" s="26">
        <v>9</v>
      </c>
      <c r="C63" s="293">
        <f>'Input 2_RSV Rates'!G19*'Input 3_Clinical Severity'!$H$11</f>
        <v>56.82</v>
      </c>
      <c r="E63" s="77">
        <f t="shared" si="16"/>
        <v>4.1924767086183945E-3</v>
      </c>
      <c r="F63" s="77">
        <f t="shared" si="16"/>
        <v>1.2152875522450788E-2</v>
      </c>
      <c r="G63" s="77">
        <f t="shared" si="16"/>
        <v>1.7300600088729072E-2</v>
      </c>
      <c r="H63" s="77">
        <f t="shared" si="16"/>
        <v>1.1569112942769747E-2</v>
      </c>
      <c r="I63" s="77">
        <f t="shared" si="16"/>
        <v>6.2091110747892683E-3</v>
      </c>
      <c r="J63" s="77">
        <f t="shared" si="16"/>
        <v>1.6451490881920282E-3</v>
      </c>
      <c r="K63" s="77">
        <f t="shared" si="16"/>
        <v>0</v>
      </c>
      <c r="L63" s="77">
        <f t="shared" si="16"/>
        <v>0</v>
      </c>
      <c r="M63" s="77">
        <f t="shared" si="16"/>
        <v>0</v>
      </c>
      <c r="N63" s="77">
        <f t="shared" si="16"/>
        <v>0</v>
      </c>
      <c r="O63" s="77">
        <f t="shared" si="16"/>
        <v>0</v>
      </c>
      <c r="P63" s="77">
        <f t="shared" si="16"/>
        <v>0</v>
      </c>
      <c r="Q63" s="13"/>
      <c r="R63" s="13"/>
      <c r="S63" s="852">
        <f>IF('Input 5_Product Uptake'!$M$9=0,E63*Ratios!$N$29,E63*Ratios!$N$29*Ratios!$Z$23)</f>
        <v>198.12022022641591</v>
      </c>
      <c r="T63" s="852">
        <f>IF('Input 5_Product Uptake'!$M$9=0,F63*Ratios!$N$29,F63*Ratios!$N$29*Ratios!$Z$23)</f>
        <v>574.29785356771197</v>
      </c>
      <c r="U63" s="852">
        <f>IF('Input 5_Product Uptake'!$M$9=0,G63*Ratios!$N$29,G63*Ratios!$N$29*Ratios!$Z$23)</f>
        <v>817.55938979508346</v>
      </c>
      <c r="V63" s="852">
        <f>IF('Input 5_Product Uptake'!$M$9=0,H63*Ratios!$N$29,H63*Ratios!$N$29*Ratios!$Z$23)</f>
        <v>546.71149378935024</v>
      </c>
      <c r="W63" s="852">
        <f>IF('Input 5_Product Uptake'!$M$9=0,I63*Ratios!$N$29,I63*Ratios!$N$29*Ratios!$Z$23)</f>
        <v>293.41855400621097</v>
      </c>
      <c r="X63" s="852">
        <f>IF('Input 5_Product Uptake'!$M$9=0,J63*Ratios!$N$29,J63*Ratios!$N$29*Ratios!$Z$23)</f>
        <v>77.743377557201185</v>
      </c>
      <c r="Y63" s="852">
        <f>IF('Input 5_Product Uptake'!$M$9=0,K63*Ratios!$N$29,K63*Ratios!$N$29*Ratios!$Z$23)</f>
        <v>0</v>
      </c>
      <c r="Z63" s="852">
        <f>IF('Input 5_Product Uptake'!$M$9=0,L63*Ratios!$N$29,L63*Ratios!$N$29*Ratios!$Z$23)</f>
        <v>0</v>
      </c>
      <c r="AA63" s="852">
        <f>IF('Input 5_Product Uptake'!$M$9=0,M63*Ratios!$N$29,M63*Ratios!$N$29*Ratios!$Z$23)</f>
        <v>0</v>
      </c>
      <c r="AB63" s="852">
        <f>IF('Input 5_Product Uptake'!$M$9=0,N63*Ratios!$N$29,N63*Ratios!$N$29*Ratios!$Z$23)</f>
        <v>0</v>
      </c>
      <c r="AC63" s="852">
        <f>IF('Input 5_Product Uptake'!$M$9=0,O63*Ratios!$N$29,O63*Ratios!$N$29*Ratios!$Z$23)</f>
        <v>0</v>
      </c>
      <c r="AD63" s="852">
        <f>IF('Input 5_Product Uptake'!$M$9=0,P63*Ratios!$N$29,P63*Ratios!$N$29*Ratios!$Z$23)</f>
        <v>0</v>
      </c>
      <c r="AE63" s="297"/>
      <c r="AF63" s="860">
        <f>Ratios!$P$29*E63</f>
        <v>1347.2438226041818</v>
      </c>
      <c r="AG63" s="860">
        <f>Ratios!$P$29*F63</f>
        <v>3905.3017136247799</v>
      </c>
      <c r="AH63" s="860">
        <f>Ratios!$P$29*G63</f>
        <v>5559.512483151434</v>
      </c>
      <c r="AI63" s="860">
        <f>Ratios!$P$29*H63</f>
        <v>3717.710801616603</v>
      </c>
      <c r="AJ63" s="860">
        <f>Ratios!$P$29*I63</f>
        <v>1995.2851549960669</v>
      </c>
      <c r="AK63" s="860">
        <f>Ratios!$P$29*J63</f>
        <v>528.66529747759034</v>
      </c>
      <c r="AL63" s="860">
        <f>Ratios!$P$29*K63</f>
        <v>0</v>
      </c>
      <c r="AM63" s="860">
        <f>Ratios!$P$29*L63</f>
        <v>0</v>
      </c>
      <c r="AN63" s="860">
        <f>Ratios!$P$29*M63</f>
        <v>0</v>
      </c>
      <c r="AO63" s="860">
        <f>Ratios!$P$29*N63</f>
        <v>0</v>
      </c>
      <c r="AP63" s="860">
        <f>Ratios!$P$29*O63</f>
        <v>0</v>
      </c>
      <c r="AQ63" s="860">
        <f>Ratios!$P$29*P63</f>
        <v>0</v>
      </c>
      <c r="AS63" s="275">
        <f t="shared" si="19"/>
        <v>198.12022022641591</v>
      </c>
      <c r="AT63" s="275">
        <f t="shared" si="17"/>
        <v>574.29785356771197</v>
      </c>
      <c r="AU63" s="275">
        <f t="shared" si="17"/>
        <v>817.55938979508346</v>
      </c>
      <c r="AV63" s="275">
        <f t="shared" si="17"/>
        <v>546.71149378935024</v>
      </c>
      <c r="AW63" s="275">
        <f t="shared" si="17"/>
        <v>293.41855400621097</v>
      </c>
      <c r="AX63" s="275">
        <f t="shared" si="17"/>
        <v>77.743377557201185</v>
      </c>
      <c r="AY63" s="275">
        <f t="shared" si="17"/>
        <v>0</v>
      </c>
      <c r="AZ63" s="275">
        <f t="shared" si="17"/>
        <v>0</v>
      </c>
      <c r="BA63" s="275">
        <f t="shared" si="17"/>
        <v>0</v>
      </c>
      <c r="BB63" s="275">
        <f t="shared" si="17"/>
        <v>0</v>
      </c>
      <c r="BC63" s="275">
        <f t="shared" si="17"/>
        <v>0</v>
      </c>
      <c r="BD63" s="275">
        <f t="shared" si="17"/>
        <v>0</v>
      </c>
      <c r="BE63" s="276"/>
      <c r="BF63" s="557">
        <f>IF($B61=0,1,IF(AND(BF62&gt;0,$B61&lt;='Input 4_RSV Season'!$AG$27-1),BF62+1,0))</f>
        <v>0</v>
      </c>
      <c r="BG63" s="549">
        <f>IF(AND($BF63&gt;0,$BF63&lt;='Input 6_Product Efficacy'!$Q$9/30),SUM($AS61:$BD61),0)</f>
        <v>0</v>
      </c>
      <c r="BH63" s="554">
        <f>IF(AND($BF63&gt;0,$BF63&gt;'Input 6_Product Efficacy'!$Q$9/30),SUM($AS61:$BD61),0)</f>
        <v>0</v>
      </c>
      <c r="BJ63" s="549">
        <f>IF(AND($BF63&gt;0,$BF63&lt;='Input 6_Product Efficacy'!$Q$12/30),SUM($AS61:$BD61),0)</f>
        <v>0</v>
      </c>
      <c r="BK63" s="554">
        <f>IF(AND($BF63&gt;0,$BF63&gt;'Input 6_Product Efficacy'!$Q$12/30),SUM($AS61:$BD61),0)</f>
        <v>0</v>
      </c>
      <c r="BL63" s="276"/>
      <c r="BM63" s="276"/>
      <c r="BN63" s="93"/>
      <c r="BO63" s="35">
        <f t="shared" si="20"/>
        <v>1347.2438226041818</v>
      </c>
      <c r="BP63" s="35">
        <f t="shared" si="18"/>
        <v>3905.3017136247799</v>
      </c>
      <c r="BQ63" s="35">
        <f t="shared" si="18"/>
        <v>5559.512483151434</v>
      </c>
      <c r="BR63" s="35">
        <f t="shared" si="18"/>
        <v>3717.710801616603</v>
      </c>
      <c r="BS63" s="35">
        <f t="shared" si="18"/>
        <v>1995.2851549960669</v>
      </c>
      <c r="BT63" s="35">
        <f t="shared" si="18"/>
        <v>528.66529747759034</v>
      </c>
      <c r="BU63" s="35">
        <f t="shared" si="18"/>
        <v>0</v>
      </c>
      <c r="BV63" s="35">
        <f t="shared" si="18"/>
        <v>0</v>
      </c>
      <c r="BW63" s="35">
        <f t="shared" si="18"/>
        <v>0</v>
      </c>
      <c r="BX63" s="35">
        <f t="shared" si="18"/>
        <v>0</v>
      </c>
      <c r="BY63" s="35">
        <f t="shared" si="18"/>
        <v>0</v>
      </c>
      <c r="BZ63" s="35">
        <f t="shared" si="18"/>
        <v>0</v>
      </c>
      <c r="CA63" s="244"/>
      <c r="CB63" s="557">
        <f>IF($B61=0,1,IF(AND(CB62&gt;0,$B61&lt;='Input 4_RSV Season'!$AG$27-1),CB62+1,0))</f>
        <v>0</v>
      </c>
      <c r="CC63" s="549">
        <f>IF(AND($CB63&gt;0,$CB63&lt;='Input 6_Product Efficacy'!$Q$12/30),SUM($BO61:$BZ61),0)</f>
        <v>0</v>
      </c>
      <c r="CD63" s="554">
        <f>IF(AND($CB63&gt;0,$CB63&gt;'Input 6_Product Efficacy'!$Q$12/30),SUM($BO61:$BZ61),0)</f>
        <v>0</v>
      </c>
      <c r="CF63" s="565">
        <f>IF(AND($CB63&gt;0,$CB63&gt;'Input 6_Product Efficacy'!$Q$15/30),SUM($BO61:$BZ61),0)</f>
        <v>0</v>
      </c>
    </row>
    <row r="64" spans="2:85" x14ac:dyDescent="0.3">
      <c r="B64" s="26">
        <v>10</v>
      </c>
      <c r="C64" s="293">
        <f>'Input 2_RSV Rates'!G20*'Input 3_Clinical Severity'!$H$11</f>
        <v>60.449999999999996</v>
      </c>
      <c r="E64" s="77">
        <f t="shared" si="16"/>
        <v>4.4603170896864112E-3</v>
      </c>
      <c r="F64" s="77">
        <f t="shared" si="16"/>
        <v>1.2929273589090989E-2</v>
      </c>
      <c r="G64" s="77">
        <f t="shared" si="16"/>
        <v>1.8405865458705952E-2</v>
      </c>
      <c r="H64" s="77">
        <f t="shared" si="16"/>
        <v>1.2308216779134655E-2</v>
      </c>
      <c r="I64" s="77">
        <f t="shared" si="16"/>
        <v>6.6057860695355715E-3</v>
      </c>
      <c r="J64" s="77">
        <f t="shared" si="16"/>
        <v>1.7502510098769462E-3</v>
      </c>
      <c r="K64" s="77">
        <f t="shared" si="16"/>
        <v>0</v>
      </c>
      <c r="L64" s="77">
        <f t="shared" si="16"/>
        <v>0</v>
      </c>
      <c r="M64" s="77">
        <f t="shared" si="16"/>
        <v>0</v>
      </c>
      <c r="N64" s="77">
        <f t="shared" si="16"/>
        <v>0</v>
      </c>
      <c r="O64" s="77">
        <f t="shared" si="16"/>
        <v>0</v>
      </c>
      <c r="P64" s="77">
        <f t="shared" si="16"/>
        <v>0</v>
      </c>
      <c r="Q64" s="13"/>
      <c r="R64" s="13"/>
      <c r="S64" s="852">
        <f>IF('Input 5_Product Uptake'!$M$9=0,E64*Ratios!$N$29,E64*Ratios!$N$29*Ratios!$Z$23)</f>
        <v>210.77731982905385</v>
      </c>
      <c r="T64" s="852">
        <f>IF('Input 5_Product Uptake'!$M$9=0,F64*Ratios!$N$29,F64*Ratios!$N$29*Ratios!$Z$23)</f>
        <v>610.98742077029533</v>
      </c>
      <c r="U64" s="852">
        <f>IF('Input 5_Product Uptake'!$M$9=0,G64*Ratios!$N$29,G64*Ratios!$N$29*Ratios!$Z$23)</f>
        <v>869.78995271229826</v>
      </c>
      <c r="V64" s="852">
        <f>IF('Input 5_Product Uptake'!$M$9=0,H64*Ratios!$N$29,H64*Ratios!$N$29*Ratios!$Z$23)</f>
        <v>581.63868003460436</v>
      </c>
      <c r="W64" s="852">
        <f>IF('Input 5_Product Uptake'!$M$9=0,I64*Ratios!$N$29,I64*Ratios!$N$29*Ratios!$Z$23)</f>
        <v>312.16387873416841</v>
      </c>
      <c r="X64" s="852">
        <f>IF('Input 5_Product Uptake'!$M$9=0,J64*Ratios!$N$29,J64*Ratios!$N$29*Ratios!$Z$23)</f>
        <v>82.710087527856587</v>
      </c>
      <c r="Y64" s="852">
        <f>IF('Input 5_Product Uptake'!$M$9=0,K64*Ratios!$N$29,K64*Ratios!$N$29*Ratios!$Z$23)</f>
        <v>0</v>
      </c>
      <c r="Z64" s="852">
        <f>IF('Input 5_Product Uptake'!$M$9=0,L64*Ratios!$N$29,L64*Ratios!$N$29*Ratios!$Z$23)</f>
        <v>0</v>
      </c>
      <c r="AA64" s="852">
        <f>IF('Input 5_Product Uptake'!$M$9=0,M64*Ratios!$N$29,M64*Ratios!$N$29*Ratios!$Z$23)</f>
        <v>0</v>
      </c>
      <c r="AB64" s="852">
        <f>IF('Input 5_Product Uptake'!$M$9=0,N64*Ratios!$N$29,N64*Ratios!$N$29*Ratios!$Z$23)</f>
        <v>0</v>
      </c>
      <c r="AC64" s="852">
        <f>IF('Input 5_Product Uptake'!$M$9=0,O64*Ratios!$N$29,O64*Ratios!$N$29*Ratios!$Z$23)</f>
        <v>0</v>
      </c>
      <c r="AD64" s="852">
        <f>IF('Input 5_Product Uptake'!$M$9=0,P64*Ratios!$N$29,P64*Ratios!$N$29*Ratios!$Z$23)</f>
        <v>0</v>
      </c>
      <c r="AE64" s="297"/>
      <c r="AF64" s="860">
        <f>Ratios!$P$29*E64</f>
        <v>1433.3137817040263</v>
      </c>
      <c r="AG64" s="860">
        <f>Ratios!$P$29*F64</f>
        <v>4154.7956456990123</v>
      </c>
      <c r="AH64" s="860">
        <f>Ratios!$P$29*G64</f>
        <v>5914.6872510824378</v>
      </c>
      <c r="AI64" s="860">
        <f>Ratios!$P$29*H64</f>
        <v>3955.2203090060475</v>
      </c>
      <c r="AJ64" s="860">
        <f>Ratios!$P$29*I64</f>
        <v>2122.7558539160896</v>
      </c>
      <c r="AK64" s="860">
        <f>Ratios!$P$29*J64</f>
        <v>562.43958522563059</v>
      </c>
      <c r="AL64" s="860">
        <f>Ratios!$P$29*K64</f>
        <v>0</v>
      </c>
      <c r="AM64" s="860">
        <f>Ratios!$P$29*L64</f>
        <v>0</v>
      </c>
      <c r="AN64" s="860">
        <f>Ratios!$P$29*M64</f>
        <v>0</v>
      </c>
      <c r="AO64" s="860">
        <f>Ratios!$P$29*N64</f>
        <v>0</v>
      </c>
      <c r="AP64" s="860">
        <f>Ratios!$P$29*O64</f>
        <v>0</v>
      </c>
      <c r="AQ64" s="860">
        <f>Ratios!$P$29*P64</f>
        <v>0</v>
      </c>
      <c r="AS64" s="275">
        <f t="shared" si="19"/>
        <v>210.77731982905385</v>
      </c>
      <c r="AT64" s="275">
        <f t="shared" si="17"/>
        <v>610.98742077029533</v>
      </c>
      <c r="AU64" s="275">
        <f t="shared" si="17"/>
        <v>869.78995271229826</v>
      </c>
      <c r="AV64" s="275">
        <f t="shared" si="17"/>
        <v>581.63868003460436</v>
      </c>
      <c r="AW64" s="275">
        <f t="shared" si="17"/>
        <v>312.16387873416841</v>
      </c>
      <c r="AX64" s="275">
        <f t="shared" si="17"/>
        <v>82.710087527856587</v>
      </c>
      <c r="AY64" s="275">
        <f t="shared" si="17"/>
        <v>0</v>
      </c>
      <c r="AZ64" s="275">
        <f t="shared" si="17"/>
        <v>0</v>
      </c>
      <c r="BA64" s="275">
        <f t="shared" si="17"/>
        <v>0</v>
      </c>
      <c r="BB64" s="275">
        <f t="shared" si="17"/>
        <v>0</v>
      </c>
      <c r="BC64" s="275">
        <f t="shared" si="17"/>
        <v>0</v>
      </c>
      <c r="BD64" s="275">
        <f t="shared" si="17"/>
        <v>0</v>
      </c>
      <c r="BE64" s="276"/>
      <c r="BF64" s="557">
        <f>IF($B62=0,1,IF(AND(BF63&gt;0,$B62&lt;='Input 4_RSV Season'!$AG$27-1),BF63+1,0))</f>
        <v>0</v>
      </c>
      <c r="BG64" s="549">
        <f>IF(AND($BF64&gt;0,$BF64&lt;='Input 6_Product Efficacy'!$Q$9/30),SUM($AS62:$BD62),0)</f>
        <v>0</v>
      </c>
      <c r="BH64" s="554">
        <f>IF(AND($BF64&gt;0,$BF64&gt;'Input 6_Product Efficacy'!$Q$9/30),SUM($AS62:$BD62),0)</f>
        <v>0</v>
      </c>
      <c r="BJ64" s="549">
        <f>IF(AND($BF64&gt;0,$BF64&lt;='Input 6_Product Efficacy'!$Q$12/30),SUM($AS62:$BD62),0)</f>
        <v>0</v>
      </c>
      <c r="BK64" s="554">
        <f>IF(AND($BF64&gt;0,$BF64&gt;'Input 6_Product Efficacy'!$Q$12/30),SUM($AS62:$BD62),0)</f>
        <v>0</v>
      </c>
      <c r="BL64" s="276"/>
      <c r="BM64" s="276"/>
      <c r="BN64" s="93"/>
      <c r="BO64" s="35">
        <f t="shared" si="20"/>
        <v>1433.3137817040263</v>
      </c>
      <c r="BP64" s="35">
        <f t="shared" si="18"/>
        <v>4154.7956456990123</v>
      </c>
      <c r="BQ64" s="35">
        <f t="shared" si="18"/>
        <v>5914.6872510824378</v>
      </c>
      <c r="BR64" s="35">
        <f t="shared" si="18"/>
        <v>3955.2203090060475</v>
      </c>
      <c r="BS64" s="35">
        <f t="shared" si="18"/>
        <v>2122.7558539160896</v>
      </c>
      <c r="BT64" s="35">
        <f t="shared" si="18"/>
        <v>562.43958522563059</v>
      </c>
      <c r="BU64" s="35">
        <f t="shared" si="18"/>
        <v>0</v>
      </c>
      <c r="BV64" s="35">
        <f t="shared" si="18"/>
        <v>0</v>
      </c>
      <c r="BW64" s="35">
        <f t="shared" si="18"/>
        <v>0</v>
      </c>
      <c r="BX64" s="35">
        <f t="shared" si="18"/>
        <v>0</v>
      </c>
      <c r="BY64" s="35">
        <f t="shared" si="18"/>
        <v>0</v>
      </c>
      <c r="BZ64" s="35">
        <f t="shared" si="18"/>
        <v>0</v>
      </c>
      <c r="CA64" s="244"/>
      <c r="CB64" s="557">
        <f>IF($B62=0,1,IF(AND(CB63&gt;0,$B62&lt;='Input 4_RSV Season'!$AG$27-1),CB63+1,0))</f>
        <v>0</v>
      </c>
      <c r="CC64" s="549">
        <f>IF(AND($CB64&gt;0,$CB64&lt;='Input 6_Product Efficacy'!$Q$12/30),SUM($BO62:$BZ62),0)</f>
        <v>0</v>
      </c>
      <c r="CD64" s="554">
        <f>IF(AND($CB64&gt;0,$CB64&gt;'Input 6_Product Efficacy'!$Q$12/30),SUM($BO62:$BZ62),0)</f>
        <v>0</v>
      </c>
      <c r="CF64" s="565">
        <f>IF(AND($CB64&gt;0,$CB64&gt;'Input 6_Product Efficacy'!$Q$15/30),SUM($BO62:$BZ62),0)</f>
        <v>0</v>
      </c>
    </row>
    <row r="65" spans="2:85" x14ac:dyDescent="0.3">
      <c r="B65" s="26">
        <v>11</v>
      </c>
      <c r="C65" s="293">
        <f>'Input 2_RSV Rates'!G21*'Input 3_Clinical Severity'!$H$11</f>
        <v>64.559999999999988</v>
      </c>
      <c r="E65" s="77">
        <f t="shared" si="16"/>
        <v>4.7635743806477204E-3</v>
      </c>
      <c r="F65" s="77">
        <f t="shared" si="16"/>
        <v>1.3808335862890226E-2</v>
      </c>
      <c r="G65" s="77">
        <f t="shared" si="16"/>
        <v>1.9657281621407049E-2</v>
      </c>
      <c r="H65" s="77">
        <f t="shared" si="16"/>
        <v>1.3145053354192443E-2</v>
      </c>
      <c r="I65" s="77">
        <f t="shared" si="16"/>
        <v>7.0549139561491558E-3</v>
      </c>
      <c r="J65" s="77">
        <f t="shared" si="16"/>
        <v>1.8692507063301181E-3</v>
      </c>
      <c r="K65" s="77">
        <f t="shared" si="16"/>
        <v>0</v>
      </c>
      <c r="L65" s="77">
        <f t="shared" si="16"/>
        <v>0</v>
      </c>
      <c r="M65" s="77">
        <f t="shared" si="16"/>
        <v>0</v>
      </c>
      <c r="N65" s="77">
        <f t="shared" si="16"/>
        <v>0</v>
      </c>
      <c r="O65" s="77">
        <f t="shared" si="16"/>
        <v>0</v>
      </c>
      <c r="P65" s="77">
        <f t="shared" si="16"/>
        <v>0</v>
      </c>
      <c r="Q65" s="13"/>
      <c r="R65" s="13"/>
      <c r="S65" s="852">
        <f>IF('Input 5_Product Uptake'!$M$9=0,E65*Ratios!$N$29,E65*Ratios!$N$29*Ratios!$Z$23)</f>
        <v>225.10808549485057</v>
      </c>
      <c r="T65" s="852">
        <f>IF('Input 5_Product Uptake'!$M$9=0,F65*Ratios!$N$29,F65*Ratios!$N$29*Ratios!$Z$23)</f>
        <v>652.52850099140221</v>
      </c>
      <c r="U65" s="852">
        <f>IF('Input 5_Product Uptake'!$M$9=0,G65*Ratios!$N$29,G65*Ratios!$N$29*Ratios!$Z$23)</f>
        <v>928.92703634583904</v>
      </c>
      <c r="V65" s="852">
        <f>IF('Input 5_Product Uptake'!$M$9=0,H65*Ratios!$N$29,H65*Ratios!$N$29*Ratios!$Z$23)</f>
        <v>621.18433718832171</v>
      </c>
      <c r="W65" s="852">
        <f>IF('Input 5_Product Uptake'!$M$9=0,I65*Ratios!$N$29,I65*Ratios!$N$29*Ratios!$Z$23)</f>
        <v>333.3879240873103</v>
      </c>
      <c r="X65" s="852">
        <f>IF('Input 5_Product Uptake'!$M$9=0,J65*Ratios!$N$29,J65*Ratios!$N$29*Ratios!$Z$23)</f>
        <v>88.333552535954013</v>
      </c>
      <c r="Y65" s="852">
        <f>IF('Input 5_Product Uptake'!$M$9=0,K65*Ratios!$N$29,K65*Ratios!$N$29*Ratios!$Z$23)</f>
        <v>0</v>
      </c>
      <c r="Z65" s="852">
        <f>IF('Input 5_Product Uptake'!$M$9=0,L65*Ratios!$N$29,L65*Ratios!$N$29*Ratios!$Z$23)</f>
        <v>0</v>
      </c>
      <c r="AA65" s="852">
        <f>IF('Input 5_Product Uptake'!$M$9=0,M65*Ratios!$N$29,M65*Ratios!$N$29*Ratios!$Z$23)</f>
        <v>0</v>
      </c>
      <c r="AB65" s="852">
        <f>IF('Input 5_Product Uptake'!$M$9=0,N65*Ratios!$N$29,N65*Ratios!$N$29*Ratios!$Z$23)</f>
        <v>0</v>
      </c>
      <c r="AC65" s="852">
        <f>IF('Input 5_Product Uptake'!$M$9=0,O65*Ratios!$N$29,O65*Ratios!$N$29*Ratios!$Z$23)</f>
        <v>0</v>
      </c>
      <c r="AD65" s="852">
        <f>IF('Input 5_Product Uptake'!$M$9=0,P65*Ratios!$N$29,P65*Ratios!$N$29*Ratios!$Z$23)</f>
        <v>0</v>
      </c>
      <c r="AE65" s="297"/>
      <c r="AF65" s="860">
        <f>Ratios!$P$29*E65</f>
        <v>1530.7648924203793</v>
      </c>
      <c r="AG65" s="860">
        <f>Ratios!$P$29*F65</f>
        <v>4437.2805109400861</v>
      </c>
      <c r="AH65" s="860">
        <f>Ratios!$P$29*G65</f>
        <v>6316.8272775828309</v>
      </c>
      <c r="AI65" s="860">
        <f>Ratios!$P$29*H65</f>
        <v>4224.1360322486416</v>
      </c>
      <c r="AJ65" s="860">
        <f>Ratios!$P$29*I65</f>
        <v>2267.0821824453719</v>
      </c>
      <c r="AK65" s="860">
        <f>Ratios!$P$29*J65</f>
        <v>600.67989449407287</v>
      </c>
      <c r="AL65" s="860">
        <f>Ratios!$P$29*K65</f>
        <v>0</v>
      </c>
      <c r="AM65" s="860">
        <f>Ratios!$P$29*L65</f>
        <v>0</v>
      </c>
      <c r="AN65" s="860">
        <f>Ratios!$P$29*M65</f>
        <v>0</v>
      </c>
      <c r="AO65" s="860">
        <f>Ratios!$P$29*N65</f>
        <v>0</v>
      </c>
      <c r="AP65" s="860">
        <f>Ratios!$P$29*O65</f>
        <v>0</v>
      </c>
      <c r="AQ65" s="860">
        <f>Ratios!$P$29*P65</f>
        <v>0</v>
      </c>
      <c r="AS65" s="275">
        <f t="shared" si="19"/>
        <v>225.10808549485057</v>
      </c>
      <c r="AT65" s="275">
        <f t="shared" si="17"/>
        <v>652.52850099140221</v>
      </c>
      <c r="AU65" s="275">
        <f t="shared" si="17"/>
        <v>928.92703634583904</v>
      </c>
      <c r="AV65" s="275">
        <f t="shared" si="17"/>
        <v>621.18433718832171</v>
      </c>
      <c r="AW65" s="275">
        <f t="shared" si="17"/>
        <v>333.3879240873103</v>
      </c>
      <c r="AX65" s="275">
        <f t="shared" si="17"/>
        <v>88.333552535954013</v>
      </c>
      <c r="AY65" s="275">
        <f t="shared" si="17"/>
        <v>0</v>
      </c>
      <c r="AZ65" s="275">
        <f t="shared" si="17"/>
        <v>0</v>
      </c>
      <c r="BA65" s="275">
        <f t="shared" si="17"/>
        <v>0</v>
      </c>
      <c r="BB65" s="275">
        <f t="shared" si="17"/>
        <v>0</v>
      </c>
      <c r="BC65" s="275">
        <f t="shared" si="17"/>
        <v>0</v>
      </c>
      <c r="BD65" s="275">
        <f t="shared" si="17"/>
        <v>0</v>
      </c>
      <c r="BE65" s="276"/>
      <c r="BF65" s="557">
        <f>IF($B63=0,1,IF(AND(BF64&gt;0,$B63&lt;='Input 4_RSV Season'!$AG$27-1),BF64+1,0))</f>
        <v>0</v>
      </c>
      <c r="BG65" s="549">
        <f>IF(AND($BF65&gt;0,$BF65&lt;='Input 6_Product Efficacy'!$Q$9/30),SUM($AS63:$BD63),0)</f>
        <v>0</v>
      </c>
      <c r="BH65" s="554">
        <f>IF(AND($BF65&gt;0,$BF65&gt;'Input 6_Product Efficacy'!$Q$9/30),SUM($AS63:$BD63),0)</f>
        <v>0</v>
      </c>
      <c r="BJ65" s="549">
        <f>IF(AND($BF65&gt;0,$BF65&lt;='Input 6_Product Efficacy'!$Q$12/30),SUM($AS63:$BD63),0)</f>
        <v>0</v>
      </c>
      <c r="BK65" s="554">
        <f>IF(AND($BF65&gt;0,$BF65&gt;'Input 6_Product Efficacy'!$Q$12/30),SUM($AS63:$BD63),0)</f>
        <v>0</v>
      </c>
      <c r="BL65" s="276"/>
      <c r="BM65" s="276"/>
      <c r="BN65" s="93"/>
      <c r="BO65" s="35">
        <f t="shared" si="20"/>
        <v>1530.7648924203793</v>
      </c>
      <c r="BP65" s="35">
        <f t="shared" si="18"/>
        <v>4437.2805109400861</v>
      </c>
      <c r="BQ65" s="35">
        <f t="shared" si="18"/>
        <v>6316.8272775828309</v>
      </c>
      <c r="BR65" s="35">
        <f t="shared" si="18"/>
        <v>4224.1360322486416</v>
      </c>
      <c r="BS65" s="35">
        <f t="shared" si="18"/>
        <v>2267.0821824453719</v>
      </c>
      <c r="BT65" s="35">
        <f t="shared" si="18"/>
        <v>600.67989449407287</v>
      </c>
      <c r="BU65" s="35">
        <f t="shared" si="18"/>
        <v>0</v>
      </c>
      <c r="BV65" s="35">
        <f t="shared" si="18"/>
        <v>0</v>
      </c>
      <c r="BW65" s="35">
        <f t="shared" si="18"/>
        <v>0</v>
      </c>
      <c r="BX65" s="35">
        <f t="shared" si="18"/>
        <v>0</v>
      </c>
      <c r="BY65" s="35">
        <f t="shared" si="18"/>
        <v>0</v>
      </c>
      <c r="BZ65" s="35">
        <f t="shared" si="18"/>
        <v>0</v>
      </c>
      <c r="CA65" s="244"/>
      <c r="CB65" s="557">
        <f>IF($B63=0,1,IF(AND(CB64&gt;0,$B63&lt;='Input 4_RSV Season'!$AG$27-1),CB64+1,0))</f>
        <v>0</v>
      </c>
      <c r="CC65" s="549">
        <f>IF(AND($CB65&gt;0,$CB65&lt;='Input 6_Product Efficacy'!$Q$12/30),SUM($BO63:$BZ63),0)</f>
        <v>0</v>
      </c>
      <c r="CD65" s="554">
        <f>IF(AND($CB65&gt;0,$CB65&gt;'Input 6_Product Efficacy'!$Q$12/30),SUM($BO63:$BZ63),0)</f>
        <v>0</v>
      </c>
      <c r="CF65" s="565">
        <f>IF(AND($CB65&gt;0,$CB65&gt;'Input 6_Product Efficacy'!$Q$15/30),SUM($BO63:$BZ63),0)</f>
        <v>0</v>
      </c>
    </row>
    <row r="66" spans="2:85" ht="15" thickBot="1" x14ac:dyDescent="0.35">
      <c r="E66" s="246"/>
      <c r="F66" s="246"/>
      <c r="G66" s="246"/>
      <c r="H66" s="246"/>
      <c r="I66" s="246"/>
      <c r="J66" s="246"/>
      <c r="K66" s="43"/>
      <c r="L66" s="43"/>
      <c r="M66" s="43"/>
      <c r="N66" s="43"/>
      <c r="O66" s="43"/>
      <c r="P66" s="43"/>
      <c r="Q66" s="13"/>
      <c r="R66" s="13"/>
      <c r="S66" s="13"/>
      <c r="T66" s="13"/>
      <c r="U66" s="13"/>
      <c r="V66" s="13"/>
      <c r="W66" s="13"/>
      <c r="X66" s="13"/>
      <c r="Y66" s="13"/>
      <c r="Z66" s="13"/>
      <c r="AA66" s="13"/>
      <c r="AB66" s="13"/>
      <c r="AC66" s="13"/>
      <c r="AD66" s="13"/>
      <c r="AE66" s="13"/>
      <c r="AF66" s="593"/>
      <c r="AG66" s="593"/>
      <c r="AH66" s="593"/>
      <c r="AI66" s="593"/>
      <c r="AJ66" s="593"/>
      <c r="AK66" s="593"/>
      <c r="AL66" s="593"/>
      <c r="AM66" s="593"/>
      <c r="AN66" s="593"/>
      <c r="AO66" s="593"/>
      <c r="AP66" s="593"/>
      <c r="AQ66" s="593"/>
      <c r="AS66" s="2" t="s">
        <v>31</v>
      </c>
      <c r="AT66" s="20">
        <f>BG71</f>
        <v>1.6008683844634186</v>
      </c>
      <c r="AU66" s="32"/>
      <c r="AV66" s="32"/>
      <c r="AW66" s="47" t="s">
        <v>22</v>
      </c>
      <c r="AX66" s="48">
        <f>SUM(AS54:BD65)</f>
        <v>47256.129012987447</v>
      </c>
      <c r="AY66" s="48"/>
      <c r="AZ66" s="48"/>
      <c r="BA66" s="48"/>
      <c r="BB66" s="48"/>
      <c r="BC66" s="48"/>
      <c r="BD66" s="48"/>
      <c r="BE66" s="48"/>
      <c r="BF66" s="557">
        <f>IF($B64=0,1,IF(AND(BF65&gt;0,$B64&lt;='Input 4_RSV Season'!$AG$27-1),BF65+1,0))</f>
        <v>0</v>
      </c>
      <c r="BG66" s="549">
        <f>IF(AND($BF66&gt;0,$BF66&lt;='Input 6_Product Efficacy'!$Q$9/30),SUM($AS64:$BD64),0)</f>
        <v>0</v>
      </c>
      <c r="BH66" s="554">
        <f>IF(AND($BF66&gt;0,$BF66&gt;'Input 6_Product Efficacy'!$Q$9/30),SUM($AS64:$BD64),0)</f>
        <v>0</v>
      </c>
      <c r="BJ66" s="549">
        <f>IF(AND($BF66&gt;0,$BF66&lt;='Input 6_Product Efficacy'!$Q$12/30),SUM($AS64:$BD64),0)</f>
        <v>0</v>
      </c>
      <c r="BK66" s="554">
        <f>IF(AND($BF66&gt;0,$BF66&gt;'Input 6_Product Efficacy'!$Q$12/30),SUM($AS64:$BD64),0)</f>
        <v>0</v>
      </c>
      <c r="BL66" s="48"/>
      <c r="BM66" s="48"/>
      <c r="BN66" s="32"/>
      <c r="BO66" s="47" t="s">
        <v>35</v>
      </c>
      <c r="BP66" s="20">
        <f>SUM(BT67:BT68)</f>
        <v>0.10773980381618251</v>
      </c>
      <c r="BQ66" s="32"/>
      <c r="BR66" s="32"/>
      <c r="BS66" s="47" t="s">
        <v>23</v>
      </c>
      <c r="BT66" s="48">
        <f>SUM(BO54:BZ65)</f>
        <v>321347.9564083633</v>
      </c>
      <c r="BU66" s="48"/>
      <c r="BV66" s="48"/>
      <c r="BW66" s="510" t="s">
        <v>278</v>
      </c>
      <c r="BX66" s="510" t="s">
        <v>279</v>
      </c>
      <c r="BY66" s="510" t="s">
        <v>280</v>
      </c>
      <c r="CA66" s="36"/>
      <c r="CB66" s="557">
        <f>IF($B64=0,1,IF(AND(CB65&gt;0,$B64&lt;='Input 4_RSV Season'!$AG$27-1),CB65+1,0))</f>
        <v>0</v>
      </c>
      <c r="CC66" s="549">
        <f>IF(AND($CB66&gt;0,$CB66&lt;='Input 6_Product Efficacy'!$Q$12/30),SUM($BO64:$BZ64),0)</f>
        <v>0</v>
      </c>
      <c r="CD66" s="554">
        <f>IF(AND($CB66&gt;0,$CB66&gt;'Input 6_Product Efficacy'!$Q$12/30),SUM($BO64:$BZ64),0)</f>
        <v>0</v>
      </c>
      <c r="CF66" s="565">
        <f>IF(AND($CB66&gt;0,$CB66&gt;'Input 6_Product Efficacy'!$Q$15/30),SUM($BO64:$BZ64),0)</f>
        <v>0</v>
      </c>
    </row>
    <row r="67" spans="2:85" x14ac:dyDescent="0.3">
      <c r="B67" s="115" t="s">
        <v>247</v>
      </c>
      <c r="C67" s="115" t="s">
        <v>250</v>
      </c>
      <c r="AS67" s="512" t="s">
        <v>117</v>
      </c>
      <c r="AV67" s="2" t="s">
        <v>291</v>
      </c>
      <c r="AW67" s="70">
        <f>BG70</f>
        <v>1.2431249721971007</v>
      </c>
      <c r="BC67" s="70"/>
      <c r="BD67" s="70"/>
      <c r="BE67" s="70"/>
      <c r="BF67" s="557">
        <f>IF($B65=0,1,IF(AND(BF66&gt;0,$B65&lt;='Input 4_RSV Season'!$AG$27-1),BF66+1,0))</f>
        <v>0</v>
      </c>
      <c r="BG67" s="550">
        <f>IF(AND($BF67&gt;0,$BF67&lt;='Input 6_Product Efficacy'!$Q$9/30),SUM($AS65:$BD65),0)</f>
        <v>0</v>
      </c>
      <c r="BH67" s="555">
        <f>IF(AND($BF67&gt;0,$BF67&gt;'Input 6_Product Efficacy'!$Q$9/30),SUM($AS65:$BD65),0)</f>
        <v>0</v>
      </c>
      <c r="BI67" s="500"/>
      <c r="BJ67" s="550">
        <f>IF(AND($BF67&gt;0,$BF67&lt;='Input 6_Product Efficacy'!$Q$12/30),SUM($AS65:$BD65),0)</f>
        <v>0</v>
      </c>
      <c r="BK67" s="555">
        <f>IF(AND($BF67&gt;0,$BF67&gt;'Input 6_Product Efficacy'!$Q$12/30),SUM($AS65:$BD65),0)</f>
        <v>0</v>
      </c>
      <c r="BL67" s="70"/>
      <c r="BM67" s="70"/>
      <c r="BP67" s="512" t="s">
        <v>277</v>
      </c>
      <c r="BS67" s="2" t="s">
        <v>286</v>
      </c>
      <c r="BT67" s="617">
        <f>IF('Input 6_Product Efficacy'!$Q$15=120,'WiS percent RSV_low'!BY67,IF('Input 6_Product Efficacy'!$Q$15=60,'WiS percent RSV_low'!BX67,'WiS percent RSV_low'!BW67))</f>
        <v>4.2221141026491764E-2</v>
      </c>
      <c r="BV67" s="510" t="s">
        <v>281</v>
      </c>
      <c r="BW67" s="70">
        <f>SUM(BO54:BZ56)/((1-'Input 1_Population'!$G$24)*'WiS percent RSV_base'!$BB$5)</f>
        <v>4.2221141026491764E-2</v>
      </c>
      <c r="BX67" s="70">
        <f>SUM(BO54:BZ55)/((1-'Input 1_Population'!$G$24)*'WiS percent RSV_base'!$BB$5)</f>
        <v>2.2728315273485154E-2</v>
      </c>
      <c r="BY67" s="70">
        <f>SUM(BO54:BZ57)/((1-'Input 1_Population'!$G$24)*'WiS percent RSV_base'!$BB$5)</f>
        <v>6.1594133834295454E-2</v>
      </c>
      <c r="BZ67" s="70"/>
      <c r="CB67" s="557">
        <f>IF($B65=0,1,IF(AND(CB66&gt;0,$B65&lt;='Input 4_RSV Season'!$AG$27-1),CB66+1,0))</f>
        <v>0</v>
      </c>
      <c r="CC67" s="550">
        <f>IF(AND($CB67&gt;0,$CB67&lt;='Input 6_Product Efficacy'!$Q$12/30),SUM($BO65:$BZ65),0)</f>
        <v>0</v>
      </c>
      <c r="CD67" s="555">
        <f>IF(AND($CB67&gt;0,$CB67&gt;'Input 6_Product Efficacy'!$Q$12/30),SUM($BO65:$BZ65),0)</f>
        <v>0</v>
      </c>
      <c r="CF67" s="566">
        <f>IF(AND($CB67&gt;0,$CB67&gt;'Input 6_Product Efficacy'!$Q$15/30),SUM($BO65:$BZ65),0)</f>
        <v>0</v>
      </c>
    </row>
    <row r="68" spans="2:85" ht="15" thickBot="1" x14ac:dyDescent="0.35">
      <c r="B68" s="24" t="s">
        <v>248</v>
      </c>
      <c r="C68" s="429">
        <f>SUM(C54:C59)/SUM(C54:C65)</f>
        <v>0.65499334531954134</v>
      </c>
      <c r="AS68" s="70"/>
      <c r="AT68" s="494"/>
      <c r="AU68" s="494"/>
      <c r="AV68" s="12" t="s">
        <v>292</v>
      </c>
      <c r="AW68" s="282">
        <f>BH70</f>
        <v>0.35774341226631784</v>
      </c>
      <c r="BC68" s="70"/>
      <c r="BD68" s="70"/>
      <c r="BE68" s="70"/>
      <c r="BF68" s="2"/>
      <c r="BG68" s="5">
        <f>SUM(BG56:BG67)</f>
        <v>24035.557173374349</v>
      </c>
      <c r="BH68" s="5">
        <f t="shared" ref="BH68" si="21">SUM(BH56:BH67)</f>
        <v>6916.8928556941482</v>
      </c>
      <c r="BI68" s="5"/>
      <c r="BJ68" s="5">
        <f t="shared" ref="BJ68:BK68" si="22">SUM(BJ56:BJ67)</f>
        <v>24035.557173374349</v>
      </c>
      <c r="BK68" s="5">
        <f t="shared" si="22"/>
        <v>6916.8928556941482</v>
      </c>
      <c r="BL68" s="70"/>
      <c r="BM68" s="70"/>
      <c r="BO68" s="12"/>
      <c r="BP68" s="282"/>
      <c r="BQ68" s="494"/>
      <c r="BR68" s="494"/>
      <c r="BS68" s="12" t="s">
        <v>287</v>
      </c>
      <c r="BT68" s="618">
        <f>CF70</f>
        <v>6.5518662789690735E-2</v>
      </c>
      <c r="BU68" s="494"/>
      <c r="BV68" s="509"/>
      <c r="BW68" s="282"/>
      <c r="BX68" s="282"/>
      <c r="BY68" s="282"/>
      <c r="BZ68" s="282"/>
      <c r="CB68" s="2"/>
      <c r="CC68" s="5">
        <f t="shared" ref="CC68:CD68" si="23">SUM(CC56:CC67)</f>
        <v>163444.9824842294</v>
      </c>
      <c r="CD68" s="5">
        <f t="shared" si="23"/>
        <v>47035.790495282541</v>
      </c>
      <c r="CF68" s="5">
        <f t="shared" ref="CF68" si="24">SUM(CF56:CF67)</f>
        <v>127997.43734531262</v>
      </c>
    </row>
    <row r="69" spans="2:85" ht="15" thickBot="1" x14ac:dyDescent="0.35">
      <c r="B69" s="24" t="s">
        <v>249</v>
      </c>
      <c r="C69" s="429">
        <f>SUM(C60:C65)/SUM(C54:C65)</f>
        <v>0.34500665468045849</v>
      </c>
      <c r="AS69" s="70"/>
      <c r="AU69" s="13"/>
      <c r="AV69" s="14"/>
      <c r="AW69" s="70"/>
      <c r="AX69" s="13"/>
      <c r="AY69" s="510"/>
      <c r="AZ69" s="510"/>
      <c r="BA69" s="510"/>
      <c r="BB69" s="510"/>
      <c r="BC69" s="70"/>
      <c r="BD69" s="70"/>
      <c r="BE69" s="70"/>
      <c r="BL69" s="70"/>
      <c r="BM69" s="70"/>
      <c r="BO69" s="2"/>
      <c r="BP69" s="70"/>
      <c r="BR69" s="13"/>
      <c r="BS69" s="14"/>
      <c r="BT69" s="70"/>
      <c r="BU69" s="13"/>
      <c r="BV69" s="510"/>
      <c r="BW69" s="510"/>
      <c r="BX69" s="510"/>
      <c r="BY69" s="510"/>
      <c r="BZ69" s="510"/>
    </row>
    <row r="70" spans="2:85" ht="16.2" thickBot="1" x14ac:dyDescent="0.35">
      <c r="AS70" s="512" t="s">
        <v>216</v>
      </c>
      <c r="AV70" s="2" t="s">
        <v>291</v>
      </c>
      <c r="AW70" s="70">
        <f>BJ70</f>
        <v>1.2431249721971007</v>
      </c>
      <c r="AY70" s="510"/>
      <c r="AZ70" s="70"/>
      <c r="BA70" s="70"/>
      <c r="BB70" s="70"/>
      <c r="BC70" s="70"/>
      <c r="BD70" s="70"/>
      <c r="BE70" s="70"/>
      <c r="BG70" s="567">
        <f>BG68/('Input 1_Population'!$G$24*$BB$5)</f>
        <v>1.2431249721971007</v>
      </c>
      <c r="BH70" s="568">
        <f>BH68/('Input 1_Population'!$G$24*$BB$5)</f>
        <v>0.35774341226631784</v>
      </c>
      <c r="BI70" s="568"/>
      <c r="BJ70" s="580">
        <f>BJ68/('Input 1_Population'!$G$24*$BB$5)</f>
        <v>1.2431249721971007</v>
      </c>
      <c r="BK70" s="581">
        <f>BK68/('Input 1_Population'!$G$24*$BB$5)</f>
        <v>0.35774341226631784</v>
      </c>
      <c r="BL70" s="70"/>
      <c r="BM70" s="70"/>
      <c r="BO70" s="2"/>
      <c r="BP70" s="512" t="s">
        <v>216</v>
      </c>
      <c r="BS70" s="2" t="s">
        <v>286</v>
      </c>
      <c r="BT70" s="70">
        <f>CC70</f>
        <v>8.3663367909164593E-2</v>
      </c>
      <c r="BV70" s="510"/>
      <c r="BW70" s="70"/>
      <c r="BX70" s="70"/>
      <c r="BY70" s="70"/>
      <c r="BZ70" s="70"/>
      <c r="CC70" s="580">
        <f>CC68/((1-'Input 1_Population'!$G$24)*$BB$5)</f>
        <v>8.3663367909164593E-2</v>
      </c>
      <c r="CD70" s="581">
        <f>CD68/((1-'Input 1_Population'!$G$24)*$BB$5)</f>
        <v>2.4076435907017888E-2</v>
      </c>
      <c r="CE70" s="20"/>
      <c r="CF70" s="580">
        <f>CF68/((1-'Input 1_Population'!$G$24)*$BB$5)</f>
        <v>6.5518662789690735E-2</v>
      </c>
    </row>
    <row r="71" spans="2:85" ht="15" thickBot="1" x14ac:dyDescent="0.35">
      <c r="AS71" s="70"/>
      <c r="AT71" s="494"/>
      <c r="AU71" s="494"/>
      <c r="AV71" s="12" t="s">
        <v>292</v>
      </c>
      <c r="AW71" s="282">
        <f>BK70</f>
        <v>0.35774341226631784</v>
      </c>
      <c r="AX71" s="494"/>
      <c r="AY71" s="509"/>
      <c r="AZ71" s="282"/>
      <c r="BA71" s="282"/>
      <c r="BB71" s="282"/>
      <c r="BC71" s="70"/>
      <c r="BD71" s="70"/>
      <c r="BE71" s="70"/>
      <c r="BG71" s="1121">
        <f>SUM(BG70:BH70)</f>
        <v>1.6008683844634186</v>
      </c>
      <c r="BH71" s="1121"/>
      <c r="BJ71" s="1121">
        <f>SUM(BJ70:BK70)</f>
        <v>1.6008683844634186</v>
      </c>
      <c r="BK71" s="1121"/>
      <c r="BL71" s="70"/>
      <c r="BM71" s="70"/>
      <c r="BO71" s="12"/>
      <c r="BP71" s="282"/>
      <c r="BQ71" s="494"/>
      <c r="BR71" s="494"/>
      <c r="BS71" s="12" t="s">
        <v>287</v>
      </c>
      <c r="BT71" s="282">
        <f>CD70</f>
        <v>2.4076435907017888E-2</v>
      </c>
      <c r="BU71" s="494"/>
      <c r="BV71" s="509"/>
      <c r="BW71" s="282"/>
      <c r="BX71" s="282"/>
      <c r="BY71" s="282"/>
      <c r="BZ71" s="282"/>
      <c r="CC71" s="582" t="s">
        <v>326</v>
      </c>
      <c r="CD71" s="624">
        <f>SUM(CC70:CD70)</f>
        <v>0.10773980381618248</v>
      </c>
      <c r="CF71" s="593"/>
      <c r="CG71" s="13"/>
    </row>
    <row r="72" spans="2:85" x14ac:dyDescent="0.3">
      <c r="B72" s="26"/>
      <c r="CF72" s="13"/>
      <c r="CG72" s="13"/>
    </row>
    <row r="73" spans="2:85" ht="15.6" x14ac:dyDescent="0.3">
      <c r="AT73" s="614"/>
      <c r="AU73" s="1"/>
      <c r="CF73" s="687"/>
      <c r="CG73" s="13"/>
    </row>
    <row r="74" spans="2:85" x14ac:dyDescent="0.3">
      <c r="CF74" s="13"/>
      <c r="CG74" s="13"/>
    </row>
  </sheetData>
  <mergeCells count="60">
    <mergeCell ref="CF55:CG55"/>
    <mergeCell ref="CF29:CG29"/>
    <mergeCell ref="CF30:CG31"/>
    <mergeCell ref="CF32:CG32"/>
    <mergeCell ref="CF52:CG52"/>
    <mergeCell ref="CF53:CG54"/>
    <mergeCell ref="CC52:CD52"/>
    <mergeCell ref="CC53:CC55"/>
    <mergeCell ref="CD53:CD55"/>
    <mergeCell ref="CC30:CC32"/>
    <mergeCell ref="CD30:CD32"/>
    <mergeCell ref="CC7:CC9"/>
    <mergeCell ref="CD7:CD9"/>
    <mergeCell ref="CC29:CD29"/>
    <mergeCell ref="CF6:CG6"/>
    <mergeCell ref="CF7:CG8"/>
    <mergeCell ref="CF9:CG9"/>
    <mergeCell ref="AS1:BM2"/>
    <mergeCell ref="CC51:CD51"/>
    <mergeCell ref="BK30:BK32"/>
    <mergeCell ref="BJ30:BJ32"/>
    <mergeCell ref="BH30:BH32"/>
    <mergeCell ref="BG30:BG32"/>
    <mergeCell ref="BJ29:BK29"/>
    <mergeCell ref="BG29:BH29"/>
    <mergeCell ref="BG48:BH48"/>
    <mergeCell ref="BJ48:BK48"/>
    <mergeCell ref="BG51:BK51"/>
    <mergeCell ref="BG5:BK5"/>
    <mergeCell ref="BG6:BH6"/>
    <mergeCell ref="BJ6:BK6"/>
    <mergeCell ref="CC5:CD5"/>
    <mergeCell ref="CC6:CD6"/>
    <mergeCell ref="BG53:BG55"/>
    <mergeCell ref="BH53:BH55"/>
    <mergeCell ref="BJ53:BJ55"/>
    <mergeCell ref="BK53:BK55"/>
    <mergeCell ref="BG71:BH71"/>
    <mergeCell ref="BJ71:BK71"/>
    <mergeCell ref="BG52:BH52"/>
    <mergeCell ref="BJ52:BK52"/>
    <mergeCell ref="BG7:BG9"/>
    <mergeCell ref="BH7:BH9"/>
    <mergeCell ref="BJ7:BJ9"/>
    <mergeCell ref="BK7:BK9"/>
    <mergeCell ref="BG25:BH25"/>
    <mergeCell ref="BJ25:BK25"/>
    <mergeCell ref="BG28:BK28"/>
    <mergeCell ref="B52:C52"/>
    <mergeCell ref="B2:C2"/>
    <mergeCell ref="E2:P2"/>
    <mergeCell ref="S2:AQ2"/>
    <mergeCell ref="E3:P3"/>
    <mergeCell ref="S3:AD3"/>
    <mergeCell ref="AF3:AQ3"/>
    <mergeCell ref="E5:P5"/>
    <mergeCell ref="S5:AD5"/>
    <mergeCell ref="AF5:AQ5"/>
    <mergeCell ref="B6:C6"/>
    <mergeCell ref="B29:C29"/>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BJ76"/>
  <sheetViews>
    <sheetView topLeftCell="AA59" workbookViewId="0">
      <selection activeCell="H53" sqref="H53"/>
    </sheetView>
  </sheetViews>
  <sheetFormatPr defaultRowHeight="14.4" x14ac:dyDescent="0.3"/>
  <cols>
    <col min="6" max="6" width="10" bestFit="1" customWidth="1"/>
    <col min="9" max="9" width="10" bestFit="1" customWidth="1"/>
    <col min="12" max="12" width="10.109375" bestFit="1" customWidth="1"/>
    <col min="13" max="13" width="9.109375" bestFit="1" customWidth="1"/>
    <col min="18" max="18" width="16" customWidth="1"/>
    <col min="19" max="19" width="11.33203125" customWidth="1"/>
    <col min="27" max="27" width="11" bestFit="1" customWidth="1"/>
    <col min="32" max="32" width="6" customWidth="1"/>
    <col min="33" max="33" width="9.109375" style="538"/>
    <col min="34" max="34" width="16.6640625" customWidth="1"/>
    <col min="35" max="35" width="15" customWidth="1"/>
    <col min="36" max="36" width="2.33203125" customWidth="1"/>
    <col min="37" max="37" width="17.6640625" customWidth="1"/>
    <col min="38" max="38" width="17.44140625" customWidth="1"/>
    <col min="39" max="39" width="19.109375" customWidth="1"/>
    <col min="40" max="40" width="3.5546875" customWidth="1"/>
    <col min="41" max="41" width="9.33203125" customWidth="1"/>
    <col min="42" max="42" width="14.33203125" customWidth="1"/>
    <col min="43" max="43" width="14.109375" customWidth="1"/>
    <col min="58" max="58" width="15.88671875" customWidth="1"/>
    <col min="59" max="59" width="14.88671875" customWidth="1"/>
    <col min="60" max="60" width="3.109375" customWidth="1"/>
    <col min="61" max="61" width="15.88671875" customWidth="1"/>
    <col min="62" max="62" width="16.109375" customWidth="1"/>
  </cols>
  <sheetData>
    <row r="1" spans="2:62" ht="15" thickBot="1" x14ac:dyDescent="0.35">
      <c r="U1" s="1142" t="s">
        <v>329</v>
      </c>
      <c r="V1" s="1142"/>
      <c r="W1" s="1142"/>
      <c r="X1" s="1142"/>
      <c r="Y1" s="1142"/>
      <c r="Z1" s="1142"/>
      <c r="AA1" s="1142"/>
      <c r="AB1" s="1142"/>
      <c r="AC1" s="1142"/>
      <c r="AD1" s="1142"/>
      <c r="AE1" s="1142"/>
      <c r="AF1" s="1142"/>
      <c r="AG1" s="1142"/>
      <c r="AH1" s="1142"/>
      <c r="AI1" s="1142"/>
      <c r="AJ1" s="1142"/>
      <c r="AK1" s="1142"/>
      <c r="AL1" s="1142"/>
      <c r="AM1" s="1142"/>
      <c r="AN1" s="599"/>
    </row>
    <row r="2" spans="2:62" ht="18.600000000000001" thickBot="1" x14ac:dyDescent="0.4">
      <c r="R2" s="1130" t="s">
        <v>328</v>
      </c>
      <c r="S2" s="1131"/>
      <c r="U2" s="932"/>
      <c r="V2" s="932"/>
      <c r="W2" s="932"/>
      <c r="X2" s="932"/>
      <c r="Y2" s="932"/>
      <c r="Z2" s="932"/>
      <c r="AA2" s="932"/>
      <c r="AB2" s="932"/>
      <c r="AC2" s="932"/>
      <c r="AD2" s="932"/>
      <c r="AE2" s="932"/>
      <c r="AF2" s="932"/>
      <c r="AG2" s="932"/>
      <c r="AH2" s="932"/>
      <c r="AI2" s="932"/>
      <c r="AJ2" s="932"/>
      <c r="AK2" s="932"/>
      <c r="AL2" s="932"/>
      <c r="AM2" s="932"/>
      <c r="AN2" s="599"/>
    </row>
    <row r="3" spans="2:62" ht="15" thickBot="1" x14ac:dyDescent="0.35">
      <c r="S3" s="1141" t="s">
        <v>293</v>
      </c>
      <c r="T3" s="1141"/>
      <c r="U3" s="1141"/>
      <c r="V3" s="1141"/>
      <c r="W3" s="1141"/>
      <c r="X3" s="1141"/>
      <c r="Y3" s="1141"/>
      <c r="Z3" s="1141"/>
      <c r="AA3" s="1141"/>
      <c r="AB3" s="1141"/>
      <c r="AC3" s="1141"/>
      <c r="AD3" s="1141"/>
      <c r="AE3" s="545"/>
      <c r="AF3" s="545"/>
      <c r="AG3" s="560"/>
      <c r="AH3" s="545"/>
      <c r="AI3" s="545"/>
      <c r="AJ3" s="545"/>
      <c r="AK3" s="545"/>
      <c r="AL3" s="545"/>
      <c r="AM3" s="545"/>
      <c r="AN3" s="600"/>
      <c r="AO3" s="545"/>
      <c r="AP3" s="545"/>
      <c r="AQ3" s="1141" t="s">
        <v>300</v>
      </c>
      <c r="AR3" s="1141"/>
      <c r="AS3" s="1141"/>
      <c r="AT3" s="1141"/>
      <c r="AU3" s="1141"/>
      <c r="AV3" s="1141"/>
      <c r="AW3" s="1141"/>
      <c r="AX3" s="1141"/>
      <c r="AY3" s="1141"/>
      <c r="AZ3" s="1141"/>
      <c r="BA3" s="1141"/>
      <c r="BB3" s="1141"/>
      <c r="BC3" s="545"/>
      <c r="BD3" s="545"/>
      <c r="BE3" s="560"/>
      <c r="BF3" s="545"/>
      <c r="BG3" s="545"/>
      <c r="BH3" s="545"/>
    </row>
    <row r="4" spans="2:62" x14ac:dyDescent="0.3">
      <c r="C4" s="843"/>
      <c r="D4" s="24"/>
      <c r="E4" s="844" t="s">
        <v>156</v>
      </c>
      <c r="F4" s="28">
        <f>'WiS percent RSV_base'!$AY$6</f>
        <v>3945875</v>
      </c>
      <c r="H4" s="40" t="s">
        <v>514</v>
      </c>
      <c r="I4" s="553">
        <f>'WiS percent RSV_base'!$BB$6</f>
        <v>1972937.5</v>
      </c>
      <c r="AG4" s="544"/>
      <c r="AH4" s="230"/>
      <c r="AI4" s="230"/>
      <c r="AJ4" s="230"/>
      <c r="AK4" s="230"/>
      <c r="AL4" s="230"/>
      <c r="AM4" s="230"/>
      <c r="AN4" s="600"/>
      <c r="BE4" s="544"/>
      <c r="BF4" s="230"/>
      <c r="BG4" s="230"/>
      <c r="BH4" s="230"/>
    </row>
    <row r="5" spans="2:62" x14ac:dyDescent="0.3">
      <c r="H5" s="2" t="s">
        <v>515</v>
      </c>
      <c r="I5">
        <f>I4/F4</f>
        <v>0.5</v>
      </c>
      <c r="V5" s="22"/>
      <c r="W5" s="22"/>
      <c r="X5" s="870"/>
      <c r="Y5" s="557"/>
      <c r="Z5" s="22"/>
      <c r="AA5" s="552"/>
      <c r="AB5" s="22"/>
      <c r="AC5" s="553"/>
      <c r="AG5" s="544"/>
      <c r="AH5" s="230"/>
      <c r="AI5" s="230"/>
      <c r="AJ5" s="230"/>
      <c r="AK5" s="230"/>
      <c r="AL5" s="230"/>
      <c r="AN5" s="599"/>
      <c r="AT5" s="515"/>
      <c r="AU5" s="515"/>
      <c r="AV5" s="870"/>
      <c r="AW5" s="557"/>
      <c r="AX5" s="515"/>
      <c r="AY5" s="871"/>
      <c r="AZ5" s="515"/>
      <c r="BA5" s="872"/>
      <c r="BE5" s="544"/>
      <c r="BF5" s="230"/>
      <c r="BG5" s="230"/>
    </row>
    <row r="6" spans="2:62" x14ac:dyDescent="0.3">
      <c r="S6" s="500" t="s">
        <v>321</v>
      </c>
      <c r="T6" s="22"/>
      <c r="U6" s="22"/>
      <c r="AD6" s="22"/>
      <c r="AE6" s="22"/>
      <c r="AM6" s="538"/>
      <c r="AN6" s="601"/>
      <c r="AO6" s="230"/>
      <c r="AQ6" s="500" t="s">
        <v>321</v>
      </c>
      <c r="AR6" s="22"/>
      <c r="AS6" s="22"/>
      <c r="BB6" s="22"/>
      <c r="BC6" s="22"/>
      <c r="BE6" s="538"/>
      <c r="BH6" s="538"/>
    </row>
    <row r="7" spans="2:62" x14ac:dyDescent="0.3">
      <c r="S7" t="s">
        <v>322</v>
      </c>
      <c r="T7" s="28">
        <f>IF(T11&lt;='Input 6_Product Efficacy'!$Q$9/30,1,0)</f>
        <v>1</v>
      </c>
      <c r="U7" s="28">
        <f>IF(U11&lt;='Input 6_Product Efficacy'!$Q$9/30,1,0)</f>
        <v>1</v>
      </c>
      <c r="V7" s="28">
        <f>IF(V11&lt;='Input 6_Product Efficacy'!$Q$9/30,1,0)</f>
        <v>1</v>
      </c>
      <c r="W7" s="28">
        <f>IF(W11&lt;='Input 6_Product Efficacy'!$Q$9/30,1,0)</f>
        <v>1</v>
      </c>
      <c r="X7" s="28">
        <f>IF(X11&lt;='Input 6_Product Efficacy'!$Q$9/30,1,0)</f>
        <v>1</v>
      </c>
      <c r="Y7" s="28">
        <f>IF(Y11&lt;='Input 6_Product Efficacy'!$Q$9/30,1,0)</f>
        <v>0</v>
      </c>
      <c r="Z7" s="28">
        <f>IF(Z11&lt;='Input 6_Product Efficacy'!$Q$9/30,1,0)</f>
        <v>0</v>
      </c>
      <c r="AA7" s="28">
        <f>IF(AA11&lt;='Input 6_Product Efficacy'!$Q$9/30,1,0)</f>
        <v>0</v>
      </c>
      <c r="AB7" s="28">
        <f>IF(AB11&lt;='Input 6_Product Efficacy'!$Q$9/30,1,0)</f>
        <v>0</v>
      </c>
      <c r="AC7" s="28">
        <f>IF(AC11&lt;='Input 6_Product Efficacy'!$Q$9/30,1,0)</f>
        <v>0</v>
      </c>
      <c r="AD7" s="28">
        <f>IF(AD11&lt;='Input 6_Product Efficacy'!$Q$9/30,1,0)</f>
        <v>0</v>
      </c>
      <c r="AE7" s="28">
        <f>IF(AE11&lt;='Input 6_Product Efficacy'!$Q$9/30,1,0)</f>
        <v>0</v>
      </c>
      <c r="AF7" s="22"/>
      <c r="AN7" s="599"/>
      <c r="AQ7" t="s">
        <v>346</v>
      </c>
      <c r="AR7" s="28">
        <f>IF(AR11&lt;=('Input 6_Product Efficacy'!$Q$15/30),1,0)</f>
        <v>1</v>
      </c>
      <c r="AS7" s="28">
        <f>IF(AS11&lt;=('Input 6_Product Efficacy'!$Q$15/30),1,0)</f>
        <v>1</v>
      </c>
      <c r="AT7" s="28">
        <f>IF(AT11&lt;=('Input 6_Product Efficacy'!$Q$15/30),1,0)</f>
        <v>1</v>
      </c>
      <c r="AU7" s="28">
        <f>IF(AU11&lt;=('Input 6_Product Efficacy'!$Q$15/30),1,0)</f>
        <v>0</v>
      </c>
      <c r="AV7" s="28">
        <f>IF(AV11&lt;=('Input 6_Product Efficacy'!$Q$15/30),1,0)</f>
        <v>0</v>
      </c>
      <c r="AW7" s="28">
        <f>IF(AW11&lt;=('Input 6_Product Efficacy'!$Q$15/30),1,0)</f>
        <v>0</v>
      </c>
      <c r="AX7" s="28">
        <f>IF(AX11&lt;=('Input 6_Product Efficacy'!$Q$15/30),1,0)</f>
        <v>0</v>
      </c>
      <c r="AY7" s="28">
        <f>IF(AY11&lt;=('Input 6_Product Efficacy'!$Q$15/30),1,0)</f>
        <v>0</v>
      </c>
      <c r="AZ7" s="28">
        <f>IF(AZ11&lt;=('Input 6_Product Efficacy'!$Q$15/30),1,0)</f>
        <v>0</v>
      </c>
      <c r="BA7" s="28">
        <f>IF(BA11&lt;=('Input 6_Product Efficacy'!$Q$15/30),1,0)</f>
        <v>0</v>
      </c>
      <c r="BB7" s="28">
        <f>IF(BB11&lt;=('Input 6_Product Efficacy'!$Q$15/30),1,0)</f>
        <v>0</v>
      </c>
      <c r="BC7" s="28">
        <f>IF(BC11&lt;=('Input 6_Product Efficacy'!$Q$15/30),1,0)</f>
        <v>0</v>
      </c>
      <c r="BD7" s="22"/>
      <c r="BE7" s="538"/>
    </row>
    <row r="8" spans="2:62" ht="15" customHeight="1" thickBot="1" x14ac:dyDescent="0.35">
      <c r="C8" s="1141" t="s">
        <v>518</v>
      </c>
      <c r="D8" s="1141"/>
      <c r="E8" s="1141"/>
      <c r="F8" s="1141"/>
      <c r="G8" s="1141"/>
      <c r="H8" s="1141"/>
      <c r="I8" s="1141"/>
      <c r="J8" s="1141"/>
      <c r="K8" s="1141"/>
      <c r="L8" s="1141"/>
      <c r="M8" s="1141"/>
      <c r="N8" s="1141"/>
      <c r="O8" s="847"/>
      <c r="P8" s="847"/>
      <c r="S8" t="s">
        <v>323</v>
      </c>
      <c r="T8" s="28">
        <f>IF(T11&lt;='Input 6_Product Efficacy'!$Q$12/30,1,0)</f>
        <v>1</v>
      </c>
      <c r="U8" s="28">
        <f>IF(U11&lt;='Input 6_Product Efficacy'!$Q$12/30,1,0)</f>
        <v>1</v>
      </c>
      <c r="V8" s="28">
        <f>IF(V11&lt;='Input 6_Product Efficacy'!$Q$12/30,1,0)</f>
        <v>1</v>
      </c>
      <c r="W8" s="28">
        <f>IF(W11&lt;='Input 6_Product Efficacy'!$Q$12/30,1,0)</f>
        <v>1</v>
      </c>
      <c r="X8" s="28">
        <f>IF(X11&lt;='Input 6_Product Efficacy'!$Q$12/30,1,0)</f>
        <v>1</v>
      </c>
      <c r="Y8" s="28">
        <f>IF(Y11&lt;='Input 6_Product Efficacy'!$Q$12/30,1,0)</f>
        <v>0</v>
      </c>
      <c r="Z8" s="28">
        <f>IF(Z11&lt;='Input 6_Product Efficacy'!$Q$12/30,1,0)</f>
        <v>0</v>
      </c>
      <c r="AA8" s="28">
        <f>IF(AA11&lt;='Input 6_Product Efficacy'!$Q$12/30,1,0)</f>
        <v>0</v>
      </c>
      <c r="AB8" s="28">
        <f>IF(AB11&lt;='Input 6_Product Efficacy'!$Q$12/30,1,0)</f>
        <v>0</v>
      </c>
      <c r="AC8" s="28">
        <f>IF(AC11&lt;='Input 6_Product Efficacy'!$Q$12/30,1,0)</f>
        <v>0</v>
      </c>
      <c r="AD8" s="28">
        <f>IF(AD11&lt;='Input 6_Product Efficacy'!$Q$12/30,1,0)</f>
        <v>0</v>
      </c>
      <c r="AE8" s="28">
        <f>IF(AE11&lt;='Input 6_Product Efficacy'!$Q$12/30,1,0)</f>
        <v>0</v>
      </c>
      <c r="AF8" s="22"/>
      <c r="AG8" s="1117" t="s">
        <v>316</v>
      </c>
      <c r="AH8" s="1117"/>
      <c r="AI8" s="1117"/>
      <c r="AJ8" s="1117"/>
      <c r="AK8" s="1117"/>
      <c r="AL8" s="1117"/>
      <c r="AM8" s="1117"/>
      <c r="AN8" s="602"/>
      <c r="AQ8" t="s">
        <v>323</v>
      </c>
      <c r="AR8" s="28">
        <f>IF(AR11&lt;='Input 6_Product Efficacy'!$Q$12/30,1,0)</f>
        <v>1</v>
      </c>
      <c r="AS8" s="28">
        <f>IF(AS11&lt;='Input 6_Product Efficacy'!$Q$12/30,1,0)</f>
        <v>1</v>
      </c>
      <c r="AT8" s="28">
        <f>IF(AT11&lt;='Input 6_Product Efficacy'!$Q$12/30,1,0)</f>
        <v>1</v>
      </c>
      <c r="AU8" s="28">
        <f>IF(AU11&lt;='Input 6_Product Efficacy'!$Q$12/30,1,0)</f>
        <v>1</v>
      </c>
      <c r="AV8" s="28">
        <f>IF(AV11&lt;='Input 6_Product Efficacy'!$Q$12/30,1,0)</f>
        <v>1</v>
      </c>
      <c r="AW8" s="28">
        <f>IF(AW11&lt;='Input 6_Product Efficacy'!$Q$12/30,1,0)</f>
        <v>0</v>
      </c>
      <c r="AX8" s="28">
        <f>IF(AX11&lt;='Input 6_Product Efficacy'!$Q$12/30,1,0)</f>
        <v>0</v>
      </c>
      <c r="AY8" s="28">
        <f>IF(AY11&lt;='Input 6_Product Efficacy'!$Q$12/30,1,0)</f>
        <v>0</v>
      </c>
      <c r="AZ8" s="28">
        <f>IF(AZ11&lt;='Input 6_Product Efficacy'!$Q$12/30,1,0)</f>
        <v>0</v>
      </c>
      <c r="BA8" s="28">
        <f>IF(BA11&lt;='Input 6_Product Efficacy'!$Q$12/30,1,0)</f>
        <v>0</v>
      </c>
      <c r="BB8" s="28">
        <f>IF(BB11&lt;='Input 6_Product Efficacy'!$Q$12/30,1,0)</f>
        <v>0</v>
      </c>
      <c r="BC8" s="28">
        <f>IF(BC11&lt;='Input 6_Product Efficacy'!$Q$12/30,1,0)</f>
        <v>0</v>
      </c>
      <c r="BD8" s="22"/>
      <c r="BE8" s="603" t="s">
        <v>316</v>
      </c>
      <c r="BF8" s="542"/>
      <c r="BG8" s="542"/>
      <c r="BH8" s="542"/>
    </row>
    <row r="9" spans="2:62" x14ac:dyDescent="0.3">
      <c r="G9" s="845" t="s">
        <v>516</v>
      </c>
      <c r="H9" s="8">
        <f>'WiS percent RSV_low'!AX20-SUM('WiS percent RSV_low'!BG22:BH22)</f>
        <v>824.89255783919225</v>
      </c>
      <c r="L9" s="845" t="s">
        <v>520</v>
      </c>
      <c r="M9" s="8">
        <f>'WiS percent RSV_low'!BT20-SUM('WiS percent RSV_low'!CC22:CD22)</f>
        <v>3902.9634949392239</v>
      </c>
      <c r="N9" s="845"/>
      <c r="O9" s="8"/>
      <c r="T9" s="28"/>
      <c r="U9" s="28"/>
      <c r="V9" s="28"/>
      <c r="W9" s="28"/>
      <c r="X9" s="28"/>
      <c r="Y9" s="28"/>
      <c r="Z9" s="28"/>
      <c r="AA9" s="28"/>
      <c r="AB9" s="28"/>
      <c r="AC9" s="28"/>
      <c r="AD9" s="28"/>
      <c r="AE9" s="28"/>
      <c r="AF9" s="22"/>
      <c r="AH9" s="539"/>
      <c r="AI9" s="539"/>
      <c r="AJ9" s="539"/>
      <c r="AK9" s="539"/>
      <c r="AL9" s="539"/>
      <c r="AN9" s="599"/>
      <c r="AR9" s="28"/>
      <c r="AS9" s="28"/>
      <c r="AT9" s="28"/>
      <c r="AU9" s="28"/>
      <c r="AV9" s="28"/>
      <c r="AW9" s="28"/>
      <c r="AX9" s="28"/>
      <c r="AY9" s="28"/>
      <c r="AZ9" s="28"/>
      <c r="BA9" s="28"/>
      <c r="BB9" s="28"/>
      <c r="BC9" s="28"/>
      <c r="BD9" s="22"/>
      <c r="BE9" s="538"/>
      <c r="BF9" s="539"/>
      <c r="BG9" s="539"/>
    </row>
    <row r="10" spans="2:62" x14ac:dyDescent="0.3">
      <c r="B10" s="592" t="s">
        <v>108</v>
      </c>
      <c r="G10" s="40" t="s">
        <v>517</v>
      </c>
      <c r="H10" s="22">
        <f>SUM(D12:O23)</f>
        <v>0.43311901504787953</v>
      </c>
      <c r="L10" s="40" t="s">
        <v>521</v>
      </c>
      <c r="M10" s="22">
        <f>H10</f>
        <v>0.43311901504787953</v>
      </c>
      <c r="N10" s="40"/>
      <c r="O10" s="22"/>
      <c r="R10" s="592" t="s">
        <v>108</v>
      </c>
      <c r="AF10" s="1"/>
      <c r="AN10" s="599"/>
      <c r="AP10" s="592" t="s">
        <v>108</v>
      </c>
      <c r="BD10" s="1"/>
      <c r="BE10" s="538"/>
      <c r="BI10" s="1" t="s">
        <v>348</v>
      </c>
    </row>
    <row r="11" spans="2:62" ht="57.6" x14ac:dyDescent="0.3">
      <c r="B11" s="558" t="s">
        <v>519</v>
      </c>
      <c r="D11" s="13">
        <v>1</v>
      </c>
      <c r="E11" s="13">
        <v>2</v>
      </c>
      <c r="F11" s="13">
        <v>3</v>
      </c>
      <c r="G11" s="13">
        <v>4</v>
      </c>
      <c r="H11" s="13">
        <v>5</v>
      </c>
      <c r="I11" s="13">
        <v>6</v>
      </c>
      <c r="J11" s="13">
        <v>7</v>
      </c>
      <c r="K11" s="13">
        <v>8</v>
      </c>
      <c r="L11" s="13">
        <v>9</v>
      </c>
      <c r="M11" s="13">
        <v>10</v>
      </c>
      <c r="N11" s="13">
        <v>11</v>
      </c>
      <c r="O11" s="13">
        <v>12</v>
      </c>
      <c r="R11" s="558" t="s">
        <v>320</v>
      </c>
      <c r="T11" s="500">
        <v>1</v>
      </c>
      <c r="U11" s="500">
        <v>2</v>
      </c>
      <c r="V11" s="500">
        <v>3</v>
      </c>
      <c r="W11" s="500">
        <v>4</v>
      </c>
      <c r="X11" s="500">
        <v>5</v>
      </c>
      <c r="Y11" s="500">
        <v>6</v>
      </c>
      <c r="Z11" s="500">
        <v>7</v>
      </c>
      <c r="AA11" s="500">
        <v>8</v>
      </c>
      <c r="AB11" s="500">
        <v>9</v>
      </c>
      <c r="AC11" s="500">
        <v>10</v>
      </c>
      <c r="AD11" s="500">
        <v>11</v>
      </c>
      <c r="AE11" s="500">
        <v>12</v>
      </c>
      <c r="AG11" s="544" t="s">
        <v>315</v>
      </c>
      <c r="AH11" s="1112" t="s">
        <v>324</v>
      </c>
      <c r="AI11" s="1112"/>
      <c r="AK11" s="1112" t="s">
        <v>325</v>
      </c>
      <c r="AL11" s="1112"/>
      <c r="AN11" s="599"/>
      <c r="AP11" s="558" t="s">
        <v>320</v>
      </c>
      <c r="AR11" s="500">
        <v>1</v>
      </c>
      <c r="AS11" s="500">
        <v>2</v>
      </c>
      <c r="AT11" s="500">
        <v>3</v>
      </c>
      <c r="AU11" s="500">
        <v>4</v>
      </c>
      <c r="AV11" s="500">
        <v>5</v>
      </c>
      <c r="AW11" s="500">
        <v>6</v>
      </c>
      <c r="AX11" s="500">
        <v>7</v>
      </c>
      <c r="AY11" s="500">
        <v>8</v>
      </c>
      <c r="AZ11" s="500">
        <v>9</v>
      </c>
      <c r="BA11" s="500">
        <v>10</v>
      </c>
      <c r="BB11" s="500">
        <v>11</v>
      </c>
      <c r="BC11" s="500">
        <v>12</v>
      </c>
      <c r="BE11" s="544" t="s">
        <v>315</v>
      </c>
      <c r="BF11" s="1112" t="s">
        <v>325</v>
      </c>
      <c r="BG11" s="1112"/>
      <c r="BI11" s="1112" t="s">
        <v>345</v>
      </c>
      <c r="BJ11" s="1112"/>
    </row>
    <row r="12" spans="2:62" ht="28.8" x14ac:dyDescent="0.3">
      <c r="B12" s="26">
        <v>0</v>
      </c>
      <c r="D12" s="276"/>
      <c r="E12" s="276"/>
      <c r="F12" s="276"/>
      <c r="G12" s="276"/>
      <c r="H12" s="276"/>
      <c r="I12" s="276"/>
      <c r="J12" s="276"/>
      <c r="K12" s="276"/>
      <c r="L12" s="276"/>
      <c r="M12" s="276"/>
      <c r="N12" s="276"/>
      <c r="O12" s="276"/>
      <c r="R12" s="26">
        <v>0</v>
      </c>
      <c r="U12" s="275"/>
      <c r="V12" s="275"/>
      <c r="W12" s="275"/>
      <c r="X12" s="275"/>
      <c r="Y12" s="275"/>
      <c r="Z12" s="275"/>
      <c r="AA12" s="275"/>
      <c r="AB12" s="275"/>
      <c r="AC12" s="275"/>
      <c r="AD12" s="275"/>
      <c r="AE12" s="275"/>
      <c r="AF12" s="275"/>
      <c r="AG12" s="546" t="s">
        <v>317</v>
      </c>
      <c r="AH12" s="594" t="s">
        <v>312</v>
      </c>
      <c r="AI12" s="595" t="s">
        <v>313</v>
      </c>
      <c r="AJ12" s="572"/>
      <c r="AK12" s="570" t="s">
        <v>312</v>
      </c>
      <c r="AL12" s="571" t="s">
        <v>313</v>
      </c>
      <c r="AN12" s="599"/>
      <c r="AP12" s="26">
        <v>0</v>
      </c>
      <c r="AS12" s="275"/>
      <c r="AT12" s="275"/>
      <c r="AU12" s="275"/>
      <c r="AV12" s="275"/>
      <c r="AW12" s="275"/>
      <c r="AX12" s="35"/>
      <c r="AY12" s="35"/>
      <c r="AZ12" s="35"/>
      <c r="BA12" s="35"/>
      <c r="BB12" s="35"/>
      <c r="BC12" s="35"/>
      <c r="BD12" s="275"/>
      <c r="BE12" s="546" t="s">
        <v>317</v>
      </c>
      <c r="BF12" s="570" t="s">
        <v>312</v>
      </c>
      <c r="BG12" s="571" t="s">
        <v>313</v>
      </c>
      <c r="BI12" s="570" t="s">
        <v>312</v>
      </c>
      <c r="BJ12" s="571" t="s">
        <v>313</v>
      </c>
    </row>
    <row r="13" spans="2:62" x14ac:dyDescent="0.3">
      <c r="B13" s="26">
        <v>1</v>
      </c>
      <c r="D13" s="856">
        <f>'WiS percent RSV_low'!E9</f>
        <v>2.301915184678523E-2</v>
      </c>
      <c r="E13" s="856">
        <f>'WiS percent RSV_low'!F10</f>
        <v>3.4772913816689469E-2</v>
      </c>
      <c r="F13" s="856">
        <f>'WiS percent RSV_low'!G11</f>
        <v>3.4339261285909715E-2</v>
      </c>
      <c r="G13" s="856">
        <f>'WiS percent RSV_low'!H12</f>
        <v>1.8787961696306428E-2</v>
      </c>
      <c r="H13" s="856">
        <f>'WiS percent RSV_low'!I13</f>
        <v>4.6415868673050616E-3</v>
      </c>
      <c r="I13" s="856">
        <f>'WiS percent RSV_low'!J14</f>
        <v>1.0601915184678522E-3</v>
      </c>
      <c r="J13" s="856">
        <f>'WiS percent RSV_low'!K15</f>
        <v>0</v>
      </c>
      <c r="K13" s="856">
        <f>'WiS percent RSV_low'!L16</f>
        <v>0</v>
      </c>
      <c r="L13" s="856">
        <f>'WiS percent RSV_low'!M17</f>
        <v>0</v>
      </c>
      <c r="M13" s="856">
        <f>'WiS percent RSV_low'!N18</f>
        <v>0</v>
      </c>
      <c r="N13" s="856">
        <f>'WiS percent RSV_low'!O19</f>
        <v>0</v>
      </c>
      <c r="O13" s="246"/>
      <c r="R13" s="26">
        <v>1</v>
      </c>
      <c r="T13" s="275">
        <f>D13/$H$10*$H$9</f>
        <v>43.840899121190404</v>
      </c>
      <c r="U13" s="275">
        <f t="shared" ref="U13:AD23" si="0">E13/$H$10*$H$9</f>
        <v>66.22641081366487</v>
      </c>
      <c r="V13" s="275">
        <f t="shared" si="0"/>
        <v>65.400502153688791</v>
      </c>
      <c r="W13" s="275">
        <f t="shared" si="0"/>
        <v>35.782427558710928</v>
      </c>
      <c r="X13" s="275">
        <f t="shared" si="0"/>
        <v>8.8400885908479818</v>
      </c>
      <c r="Y13" s="275">
        <f t="shared" si="0"/>
        <v>2.0191773232853483</v>
      </c>
      <c r="Z13" s="275">
        <f t="shared" si="0"/>
        <v>0</v>
      </c>
      <c r="AA13" s="275">
        <f t="shared" si="0"/>
        <v>0</v>
      </c>
      <c r="AB13" s="275">
        <f t="shared" si="0"/>
        <v>0</v>
      </c>
      <c r="AC13" s="275">
        <f t="shared" si="0"/>
        <v>0</v>
      </c>
      <c r="AD13" s="275">
        <f t="shared" si="0"/>
        <v>0</v>
      </c>
      <c r="AE13" s="275"/>
      <c r="AF13" s="275"/>
      <c r="AG13" s="170"/>
      <c r="AH13" s="551"/>
      <c r="AI13" s="556"/>
      <c r="AK13" s="551"/>
      <c r="AL13" s="556"/>
      <c r="AN13" s="599"/>
      <c r="AP13" s="26">
        <v>1</v>
      </c>
      <c r="AR13" s="275">
        <f>D13/$M$10*$M$9</f>
        <v>207.43238283485155</v>
      </c>
      <c r="AS13" s="275">
        <f t="shared" ref="AS13:BB23" si="1">E13/$M$10*$M$9</f>
        <v>313.34900691026866</v>
      </c>
      <c r="AT13" s="275">
        <f t="shared" si="1"/>
        <v>309.44123574733715</v>
      </c>
      <c r="AU13" s="275">
        <f t="shared" si="1"/>
        <v>169.30387745016046</v>
      </c>
      <c r="AV13" s="275">
        <f t="shared" si="1"/>
        <v>41.826711532575686</v>
      </c>
      <c r="AW13" s="275">
        <f t="shared" si="1"/>
        <v>9.5536992153687486</v>
      </c>
      <c r="AX13" s="275">
        <f t="shared" si="1"/>
        <v>0</v>
      </c>
      <c r="AY13" s="275">
        <f t="shared" si="1"/>
        <v>0</v>
      </c>
      <c r="AZ13" s="275">
        <f t="shared" si="1"/>
        <v>0</v>
      </c>
      <c r="BA13" s="275">
        <f t="shared" si="1"/>
        <v>0</v>
      </c>
      <c r="BB13" s="275">
        <f t="shared" si="1"/>
        <v>0</v>
      </c>
      <c r="BC13" s="275"/>
      <c r="BD13" s="275"/>
      <c r="BE13" s="170"/>
      <c r="BF13" s="551"/>
      <c r="BG13" s="556"/>
      <c r="BI13" s="551"/>
      <c r="BJ13" s="556"/>
    </row>
    <row r="14" spans="2:62" x14ac:dyDescent="0.3">
      <c r="B14" s="26">
        <v>2</v>
      </c>
      <c r="D14" s="856">
        <f>'WiS percent RSV_low'!E10</f>
        <v>1.1995896032831738E-2</v>
      </c>
      <c r="E14" s="856">
        <f>'WiS percent RSV_low'!F11</f>
        <v>2.4121751025991792E-2</v>
      </c>
      <c r="F14" s="856">
        <f>'WiS percent RSV_low'!G12</f>
        <v>2.809575923392613E-2</v>
      </c>
      <c r="G14" s="856">
        <f>'WiS percent RSV_low'!H13</f>
        <v>8.6484268125854996E-3</v>
      </c>
      <c r="H14" s="856">
        <f>'WiS percent RSV_low'!I14</f>
        <v>4.0013679890560875E-3</v>
      </c>
      <c r="I14" s="856">
        <f>'WiS percent RSV_low'!J15</f>
        <v>1.5266757865937074E-3</v>
      </c>
      <c r="J14" s="856">
        <f>'WiS percent RSV_low'!K16</f>
        <v>0</v>
      </c>
      <c r="K14" s="856">
        <f>'WiS percent RSV_low'!L17</f>
        <v>0</v>
      </c>
      <c r="L14" s="856">
        <f>'WiS percent RSV_low'!M18</f>
        <v>0</v>
      </c>
      <c r="M14" s="856">
        <f>'WiS percent RSV_low'!N19</f>
        <v>0</v>
      </c>
      <c r="N14" s="246"/>
      <c r="O14" s="246"/>
      <c r="R14" s="26">
        <v>2</v>
      </c>
      <c r="T14" s="275">
        <f t="shared" ref="T14:T23" si="2">D14/$H$10*$H$9</f>
        <v>22.846665739211897</v>
      </c>
      <c r="U14" s="275">
        <f t="shared" si="0"/>
        <v>45.940843537407154</v>
      </c>
      <c r="V14" s="275">
        <f t="shared" si="0"/>
        <v>53.509501762109011</v>
      </c>
      <c r="W14" s="275">
        <f t="shared" si="0"/>
        <v>16.47127617781932</v>
      </c>
      <c r="X14" s="275">
        <f t="shared" si="0"/>
        <v>7.6207660265930883</v>
      </c>
      <c r="Y14" s="275">
        <f t="shared" si="0"/>
        <v>2.907615345530902</v>
      </c>
      <c r="Z14" s="275">
        <f t="shared" si="0"/>
        <v>0</v>
      </c>
      <c r="AA14" s="275">
        <f t="shared" si="0"/>
        <v>0</v>
      </c>
      <c r="AB14" s="275">
        <f t="shared" si="0"/>
        <v>0</v>
      </c>
      <c r="AC14" s="275">
        <f t="shared" si="0"/>
        <v>0</v>
      </c>
      <c r="AD14" s="275">
        <f t="shared" si="0"/>
        <v>0</v>
      </c>
      <c r="AE14" s="275"/>
      <c r="AF14" s="275"/>
      <c r="AG14" s="562">
        <f>IF(AND(R12&gt;0,12-'Input 4_RSV Season'!$AG$27+1&gt;R12),IF(AG13&gt;0,AG13+1,1),0)</f>
        <v>0</v>
      </c>
      <c r="AH14" s="549">
        <f>IF($AG14&gt;0,SUMIF($T$7:$AE$7,"&gt;0",$T12:$AE12),0)</f>
        <v>0</v>
      </c>
      <c r="AI14" s="549">
        <f>IF($AG14&gt;0,SUMIF($T$7:$AE$7,0,$T12:$AE12),0)</f>
        <v>0</v>
      </c>
      <c r="AK14" s="563">
        <f>IF($AG14&gt;0,SUMIF($T$8:$AE$8,"&gt;0",$T12:$AE12),0)</f>
        <v>0</v>
      </c>
      <c r="AL14" s="564">
        <f>IF($AG14&gt;0,SUMIF($T$8:$AE$8,0,$T12:$AE12),0)</f>
        <v>0</v>
      </c>
      <c r="AN14" s="599"/>
      <c r="AP14" s="26">
        <v>2</v>
      </c>
      <c r="AR14" s="275">
        <f t="shared" ref="AR14:AR23" si="3">D14/$M$10*$M$9</f>
        <v>108.09856570266909</v>
      </c>
      <c r="AS14" s="275">
        <f t="shared" si="1"/>
        <v>217.36823001883499</v>
      </c>
      <c r="AT14" s="275">
        <f t="shared" si="1"/>
        <v>253.17919288418494</v>
      </c>
      <c r="AU14" s="275">
        <f t="shared" si="1"/>
        <v>77.933530889756426</v>
      </c>
      <c r="AV14" s="275">
        <f t="shared" si="1"/>
        <v>36.057509941875594</v>
      </c>
      <c r="AW14" s="275">
        <f t="shared" si="1"/>
        <v>13.757326870130997</v>
      </c>
      <c r="AX14" s="275">
        <f t="shared" si="1"/>
        <v>0</v>
      </c>
      <c r="AY14" s="275">
        <f t="shared" si="1"/>
        <v>0</v>
      </c>
      <c r="AZ14" s="275">
        <f t="shared" si="1"/>
        <v>0</v>
      </c>
      <c r="BA14" s="275">
        <f t="shared" si="1"/>
        <v>0</v>
      </c>
      <c r="BB14" s="275">
        <f t="shared" si="1"/>
        <v>0</v>
      </c>
      <c r="BC14" s="275"/>
      <c r="BD14" s="275"/>
      <c r="BE14" s="562">
        <f>IF(AND(AP12&gt;0,12-'Input 4_RSV Season'!$AG$27+1&gt;AP12),IF(BE13&gt;0,BE13+1,1),0)</f>
        <v>0</v>
      </c>
      <c r="BF14" s="549">
        <f>IF($BE14&gt;0,SUMIF($AR$8:$BC$8,"&gt;0",$AR12:$BC12),0)</f>
        <v>0</v>
      </c>
      <c r="BG14" s="564">
        <f>IF($BE14&gt;0,SUMIF($AR$8:$BC$8,0,$AR12:$BC12),0)</f>
        <v>0</v>
      </c>
      <c r="BI14" s="693"/>
      <c r="BJ14" s="564"/>
    </row>
    <row r="15" spans="2:62" x14ac:dyDescent="0.3">
      <c r="B15" s="26">
        <v>3</v>
      </c>
      <c r="D15" s="856">
        <f>'WiS percent RSV_low'!E11</f>
        <v>8.3214774281805751E-3</v>
      </c>
      <c r="E15" s="856">
        <f>'WiS percent RSV_low'!F12</f>
        <v>1.97359781121751E-2</v>
      </c>
      <c r="F15" s="856">
        <f>'WiS percent RSV_low'!G13</f>
        <v>1.2932968536251711E-2</v>
      </c>
      <c r="G15" s="856">
        <f>'WiS percent RSV_low'!H14</f>
        <v>7.4555403556771545E-3</v>
      </c>
      <c r="H15" s="856">
        <f>'WiS percent RSV_low'!I15</f>
        <v>5.7619699042407669E-3</v>
      </c>
      <c r="I15" s="856">
        <f>'WiS percent RSV_low'!J16</f>
        <v>7.633378932968537E-4</v>
      </c>
      <c r="J15" s="856">
        <f>'WiS percent RSV_low'!K17</f>
        <v>0</v>
      </c>
      <c r="K15" s="856">
        <f>'WiS percent RSV_low'!L18</f>
        <v>0</v>
      </c>
      <c r="L15" s="856">
        <f>'WiS percent RSV_low'!M19</f>
        <v>0</v>
      </c>
      <c r="M15" s="246"/>
      <c r="N15" s="246"/>
      <c r="O15" s="246"/>
      <c r="R15" s="26">
        <v>3</v>
      </c>
      <c r="T15" s="275">
        <f t="shared" si="2"/>
        <v>15.848587945219064</v>
      </c>
      <c r="U15" s="275">
        <f t="shared" si="0"/>
        <v>37.587962894242217</v>
      </c>
      <c r="V15" s="275">
        <f t="shared" si="0"/>
        <v>24.63135795398669</v>
      </c>
      <c r="W15" s="275">
        <f t="shared" si="0"/>
        <v>14.19937601536148</v>
      </c>
      <c r="X15" s="275">
        <f t="shared" si="0"/>
        <v>10.97390307829405</v>
      </c>
      <c r="Y15" s="275">
        <f t="shared" si="0"/>
        <v>1.453807672765451</v>
      </c>
      <c r="Z15" s="275">
        <f t="shared" si="0"/>
        <v>0</v>
      </c>
      <c r="AA15" s="275">
        <f t="shared" si="0"/>
        <v>0</v>
      </c>
      <c r="AB15" s="275">
        <f t="shared" si="0"/>
        <v>0</v>
      </c>
      <c r="AC15" s="275">
        <f t="shared" si="0"/>
        <v>0</v>
      </c>
      <c r="AD15" s="275">
        <f t="shared" si="0"/>
        <v>0</v>
      </c>
      <c r="AE15" s="275"/>
      <c r="AF15" s="275"/>
      <c r="AG15" s="562">
        <f>IF(AND(R13&gt;0,12-'Input 4_RSV Season'!$AG$27+1&gt;R13),IF(AG14&gt;0,AG14+1,1),0)</f>
        <v>1</v>
      </c>
      <c r="AH15" s="549">
        <f>IF($AG15&gt;0,SUMIF($T$7:$AE$7,"&gt;0",$T13:$AE13),0)</f>
        <v>220.09032823810298</v>
      </c>
      <c r="AI15" s="549">
        <f>IF($AG15&gt;0,SUMIF($T$7:$AE$7,0,$T13:$AE13),0)</f>
        <v>2.0191773232853483</v>
      </c>
      <c r="AK15" s="549">
        <f>IF($AG15&gt;0,SUMIF($T$8:$AE$8,"&gt;0",$T13:$AE13),0)</f>
        <v>220.09032823810298</v>
      </c>
      <c r="AL15" s="565">
        <f>IF($AG15&gt;0,SUMIF($T$8:$AE$8,0,$T13:$AE13),0)</f>
        <v>2.0191773232853483</v>
      </c>
      <c r="AN15" s="599"/>
      <c r="AP15" s="26">
        <v>3</v>
      </c>
      <c r="AR15" s="275">
        <f t="shared" si="3"/>
        <v>74.987293325274962</v>
      </c>
      <c r="AS15" s="275">
        <f t="shared" si="1"/>
        <v>177.84673365177406</v>
      </c>
      <c r="AT15" s="275">
        <f t="shared" si="1"/>
        <v>116.54280307367245</v>
      </c>
      <c r="AU15" s="275">
        <f t="shared" si="1"/>
        <v>67.184078353238277</v>
      </c>
      <c r="AV15" s="275">
        <f t="shared" si="1"/>
        <v>51.922814316300865</v>
      </c>
      <c r="AW15" s="275">
        <f t="shared" si="1"/>
        <v>6.8786634350654987</v>
      </c>
      <c r="AX15" s="275">
        <f t="shared" si="1"/>
        <v>0</v>
      </c>
      <c r="AY15" s="275">
        <f t="shared" si="1"/>
        <v>0</v>
      </c>
      <c r="AZ15" s="275">
        <f t="shared" si="1"/>
        <v>0</v>
      </c>
      <c r="BA15" s="275">
        <f t="shared" si="1"/>
        <v>0</v>
      </c>
      <c r="BB15" s="275">
        <f t="shared" si="1"/>
        <v>0</v>
      </c>
      <c r="BC15" s="275"/>
      <c r="BD15" s="275"/>
      <c r="BE15" s="562">
        <f>IF(AND(AP13&gt;0,12-'Input 4_RSV Season'!$AG$27+1&gt;AP13),IF(BE14&gt;0,BE14+1,1),0)</f>
        <v>1</v>
      </c>
      <c r="BF15" s="549">
        <f>IF($BE15&gt;0,SUMIF($AR$8:$BC$8,"&gt;0",$AR13:$BC13),0)</f>
        <v>1041.3532144751935</v>
      </c>
      <c r="BG15" s="565">
        <f>IF($BE15&gt;0,SUMIF($AR$8:$BC$8,0,$AR13:$BC13),0)</f>
        <v>9.5536992153687486</v>
      </c>
      <c r="BI15" s="693">
        <f>IF(SUM($AR$7:$BC$7)=4,SUM(AR13:AU13),IF(SUM($AR$7:$BC$7)=3,SUM(AR13:AT13),IF(SUM($AR$7:$BC$7)=2,SUM(AR13:AS13),IF(SUM($AR$7:$BC$7)=1,#REF!,0))))</f>
        <v>830.22262549245738</v>
      </c>
      <c r="BJ15" s="565">
        <f>IF($BE15&gt;0,SUM($AR13:$BC13)-BI15,0)</f>
        <v>220.68428819810492</v>
      </c>
    </row>
    <row r="16" spans="2:62" x14ac:dyDescent="0.3">
      <c r="B16" s="26">
        <v>4</v>
      </c>
      <c r="D16" s="856">
        <f>'WiS percent RSV_low'!E12</f>
        <v>6.8084815321477424E-3</v>
      </c>
      <c r="E16" s="856">
        <f>'WiS percent RSV_low'!F13</f>
        <v>9.0848153214774276E-3</v>
      </c>
      <c r="F16" s="856">
        <f>'WiS percent RSV_low'!G14</f>
        <v>1.1149110807113543E-2</v>
      </c>
      <c r="G16" s="856">
        <f>'WiS percent RSV_low'!H15</f>
        <v>1.0735978112175104E-2</v>
      </c>
      <c r="H16" s="856">
        <f>'WiS percent RSV_low'!I16</f>
        <v>2.8809849521203835E-3</v>
      </c>
      <c r="I16" s="856">
        <f>'WiS percent RSV_low'!J17</f>
        <v>8.9056087551299596E-4</v>
      </c>
      <c r="J16" s="856">
        <f>'WiS percent RSV_low'!K18</f>
        <v>0</v>
      </c>
      <c r="K16" s="856">
        <f>'WiS percent RSV_low'!L19</f>
        <v>0</v>
      </c>
      <c r="L16" s="246"/>
      <c r="M16" s="246"/>
      <c r="N16" s="246"/>
      <c r="O16" s="246"/>
      <c r="R16" s="26">
        <v>4</v>
      </c>
      <c r="T16" s="275">
        <f t="shared" si="2"/>
        <v>12.967026500633779</v>
      </c>
      <c r="U16" s="275">
        <f t="shared" si="0"/>
        <v>17.302395617984512</v>
      </c>
      <c r="V16" s="275">
        <f t="shared" si="0"/>
        <v>21.233929270678178</v>
      </c>
      <c r="W16" s="275">
        <f t="shared" si="0"/>
        <v>20.447101462120536</v>
      </c>
      <c r="X16" s="275">
        <f t="shared" si="0"/>
        <v>5.4869515391470252</v>
      </c>
      <c r="Y16" s="275">
        <f t="shared" si="0"/>
        <v>1.6961089515596928</v>
      </c>
      <c r="Z16" s="275">
        <f t="shared" si="0"/>
        <v>0</v>
      </c>
      <c r="AA16" s="275">
        <f t="shared" si="0"/>
        <v>0</v>
      </c>
      <c r="AB16" s="275">
        <f t="shared" si="0"/>
        <v>0</v>
      </c>
      <c r="AC16" s="275">
        <f t="shared" si="0"/>
        <v>0</v>
      </c>
      <c r="AD16" s="275">
        <f t="shared" si="0"/>
        <v>0</v>
      </c>
      <c r="AE16" s="275"/>
      <c r="AF16" s="275"/>
      <c r="AG16" s="562">
        <f>IF(AND(R14&gt;0,12-'Input 4_RSV Season'!$AG$27+1&gt;R14),IF(AG15&gt;0,AG15+1,1),0)</f>
        <v>2</v>
      </c>
      <c r="AH16" s="549">
        <f t="shared" ref="AH16:AH25" si="4">IF($AG16&gt;0,SUMIF($T$7:$AE$7,"&gt;0",$T14:$AE14),0)</f>
        <v>146.38905324314047</v>
      </c>
      <c r="AI16" s="549">
        <f t="shared" ref="AI16:AI25" si="5">IF($AG16&gt;0,SUMIF($T$7:$AE$7,0,$T14:$AE14),0)</f>
        <v>2.907615345530902</v>
      </c>
      <c r="AK16" s="549">
        <f t="shared" ref="AK16:AK25" si="6">IF($AG16&gt;0,SUMIF($T$8:$AE$8,"&gt;0",$T14:$AE14),0)</f>
        <v>146.38905324314047</v>
      </c>
      <c r="AL16" s="565">
        <f t="shared" ref="AL16:AL25" si="7">IF($AG16&gt;0,SUMIF($T$8:$AE$8,0,$T14:$AE14),0)</f>
        <v>2.907615345530902</v>
      </c>
      <c r="AN16" s="599"/>
      <c r="AP16" s="26">
        <v>4</v>
      </c>
      <c r="AR16" s="275">
        <f t="shared" si="3"/>
        <v>61.353239993406781</v>
      </c>
      <c r="AS16" s="275">
        <f t="shared" si="1"/>
        <v>81.865956760340453</v>
      </c>
      <c r="AT16" s="275">
        <f t="shared" si="1"/>
        <v>100.46793368420037</v>
      </c>
      <c r="AU16" s="275">
        <f t="shared" si="1"/>
        <v>96.745072828663154</v>
      </c>
      <c r="AV16" s="275">
        <f t="shared" si="1"/>
        <v>25.961407158150433</v>
      </c>
      <c r="AW16" s="275">
        <f t="shared" si="1"/>
        <v>8.0251073409097486</v>
      </c>
      <c r="AX16" s="275">
        <f t="shared" si="1"/>
        <v>0</v>
      </c>
      <c r="AY16" s="275">
        <f t="shared" si="1"/>
        <v>0</v>
      </c>
      <c r="AZ16" s="275">
        <f t="shared" si="1"/>
        <v>0</v>
      </c>
      <c r="BA16" s="275">
        <f t="shared" si="1"/>
        <v>0</v>
      </c>
      <c r="BB16" s="275">
        <f t="shared" si="1"/>
        <v>0</v>
      </c>
      <c r="BC16" s="275"/>
      <c r="BD16" s="275"/>
      <c r="BE16" s="562">
        <f>IF(AND(AP14&gt;0,12-'Input 4_RSV Season'!$AG$27+1&gt;AP14),IF(BE15&gt;0,BE15+1,1),0)</f>
        <v>2</v>
      </c>
      <c r="BF16" s="549">
        <f t="shared" ref="BF16:BF25" si="8">IF($BE16&gt;0,SUMIF($AR$8:$BC$8,"&gt;0",$AR14:$BC14),0)</f>
        <v>692.63702943732096</v>
      </c>
      <c r="BG16" s="565">
        <f t="shared" ref="BG16:BG25" si="9">IF($BE16&gt;0,SUMIF($AR$8:$BC$8,0,$AR14:$BC14),0)</f>
        <v>13.757326870130997</v>
      </c>
      <c r="BI16" s="693">
        <f>IF(SUM($AR$7:$BC$7)=4,SUM(AR14:AT14),IF(SUM($AR$7:$BC$7)=3,SUM(AR14:AS14),IF(SUM($AR$7:$BC$7)=2,AR14,0)))</f>
        <v>325.46679572150407</v>
      </c>
      <c r="BJ16" s="565">
        <f>IF($BE16&gt;0,SUM($AR14:$BC14)-BI16,0)</f>
        <v>380.9275605859479</v>
      </c>
    </row>
    <row r="17" spans="2:62" x14ac:dyDescent="0.3">
      <c r="B17" s="26">
        <v>5</v>
      </c>
      <c r="D17" s="856">
        <f>'WiS percent RSV_low'!E13</f>
        <v>3.1340629274965799E-3</v>
      </c>
      <c r="E17" s="856">
        <f>'WiS percent RSV_low'!F14</f>
        <v>7.8317373461012311E-3</v>
      </c>
      <c r="F17" s="856">
        <f>'WiS percent RSV_low'!G15</f>
        <v>1.6054719562243504E-2</v>
      </c>
      <c r="G17" s="856">
        <f>'WiS percent RSV_low'!H16</f>
        <v>5.3679890560875522E-3</v>
      </c>
      <c r="H17" s="856">
        <f>'WiS percent RSV_low'!I17</f>
        <v>3.3611491108071143E-3</v>
      </c>
      <c r="I17" s="856">
        <f>'WiS percent RSV_low'!J18</f>
        <v>8.4815321477428195E-4</v>
      </c>
      <c r="J17" s="856">
        <f>'WiS percent RSV_low'!K19</f>
        <v>0</v>
      </c>
      <c r="K17" s="246"/>
      <c r="L17" s="246"/>
      <c r="M17" s="246"/>
      <c r="N17" s="246"/>
      <c r="O17" s="246"/>
      <c r="R17" s="26">
        <v>5</v>
      </c>
      <c r="T17" s="275">
        <f t="shared" si="2"/>
        <v>5.9689487066409459</v>
      </c>
      <c r="U17" s="275">
        <f t="shared" si="0"/>
        <v>14.915858291365959</v>
      </c>
      <c r="V17" s="275">
        <f t="shared" si="0"/>
        <v>30.576858149776584</v>
      </c>
      <c r="W17" s="275">
        <f t="shared" si="0"/>
        <v>10.223550731060268</v>
      </c>
      <c r="X17" s="275">
        <f t="shared" si="0"/>
        <v>6.4014434623381957</v>
      </c>
      <c r="Y17" s="275">
        <f t="shared" si="0"/>
        <v>1.6153418586282791</v>
      </c>
      <c r="Z17" s="275">
        <f t="shared" si="0"/>
        <v>0</v>
      </c>
      <c r="AA17" s="275">
        <f t="shared" si="0"/>
        <v>0</v>
      </c>
      <c r="AB17" s="275">
        <f t="shared" si="0"/>
        <v>0</v>
      </c>
      <c r="AC17" s="275">
        <f t="shared" si="0"/>
        <v>0</v>
      </c>
      <c r="AD17" s="275">
        <f t="shared" si="0"/>
        <v>0</v>
      </c>
      <c r="AE17" s="275"/>
      <c r="AF17" s="275"/>
      <c r="AG17" s="562">
        <f>IF(AND(R15&gt;0,12-'Input 4_RSV Season'!$AG$27+1&gt;R15),IF(AG16&gt;0,AG16+1,1),0)</f>
        <v>3</v>
      </c>
      <c r="AH17" s="549">
        <f t="shared" si="4"/>
        <v>103.24118788710351</v>
      </c>
      <c r="AI17" s="549">
        <f t="shared" si="5"/>
        <v>1.453807672765451</v>
      </c>
      <c r="AK17" s="549">
        <f t="shared" si="6"/>
        <v>103.24118788710351</v>
      </c>
      <c r="AL17" s="565">
        <f t="shared" si="7"/>
        <v>1.453807672765451</v>
      </c>
      <c r="AN17" s="599"/>
      <c r="AP17" s="26">
        <v>5</v>
      </c>
      <c r="AR17" s="275">
        <f t="shared" si="3"/>
        <v>28.241967616012648</v>
      </c>
      <c r="AS17" s="275">
        <f t="shared" si="1"/>
        <v>70.574100655465912</v>
      </c>
      <c r="AT17" s="275">
        <f t="shared" si="1"/>
        <v>144.67382450524858</v>
      </c>
      <c r="AU17" s="275">
        <f t="shared" si="1"/>
        <v>48.372536414331577</v>
      </c>
      <c r="AV17" s="275">
        <f t="shared" si="1"/>
        <v>30.288308351175509</v>
      </c>
      <c r="AW17" s="275">
        <f t="shared" si="1"/>
        <v>7.6429593722949996</v>
      </c>
      <c r="AX17" s="275">
        <f t="shared" si="1"/>
        <v>0</v>
      </c>
      <c r="AY17" s="275">
        <f t="shared" si="1"/>
        <v>0</v>
      </c>
      <c r="AZ17" s="275">
        <f t="shared" si="1"/>
        <v>0</v>
      </c>
      <c r="BA17" s="275">
        <f t="shared" si="1"/>
        <v>0</v>
      </c>
      <c r="BB17" s="275">
        <f t="shared" si="1"/>
        <v>0</v>
      </c>
      <c r="BC17" s="275"/>
      <c r="BD17" s="275"/>
      <c r="BE17" s="562">
        <f>IF(AND(AP15&gt;0,12-'Input 4_RSV Season'!$AG$27+1&gt;AP15),IF(BE16&gt;0,BE16+1,1),0)</f>
        <v>3</v>
      </c>
      <c r="BF17" s="549">
        <f t="shared" si="8"/>
        <v>488.48372272026057</v>
      </c>
      <c r="BG17" s="565">
        <f t="shared" si="9"/>
        <v>6.8786634350654987</v>
      </c>
      <c r="BI17" s="693">
        <f>IF(SUM($AR$7:$BC$7)=4,SUM(AR15:AS15),IF(SUM($AR$7:$BC$7)=3,AR15,0))</f>
        <v>74.987293325274962</v>
      </c>
      <c r="BJ17" s="565">
        <f t="shared" ref="BJ17:BJ25" si="10">IF($BE17&gt;0,SUM($AR15:$BC15)-BI17,0)</f>
        <v>420.37509283005113</v>
      </c>
    </row>
    <row r="18" spans="2:62" x14ac:dyDescent="0.3">
      <c r="B18" s="26">
        <v>6</v>
      </c>
      <c r="D18" s="856">
        <f>'WiS percent RSV_low'!E14</f>
        <v>2.7017783857729138E-3</v>
      </c>
      <c r="E18" s="856">
        <f>'WiS percent RSV_low'!F15</f>
        <v>1.1277701778385774E-2</v>
      </c>
      <c r="F18" s="856">
        <f>'WiS percent RSV_low'!G16</f>
        <v>8.0273597811217519E-3</v>
      </c>
      <c r="G18" s="856">
        <f>'WiS percent RSV_low'!H17</f>
        <v>6.2626538987688102E-3</v>
      </c>
      <c r="H18" s="856">
        <f>'WiS percent RSV_low'!I18</f>
        <v>3.2010943912448705E-3</v>
      </c>
      <c r="I18" s="856">
        <f>'WiS percent RSV_low'!J19</f>
        <v>6.3611491108071143E-4</v>
      </c>
      <c r="J18" s="246"/>
      <c r="K18" s="246"/>
      <c r="L18" s="246"/>
      <c r="M18" s="246"/>
      <c r="N18" s="246"/>
      <c r="O18" s="246"/>
      <c r="R18" s="26">
        <v>6</v>
      </c>
      <c r="T18" s="275">
        <f t="shared" si="2"/>
        <v>5.1456454367594358</v>
      </c>
      <c r="U18" s="275">
        <f t="shared" si="0"/>
        <v>21.478835939566984</v>
      </c>
      <c r="V18" s="275">
        <f t="shared" si="0"/>
        <v>15.288429074888292</v>
      </c>
      <c r="W18" s="275">
        <f t="shared" si="0"/>
        <v>11.927475852903644</v>
      </c>
      <c r="X18" s="275">
        <f t="shared" si="0"/>
        <v>6.0966128212744719</v>
      </c>
      <c r="Y18" s="275">
        <f t="shared" si="0"/>
        <v>1.211506393971209</v>
      </c>
      <c r="Z18" s="275">
        <f t="shared" si="0"/>
        <v>0</v>
      </c>
      <c r="AA18" s="275">
        <f t="shared" si="0"/>
        <v>0</v>
      </c>
      <c r="AB18" s="275">
        <f t="shared" si="0"/>
        <v>0</v>
      </c>
      <c r="AC18" s="275">
        <f t="shared" si="0"/>
        <v>0</v>
      </c>
      <c r="AD18" s="275">
        <f t="shared" si="0"/>
        <v>0</v>
      </c>
      <c r="AE18" s="275"/>
      <c r="AF18" s="275"/>
      <c r="AG18" s="562">
        <f>IF(AND(R16&gt;0,12-'Input 4_RSV Season'!$AG$27+1&gt;R16),IF(AG17&gt;0,AG17+1,1),0)</f>
        <v>4</v>
      </c>
      <c r="AH18" s="549">
        <f t="shared" si="4"/>
        <v>77.437404390564026</v>
      </c>
      <c r="AI18" s="549">
        <f t="shared" si="5"/>
        <v>1.6961089515596928</v>
      </c>
      <c r="AK18" s="549">
        <f t="shared" si="6"/>
        <v>77.437404390564026</v>
      </c>
      <c r="AL18" s="565">
        <f t="shared" si="7"/>
        <v>1.6961089515596928</v>
      </c>
      <c r="AN18" s="599"/>
      <c r="AP18" s="26">
        <v>6</v>
      </c>
      <c r="AR18" s="275">
        <f t="shared" si="3"/>
        <v>24.346523806907452</v>
      </c>
      <c r="AS18" s="275">
        <f t="shared" si="1"/>
        <v>101.62670494387092</v>
      </c>
      <c r="AT18" s="275">
        <f t="shared" si="1"/>
        <v>72.336912252624288</v>
      </c>
      <c r="AU18" s="275">
        <f t="shared" si="1"/>
        <v>56.434625816720164</v>
      </c>
      <c r="AV18" s="275">
        <f t="shared" si="1"/>
        <v>28.846007953500482</v>
      </c>
      <c r="AW18" s="275">
        <f t="shared" si="1"/>
        <v>5.7322195292212488</v>
      </c>
      <c r="AX18" s="275">
        <f t="shared" si="1"/>
        <v>0</v>
      </c>
      <c r="AY18" s="275">
        <f t="shared" si="1"/>
        <v>0</v>
      </c>
      <c r="AZ18" s="275">
        <f t="shared" si="1"/>
        <v>0</v>
      </c>
      <c r="BA18" s="275">
        <f t="shared" si="1"/>
        <v>0</v>
      </c>
      <c r="BB18" s="275">
        <f t="shared" si="1"/>
        <v>0</v>
      </c>
      <c r="BC18" s="275"/>
      <c r="BD18" s="275"/>
      <c r="BE18" s="562">
        <f>IF(AND(AP16&gt;0,12-'Input 4_RSV Season'!$AG$27+1&gt;AP16),IF(BE17&gt;0,BE17+1,1),0)</f>
        <v>4</v>
      </c>
      <c r="BF18" s="549">
        <f t="shared" si="8"/>
        <v>366.39361042476122</v>
      </c>
      <c r="BG18" s="565">
        <f t="shared" si="9"/>
        <v>8.0251073409097486</v>
      </c>
      <c r="BI18" s="693">
        <f>IF(SUM($AR$7:$BC$7)=4,AR16,0)</f>
        <v>0</v>
      </c>
      <c r="BJ18" s="565">
        <f t="shared" si="10"/>
        <v>374.41871776567098</v>
      </c>
    </row>
    <row r="19" spans="2:62" x14ac:dyDescent="0.3">
      <c r="B19" s="26">
        <v>7</v>
      </c>
      <c r="D19" s="856">
        <f>'WiS percent RSV_low'!E15</f>
        <v>3.8905608755129962E-3</v>
      </c>
      <c r="E19" s="856">
        <f>'WiS percent RSV_low'!F16</f>
        <v>5.6388508891928868E-3</v>
      </c>
      <c r="F19" s="856">
        <f>'WiS percent RSV_low'!G17</f>
        <v>9.3652530779753784E-3</v>
      </c>
      <c r="G19" s="856">
        <f>'WiS percent RSV_low'!H18</f>
        <v>5.9644322845417239E-3</v>
      </c>
      <c r="H19" s="856">
        <f>'WiS percent RSV_low'!I19</f>
        <v>2.4008207934336531E-3</v>
      </c>
      <c r="I19" s="246"/>
      <c r="J19" s="246"/>
      <c r="K19" s="246"/>
      <c r="L19" s="246"/>
      <c r="M19" s="246"/>
      <c r="N19" s="246"/>
      <c r="O19" s="246"/>
      <c r="R19" s="26">
        <v>7</v>
      </c>
      <c r="T19" s="275">
        <f t="shared" si="2"/>
        <v>7.4097294289335887</v>
      </c>
      <c r="U19" s="275">
        <f t="shared" si="0"/>
        <v>10.739417969783492</v>
      </c>
      <c r="V19" s="275">
        <f t="shared" si="0"/>
        <v>17.836500587369674</v>
      </c>
      <c r="W19" s="275">
        <f t="shared" si="0"/>
        <v>11.359500812289186</v>
      </c>
      <c r="X19" s="275">
        <f t="shared" si="0"/>
        <v>4.5724596159558537</v>
      </c>
      <c r="Y19" s="275">
        <f t="shared" si="0"/>
        <v>0</v>
      </c>
      <c r="Z19" s="275">
        <f t="shared" si="0"/>
        <v>0</v>
      </c>
      <c r="AA19" s="275">
        <f t="shared" si="0"/>
        <v>0</v>
      </c>
      <c r="AB19" s="275">
        <f t="shared" si="0"/>
        <v>0</v>
      </c>
      <c r="AC19" s="275">
        <f t="shared" si="0"/>
        <v>0</v>
      </c>
      <c r="AD19" s="275">
        <f t="shared" si="0"/>
        <v>0</v>
      </c>
      <c r="AE19" s="275"/>
      <c r="AF19" s="275"/>
      <c r="AG19" s="562">
        <f>IF(AND(R17&gt;0,12-'Input 4_RSV Season'!$AG$27+1&gt;R17),IF(AG18&gt;0,AG18+1,1),0)</f>
        <v>5</v>
      </c>
      <c r="AH19" s="549">
        <f t="shared" si="4"/>
        <v>68.086659341181957</v>
      </c>
      <c r="AI19" s="549">
        <f t="shared" si="5"/>
        <v>1.6153418586282791</v>
      </c>
      <c r="AK19" s="549">
        <f t="shared" si="6"/>
        <v>68.086659341181957</v>
      </c>
      <c r="AL19" s="565">
        <f t="shared" si="7"/>
        <v>1.6153418586282791</v>
      </c>
      <c r="AN19" s="599"/>
      <c r="AP19" s="26">
        <v>7</v>
      </c>
      <c r="AR19" s="275">
        <f t="shared" si="3"/>
        <v>35.058994281946738</v>
      </c>
      <c r="AS19" s="275">
        <f t="shared" si="1"/>
        <v>50.81335247193546</v>
      </c>
      <c r="AT19" s="275">
        <f t="shared" si="1"/>
        <v>84.393064294728333</v>
      </c>
      <c r="AU19" s="275">
        <f t="shared" si="1"/>
        <v>53.74726268259063</v>
      </c>
      <c r="AV19" s="275">
        <f t="shared" si="1"/>
        <v>21.63450596512536</v>
      </c>
      <c r="AW19" s="275">
        <f t="shared" si="1"/>
        <v>0</v>
      </c>
      <c r="AX19" s="275">
        <f t="shared" si="1"/>
        <v>0</v>
      </c>
      <c r="AY19" s="275">
        <f t="shared" si="1"/>
        <v>0</v>
      </c>
      <c r="AZ19" s="275">
        <f t="shared" si="1"/>
        <v>0</v>
      </c>
      <c r="BA19" s="275">
        <f t="shared" si="1"/>
        <v>0</v>
      </c>
      <c r="BB19" s="275">
        <f t="shared" si="1"/>
        <v>0</v>
      </c>
      <c r="BC19" s="275"/>
      <c r="BD19" s="275"/>
      <c r="BE19" s="562">
        <f>IF(AND(AP17&gt;0,12-'Input 4_RSV Season'!$AG$27+1&gt;AP17),IF(BE18&gt;0,BE18+1,1),0)</f>
        <v>5</v>
      </c>
      <c r="BF19" s="549">
        <f t="shared" si="8"/>
        <v>322.1507375422342</v>
      </c>
      <c r="BG19" s="565">
        <f t="shared" si="9"/>
        <v>7.6429593722949996</v>
      </c>
      <c r="BI19" s="693"/>
      <c r="BJ19" s="565">
        <f>IF($BE19&gt;0,SUM($AR17:$BC17)-BI19,0)</f>
        <v>329.79369691452922</v>
      </c>
    </row>
    <row r="20" spans="2:62" x14ac:dyDescent="0.3">
      <c r="B20" s="26">
        <v>8</v>
      </c>
      <c r="D20" s="856">
        <f>'WiS percent RSV_low'!E16</f>
        <v>1.9452804377564981E-3</v>
      </c>
      <c r="E20" s="856">
        <f>'WiS percent RSV_low'!F17</f>
        <v>6.5786593707250346E-3</v>
      </c>
      <c r="F20" s="856">
        <f>'WiS percent RSV_low'!G18</f>
        <v>8.919288645690835E-3</v>
      </c>
      <c r="G20" s="856">
        <f>'WiS percent RSV_low'!H19</f>
        <v>4.4733242134062934E-3</v>
      </c>
      <c r="H20" s="246"/>
      <c r="I20" s="246"/>
      <c r="J20" s="246"/>
      <c r="K20" s="246"/>
      <c r="L20" s="246"/>
      <c r="M20" s="246"/>
      <c r="N20" s="246"/>
      <c r="O20" s="246"/>
      <c r="R20" s="26">
        <v>8</v>
      </c>
      <c r="T20" s="275">
        <f t="shared" si="2"/>
        <v>3.7048647144667943</v>
      </c>
      <c r="U20" s="275">
        <f t="shared" si="0"/>
        <v>12.529320964747408</v>
      </c>
      <c r="V20" s="275">
        <f t="shared" si="0"/>
        <v>16.987143416542544</v>
      </c>
      <c r="W20" s="275">
        <f t="shared" si="0"/>
        <v>8.5196256092168898</v>
      </c>
      <c r="X20" s="275">
        <f t="shared" si="0"/>
        <v>0</v>
      </c>
      <c r="Y20" s="275">
        <f t="shared" si="0"/>
        <v>0</v>
      </c>
      <c r="Z20" s="275">
        <f t="shared" si="0"/>
        <v>0</v>
      </c>
      <c r="AA20" s="275">
        <f t="shared" si="0"/>
        <v>0</v>
      </c>
      <c r="AB20" s="275">
        <f t="shared" si="0"/>
        <v>0</v>
      </c>
      <c r="AC20" s="275">
        <f t="shared" si="0"/>
        <v>0</v>
      </c>
      <c r="AD20" s="275">
        <f t="shared" si="0"/>
        <v>0</v>
      </c>
      <c r="AE20" s="275"/>
      <c r="AF20" s="275"/>
      <c r="AG20" s="562">
        <f>IF(AND(R18&gt;0,12-'Input 4_RSV Season'!$AG$27+1&gt;R18),IF(AG19&gt;0,AG19+1,1),0)</f>
        <v>6</v>
      </c>
      <c r="AH20" s="549">
        <f t="shared" si="4"/>
        <v>59.936999125392823</v>
      </c>
      <c r="AI20" s="549">
        <f t="shared" si="5"/>
        <v>1.211506393971209</v>
      </c>
      <c r="AK20" s="549">
        <f t="shared" si="6"/>
        <v>59.936999125392823</v>
      </c>
      <c r="AL20" s="565">
        <f t="shared" si="7"/>
        <v>1.211506393971209</v>
      </c>
      <c r="AN20" s="599"/>
      <c r="AP20" s="26">
        <v>8</v>
      </c>
      <c r="AR20" s="275">
        <f t="shared" si="3"/>
        <v>17.529497140973369</v>
      </c>
      <c r="AS20" s="275">
        <f t="shared" si="1"/>
        <v>59.282244550591365</v>
      </c>
      <c r="AT20" s="275">
        <f t="shared" si="1"/>
        <v>80.374346947360308</v>
      </c>
      <c r="AU20" s="275">
        <f t="shared" si="1"/>
        <v>40.310447011942983</v>
      </c>
      <c r="AV20" s="275">
        <f t="shared" si="1"/>
        <v>0</v>
      </c>
      <c r="AW20" s="275">
        <f t="shared" si="1"/>
        <v>0</v>
      </c>
      <c r="AX20" s="275">
        <f t="shared" si="1"/>
        <v>0</v>
      </c>
      <c r="AY20" s="275">
        <f t="shared" si="1"/>
        <v>0</v>
      </c>
      <c r="AZ20" s="275">
        <f t="shared" si="1"/>
        <v>0</v>
      </c>
      <c r="BA20" s="275">
        <f t="shared" si="1"/>
        <v>0</v>
      </c>
      <c r="BB20" s="275">
        <f t="shared" si="1"/>
        <v>0</v>
      </c>
      <c r="BC20" s="275"/>
      <c r="BD20" s="275"/>
      <c r="BE20" s="562">
        <f>IF(AND(AP18&gt;0,12-'Input 4_RSV Season'!$AG$27+1&gt;AP18),IF(BE19&gt;0,BE19+1,1),0)</f>
        <v>6</v>
      </c>
      <c r="BF20" s="549">
        <f t="shared" si="8"/>
        <v>283.59077477362331</v>
      </c>
      <c r="BG20" s="565">
        <f t="shared" si="9"/>
        <v>5.7322195292212488</v>
      </c>
      <c r="BI20" s="693"/>
      <c r="BJ20" s="565">
        <f t="shared" si="10"/>
        <v>289.32299430284456</v>
      </c>
    </row>
    <row r="21" spans="2:62" x14ac:dyDescent="0.3">
      <c r="B21" s="26">
        <v>9</v>
      </c>
      <c r="D21" s="856">
        <f>'WiS percent RSV_low'!E17</f>
        <v>2.2694938440492481E-3</v>
      </c>
      <c r="E21" s="856">
        <f>'WiS percent RSV_low'!F18</f>
        <v>6.265389876880985E-3</v>
      </c>
      <c r="F21" s="856">
        <f>'WiS percent RSV_low'!G19</f>
        <v>6.6894664842681271E-3</v>
      </c>
      <c r="G21" s="246"/>
      <c r="H21" s="246"/>
      <c r="I21" s="246"/>
      <c r="J21" s="246"/>
      <c r="K21" s="246"/>
      <c r="L21" s="246"/>
      <c r="M21" s="246"/>
      <c r="N21" s="246"/>
      <c r="O21" s="246"/>
      <c r="R21" s="26">
        <v>9</v>
      </c>
      <c r="T21" s="275">
        <f t="shared" si="2"/>
        <v>4.3223421668779274</v>
      </c>
      <c r="U21" s="275">
        <f t="shared" si="0"/>
        <v>11.932686633092768</v>
      </c>
      <c r="V21" s="275">
        <f t="shared" si="0"/>
        <v>12.74035756240691</v>
      </c>
      <c r="W21" s="275">
        <f t="shared" si="0"/>
        <v>0</v>
      </c>
      <c r="X21" s="275">
        <f t="shared" si="0"/>
        <v>0</v>
      </c>
      <c r="Y21" s="275">
        <f t="shared" si="0"/>
        <v>0</v>
      </c>
      <c r="Z21" s="275">
        <f t="shared" si="0"/>
        <v>0</v>
      </c>
      <c r="AA21" s="275">
        <f t="shared" si="0"/>
        <v>0</v>
      </c>
      <c r="AB21" s="275">
        <f t="shared" si="0"/>
        <v>0</v>
      </c>
      <c r="AC21" s="275">
        <f t="shared" si="0"/>
        <v>0</v>
      </c>
      <c r="AD21" s="275">
        <f t="shared" si="0"/>
        <v>0</v>
      </c>
      <c r="AE21" s="275"/>
      <c r="AF21" s="275"/>
      <c r="AG21" s="562">
        <f>IF(AND(R19&gt;0,12-'Input 4_RSV Season'!$AG$27+1&gt;R19),IF(AG20&gt;0,AG20+1,1),0)</f>
        <v>0</v>
      </c>
      <c r="AH21" s="549">
        <f t="shared" si="4"/>
        <v>0</v>
      </c>
      <c r="AI21" s="549">
        <f t="shared" si="5"/>
        <v>0</v>
      </c>
      <c r="AK21" s="549">
        <f t="shared" si="6"/>
        <v>0</v>
      </c>
      <c r="AL21" s="565">
        <f t="shared" si="7"/>
        <v>0</v>
      </c>
      <c r="AN21" s="599"/>
      <c r="AP21" s="26">
        <v>9</v>
      </c>
      <c r="AR21" s="275">
        <f t="shared" si="3"/>
        <v>20.451079997802264</v>
      </c>
      <c r="AS21" s="275">
        <f t="shared" si="1"/>
        <v>56.459280524372723</v>
      </c>
      <c r="AT21" s="275">
        <f t="shared" si="1"/>
        <v>60.280760210520235</v>
      </c>
      <c r="AU21" s="275">
        <f t="shared" si="1"/>
        <v>0</v>
      </c>
      <c r="AV21" s="275">
        <f t="shared" si="1"/>
        <v>0</v>
      </c>
      <c r="AW21" s="275">
        <f t="shared" si="1"/>
        <v>0</v>
      </c>
      <c r="AX21" s="275">
        <f t="shared" si="1"/>
        <v>0</v>
      </c>
      <c r="AY21" s="275">
        <f t="shared" si="1"/>
        <v>0</v>
      </c>
      <c r="AZ21" s="275">
        <f t="shared" si="1"/>
        <v>0</v>
      </c>
      <c r="BA21" s="275">
        <f t="shared" si="1"/>
        <v>0</v>
      </c>
      <c r="BB21" s="275">
        <f t="shared" si="1"/>
        <v>0</v>
      </c>
      <c r="BC21" s="275"/>
      <c r="BD21" s="275"/>
      <c r="BE21" s="562">
        <f>IF(AND(AP19&gt;0,12-'Input 4_RSV Season'!$AG$27+1&gt;AP19),IF(BE20&gt;0,BE20+1,1),0)</f>
        <v>0</v>
      </c>
      <c r="BF21" s="549">
        <f t="shared" si="8"/>
        <v>0</v>
      </c>
      <c r="BG21" s="565">
        <f t="shared" si="9"/>
        <v>0</v>
      </c>
      <c r="BI21" s="693"/>
      <c r="BJ21" s="565">
        <f t="shared" si="10"/>
        <v>0</v>
      </c>
    </row>
    <row r="22" spans="2:62" x14ac:dyDescent="0.3">
      <c r="B22" s="26">
        <v>10</v>
      </c>
      <c r="D22" s="856">
        <f>'WiS percent RSV_low'!E18</f>
        <v>2.1614227086183312E-3</v>
      </c>
      <c r="E22" s="856">
        <f>'WiS percent RSV_low'!F19</f>
        <v>4.699042407660739E-3</v>
      </c>
      <c r="F22" s="246"/>
      <c r="G22" s="246"/>
      <c r="H22" s="246"/>
      <c r="I22" s="246"/>
      <c r="J22" s="246"/>
      <c r="K22" s="246"/>
      <c r="L22" s="246"/>
      <c r="M22" s="246"/>
      <c r="N22" s="246"/>
      <c r="O22" s="246"/>
      <c r="R22" s="26">
        <v>10</v>
      </c>
      <c r="T22" s="275">
        <f t="shared" si="2"/>
        <v>4.116516349407549</v>
      </c>
      <c r="U22" s="275">
        <f t="shared" si="0"/>
        <v>8.9495149748195768</v>
      </c>
      <c r="V22" s="275">
        <f t="shared" si="0"/>
        <v>0</v>
      </c>
      <c r="W22" s="275">
        <f t="shared" si="0"/>
        <v>0</v>
      </c>
      <c r="X22" s="275">
        <f t="shared" si="0"/>
        <v>0</v>
      </c>
      <c r="Y22" s="275">
        <f t="shared" si="0"/>
        <v>0</v>
      </c>
      <c r="Z22" s="275">
        <f t="shared" si="0"/>
        <v>0</v>
      </c>
      <c r="AA22" s="275">
        <f t="shared" si="0"/>
        <v>0</v>
      </c>
      <c r="AB22" s="275">
        <f t="shared" si="0"/>
        <v>0</v>
      </c>
      <c r="AC22" s="275">
        <f t="shared" si="0"/>
        <v>0</v>
      </c>
      <c r="AD22" s="275">
        <f t="shared" si="0"/>
        <v>0</v>
      </c>
      <c r="AE22" s="275"/>
      <c r="AF22" s="275"/>
      <c r="AG22" s="562">
        <f>IF(AND(R20&gt;0,12-'Input 4_RSV Season'!$AG$27+1&gt;R20),IF(AG21&gt;0,AG21+1,1),0)</f>
        <v>0</v>
      </c>
      <c r="AH22" s="549">
        <f t="shared" si="4"/>
        <v>0</v>
      </c>
      <c r="AI22" s="549">
        <f t="shared" si="5"/>
        <v>0</v>
      </c>
      <c r="AK22" s="549">
        <f t="shared" si="6"/>
        <v>0</v>
      </c>
      <c r="AL22" s="565">
        <f t="shared" si="7"/>
        <v>0</v>
      </c>
      <c r="AN22" s="599"/>
      <c r="AP22" s="26">
        <v>10</v>
      </c>
      <c r="AR22" s="275">
        <f t="shared" si="3"/>
        <v>19.477219045525963</v>
      </c>
      <c r="AS22" s="275">
        <f t="shared" si="1"/>
        <v>42.344460393279547</v>
      </c>
      <c r="AT22" s="275">
        <f t="shared" si="1"/>
        <v>0</v>
      </c>
      <c r="AU22" s="275">
        <f t="shared" si="1"/>
        <v>0</v>
      </c>
      <c r="AV22" s="275">
        <f t="shared" si="1"/>
        <v>0</v>
      </c>
      <c r="AW22" s="275">
        <f t="shared" si="1"/>
        <v>0</v>
      </c>
      <c r="AX22" s="275">
        <f t="shared" si="1"/>
        <v>0</v>
      </c>
      <c r="AY22" s="275">
        <f t="shared" si="1"/>
        <v>0</v>
      </c>
      <c r="AZ22" s="275">
        <f t="shared" si="1"/>
        <v>0</v>
      </c>
      <c r="BA22" s="275">
        <f t="shared" si="1"/>
        <v>0</v>
      </c>
      <c r="BB22" s="275">
        <f t="shared" si="1"/>
        <v>0</v>
      </c>
      <c r="BC22" s="275"/>
      <c r="BD22" s="275"/>
      <c r="BE22" s="562">
        <f>IF(AND(AP20&gt;0,12-'Input 4_RSV Season'!$AG$27+1&gt;AP20),IF(BE21&gt;0,BE21+1,1),0)</f>
        <v>0</v>
      </c>
      <c r="BF22" s="549">
        <f t="shared" si="8"/>
        <v>0</v>
      </c>
      <c r="BG22" s="565">
        <f t="shared" si="9"/>
        <v>0</v>
      </c>
      <c r="BI22" s="693"/>
      <c r="BJ22" s="565">
        <f t="shared" si="10"/>
        <v>0</v>
      </c>
    </row>
    <row r="23" spans="2:62" x14ac:dyDescent="0.3">
      <c r="B23" s="26">
        <v>11</v>
      </c>
      <c r="D23" s="856">
        <f>'WiS percent RSV_low'!E19</f>
        <v>1.6210670314637486E-3</v>
      </c>
      <c r="E23" s="246"/>
      <c r="F23" s="246"/>
      <c r="G23" s="246"/>
      <c r="H23" s="246"/>
      <c r="I23" s="246"/>
      <c r="J23" s="246"/>
      <c r="K23" s="246"/>
      <c r="L23" s="246"/>
      <c r="M23" s="246"/>
      <c r="N23" s="246"/>
      <c r="O23" s="246"/>
      <c r="R23" s="26">
        <v>11</v>
      </c>
      <c r="T23" s="275">
        <f t="shared" si="2"/>
        <v>3.0873872620556622</v>
      </c>
      <c r="U23" s="275">
        <f t="shared" si="0"/>
        <v>0</v>
      </c>
      <c r="V23" s="275">
        <f t="shared" si="0"/>
        <v>0</v>
      </c>
      <c r="W23" s="275">
        <f t="shared" si="0"/>
        <v>0</v>
      </c>
      <c r="X23" s="275">
        <f t="shared" si="0"/>
        <v>0</v>
      </c>
      <c r="Y23" s="275">
        <f t="shared" si="0"/>
        <v>0</v>
      </c>
      <c r="Z23" s="275">
        <f t="shared" si="0"/>
        <v>0</v>
      </c>
      <c r="AA23" s="275">
        <f t="shared" si="0"/>
        <v>0</v>
      </c>
      <c r="AB23" s="275">
        <f t="shared" si="0"/>
        <v>0</v>
      </c>
      <c r="AC23" s="275">
        <f t="shared" si="0"/>
        <v>0</v>
      </c>
      <c r="AD23" s="275">
        <f t="shared" si="0"/>
        <v>0</v>
      </c>
      <c r="AE23" s="275"/>
      <c r="AF23" s="275"/>
      <c r="AG23" s="562">
        <f>IF(AND(R21&gt;0,12-'Input 4_RSV Season'!$AG$27+1&gt;R21),IF(AG22&gt;0,AG22+1,1),0)</f>
        <v>0</v>
      </c>
      <c r="AH23" s="549">
        <f t="shared" si="4"/>
        <v>0</v>
      </c>
      <c r="AI23" s="549">
        <f t="shared" si="5"/>
        <v>0</v>
      </c>
      <c r="AK23" s="549">
        <f t="shared" si="6"/>
        <v>0</v>
      </c>
      <c r="AL23" s="565">
        <f t="shared" si="7"/>
        <v>0</v>
      </c>
      <c r="AN23" s="599"/>
      <c r="AP23" s="26">
        <v>11</v>
      </c>
      <c r="AR23" s="275">
        <f t="shared" si="3"/>
        <v>14.607914284144474</v>
      </c>
      <c r="AS23" s="275">
        <f t="shared" si="1"/>
        <v>0</v>
      </c>
      <c r="AT23" s="275">
        <f t="shared" si="1"/>
        <v>0</v>
      </c>
      <c r="AU23" s="275">
        <f t="shared" si="1"/>
        <v>0</v>
      </c>
      <c r="AV23" s="275">
        <f t="shared" si="1"/>
        <v>0</v>
      </c>
      <c r="AW23" s="275">
        <f t="shared" si="1"/>
        <v>0</v>
      </c>
      <c r="AX23" s="275">
        <f t="shared" si="1"/>
        <v>0</v>
      </c>
      <c r="AY23" s="275">
        <f t="shared" si="1"/>
        <v>0</v>
      </c>
      <c r="AZ23" s="275">
        <f t="shared" si="1"/>
        <v>0</v>
      </c>
      <c r="BA23" s="275">
        <f t="shared" si="1"/>
        <v>0</v>
      </c>
      <c r="BB23" s="275">
        <f t="shared" si="1"/>
        <v>0</v>
      </c>
      <c r="BC23" s="275"/>
      <c r="BD23" s="275"/>
      <c r="BE23" s="562">
        <f>IF(AND(AP21&gt;0,12-'Input 4_RSV Season'!$AG$27+1&gt;AP21),IF(BE22&gt;0,BE22+1,1),0)</f>
        <v>0</v>
      </c>
      <c r="BF23" s="549">
        <f t="shared" si="8"/>
        <v>0</v>
      </c>
      <c r="BG23" s="565">
        <f t="shared" si="9"/>
        <v>0</v>
      </c>
      <c r="BI23" s="693"/>
      <c r="BJ23" s="565">
        <f t="shared" si="10"/>
        <v>0</v>
      </c>
    </row>
    <row r="24" spans="2:62" x14ac:dyDescent="0.3">
      <c r="C24" s="13"/>
      <c r="D24" s="14"/>
      <c r="E24" s="547"/>
      <c r="F24" s="13"/>
      <c r="G24" s="13"/>
      <c r="H24" s="14"/>
      <c r="I24" s="574"/>
      <c r="J24" s="574"/>
      <c r="K24" s="574"/>
      <c r="L24" s="597"/>
      <c r="M24" s="574"/>
      <c r="N24" s="574"/>
      <c r="O24" s="574"/>
      <c r="S24" s="13"/>
      <c r="T24" s="14"/>
      <c r="U24" s="547"/>
      <c r="V24" s="13"/>
      <c r="W24" s="13"/>
      <c r="X24" s="14"/>
      <c r="Y24" s="574"/>
      <c r="Z24" s="574"/>
      <c r="AA24" s="574"/>
      <c r="AB24" s="597"/>
      <c r="AC24" s="574"/>
      <c r="AD24" s="574"/>
      <c r="AE24" s="574"/>
      <c r="AF24" s="36"/>
      <c r="AG24" s="562">
        <f>IF(AND(R22&gt;0,12-'Input 4_RSV Season'!$AG$27+1&gt;R22),IF(AG23&gt;0,AG23+1,1),0)</f>
        <v>0</v>
      </c>
      <c r="AH24" s="549">
        <f t="shared" si="4"/>
        <v>0</v>
      </c>
      <c r="AI24" s="549">
        <f t="shared" si="5"/>
        <v>0</v>
      </c>
      <c r="AK24" s="549">
        <f t="shared" si="6"/>
        <v>0</v>
      </c>
      <c r="AL24" s="565">
        <f t="shared" si="7"/>
        <v>0</v>
      </c>
      <c r="AN24" s="599"/>
      <c r="AQ24" s="13"/>
      <c r="AR24" s="14"/>
      <c r="AS24" s="547"/>
      <c r="AT24" s="13"/>
      <c r="AU24" s="13"/>
      <c r="AV24" s="14"/>
      <c r="AW24" s="574"/>
      <c r="AX24" s="574"/>
      <c r="AY24" s="574"/>
      <c r="AZ24" s="597"/>
      <c r="BA24" s="574"/>
      <c r="BB24" s="574"/>
      <c r="BC24" s="574"/>
      <c r="BD24" s="36"/>
      <c r="BE24" s="562">
        <f>IF(AND(AP22&gt;0,12-'Input 4_RSV Season'!$AG$27+1&gt;AP22),IF(BE23&gt;0,BE23+1,1),0)</f>
        <v>0</v>
      </c>
      <c r="BF24" s="549">
        <f t="shared" si="8"/>
        <v>0</v>
      </c>
      <c r="BG24" s="565">
        <f t="shared" si="9"/>
        <v>0</v>
      </c>
      <c r="BI24" s="693"/>
      <c r="BJ24" s="565">
        <f t="shared" si="10"/>
        <v>0</v>
      </c>
    </row>
    <row r="25" spans="2:62" x14ac:dyDescent="0.3">
      <c r="C25" s="13"/>
      <c r="D25" s="13"/>
      <c r="E25" s="575"/>
      <c r="F25" s="13"/>
      <c r="G25" s="14"/>
      <c r="H25" s="88"/>
      <c r="I25" s="70"/>
      <c r="L25" s="13"/>
      <c r="M25" s="13"/>
      <c r="N25" s="13"/>
      <c r="O25" s="70"/>
      <c r="S25" s="13"/>
      <c r="T25" s="13"/>
      <c r="U25" s="575"/>
      <c r="V25" s="13"/>
      <c r="W25" s="13"/>
      <c r="X25" s="14"/>
      <c r="Y25" s="70"/>
      <c r="Z25" s="13"/>
      <c r="AA25" s="596"/>
      <c r="AB25" s="13"/>
      <c r="AC25" s="13"/>
      <c r="AD25" s="13"/>
      <c r="AE25" s="70"/>
      <c r="AF25" s="70"/>
      <c r="AG25" s="562">
        <f>IF(AND(R23&gt;0,12-'Input 4_RSV Season'!$AG$27+1&gt;R23),IF(AG24&gt;0,AG24+1,1),0)</f>
        <v>0</v>
      </c>
      <c r="AH25" s="550">
        <f t="shared" si="4"/>
        <v>0</v>
      </c>
      <c r="AI25" s="550">
        <f t="shared" si="5"/>
        <v>0</v>
      </c>
      <c r="AJ25" s="13"/>
      <c r="AK25" s="550">
        <f t="shared" si="6"/>
        <v>0</v>
      </c>
      <c r="AL25" s="566">
        <f t="shared" si="7"/>
        <v>0</v>
      </c>
      <c r="AN25" s="599"/>
      <c r="AQ25" s="13"/>
      <c r="AR25" s="13"/>
      <c r="AS25" s="575"/>
      <c r="AT25" s="13"/>
      <c r="AU25" s="13"/>
      <c r="AV25" s="14"/>
      <c r="AW25" s="70"/>
      <c r="AX25" s="13"/>
      <c r="AY25" s="596"/>
      <c r="AZ25" s="13"/>
      <c r="BA25" s="13"/>
      <c r="BB25" s="13"/>
      <c r="BC25" s="70"/>
      <c r="BD25" s="70"/>
      <c r="BE25" s="562">
        <f>IF(AND(AP23&gt;0,12-'Input 4_RSV Season'!$AG$27+1&gt;AP23),IF(BE24&gt;0,BE24+1,1),0)</f>
        <v>0</v>
      </c>
      <c r="BF25" s="550">
        <f t="shared" si="8"/>
        <v>0</v>
      </c>
      <c r="BG25" s="566">
        <f t="shared" si="9"/>
        <v>0</v>
      </c>
      <c r="BI25" s="694"/>
      <c r="BJ25" s="566">
        <f t="shared" si="10"/>
        <v>0</v>
      </c>
    </row>
    <row r="26" spans="2:62" x14ac:dyDescent="0.3">
      <c r="S26" s="13"/>
      <c r="T26" s="14"/>
      <c r="U26" s="70"/>
      <c r="V26" s="13"/>
      <c r="W26" s="13"/>
      <c r="X26" s="14"/>
      <c r="Y26" s="70"/>
      <c r="Z26" s="13"/>
      <c r="AA26" s="13"/>
      <c r="AB26" s="13"/>
      <c r="AC26" s="13"/>
      <c r="AD26" s="13"/>
      <c r="AE26" s="70"/>
      <c r="AF26" s="70"/>
      <c r="AH26" s="5">
        <f>SUM(AH14:AH25)</f>
        <v>675.18163222548571</v>
      </c>
      <c r="AI26" s="5">
        <f>SUM(AI14:AI25)</f>
        <v>10.903557545740881</v>
      </c>
      <c r="AJ26" s="593"/>
      <c r="AK26" s="5">
        <f>SUM(AK14:AK25)</f>
        <v>675.18163222548571</v>
      </c>
      <c r="AL26" s="5">
        <f>SUM(AL14:AL25)</f>
        <v>10.903557545740881</v>
      </c>
      <c r="AN26" s="599"/>
      <c r="AQ26" s="13"/>
      <c r="AR26" s="14"/>
      <c r="AS26" s="70"/>
      <c r="AT26" s="13"/>
      <c r="AU26" s="13"/>
      <c r="AV26" s="14"/>
      <c r="AW26" s="70"/>
      <c r="AX26" s="13"/>
      <c r="AY26" s="13"/>
      <c r="AZ26" s="13"/>
      <c r="BA26" s="13"/>
      <c r="BB26" s="13"/>
      <c r="BC26" s="70"/>
      <c r="BD26" s="70"/>
      <c r="BE26" s="538"/>
      <c r="BF26" s="5">
        <f>SUM(BF14:BF25)</f>
        <v>3194.609089373394</v>
      </c>
      <c r="BG26" s="5">
        <f>SUM(BG14:BG25)</f>
        <v>51.589975762991237</v>
      </c>
      <c r="BI26" s="5">
        <f>SUM(BI14:BI25)</f>
        <v>1230.6767145392364</v>
      </c>
      <c r="BJ26" s="5">
        <f>SUM(BJ14:BJ25)</f>
        <v>2015.5223505971487</v>
      </c>
    </row>
    <row r="27" spans="2:62" ht="15" thickBot="1" x14ac:dyDescent="0.35">
      <c r="S27" s="13"/>
      <c r="T27" s="14"/>
      <c r="U27" s="70"/>
      <c r="V27" s="13"/>
      <c r="W27" s="13"/>
      <c r="X27" s="14"/>
      <c r="Y27" s="70"/>
      <c r="Z27" s="13"/>
      <c r="AA27" s="510"/>
      <c r="AB27" s="510"/>
      <c r="AC27" s="510"/>
      <c r="AD27" s="510"/>
      <c r="AE27" s="70"/>
      <c r="AF27" s="70"/>
      <c r="AN27" s="599"/>
      <c r="AQ27" s="13"/>
      <c r="AR27" s="14"/>
      <c r="AS27" s="70"/>
      <c r="AT27" s="13"/>
      <c r="AU27" s="13"/>
      <c r="AV27" s="14"/>
      <c r="AW27" s="70"/>
      <c r="AX27" s="13"/>
      <c r="AY27" s="510"/>
      <c r="AZ27" s="510"/>
      <c r="BA27" s="510"/>
      <c r="BB27" s="510"/>
      <c r="BC27" s="70"/>
      <c r="BD27" s="70"/>
      <c r="BE27" s="538"/>
    </row>
    <row r="28" spans="2:62" ht="16.2" thickBot="1" x14ac:dyDescent="0.35">
      <c r="S28" s="13"/>
      <c r="T28" s="14"/>
      <c r="U28" s="575"/>
      <c r="V28" s="13"/>
      <c r="W28" s="13"/>
      <c r="X28" s="14"/>
      <c r="Y28" s="70"/>
      <c r="Z28" s="13"/>
      <c r="AA28" s="510"/>
      <c r="AB28" s="70"/>
      <c r="AC28" s="70"/>
      <c r="AD28" s="70"/>
      <c r="AE28" s="70"/>
      <c r="AF28" s="70"/>
      <c r="AH28" s="577">
        <f>AH26/('Input 1_Population'!$G$24*$I$4)</f>
        <v>3.4920561305651056E-2</v>
      </c>
      <c r="AI28" s="578">
        <f>AI26/('Input 1_Population'!$G$24*$I$4)</f>
        <v>5.6393469779488815E-4</v>
      </c>
      <c r="AJ28" s="869"/>
      <c r="AK28" s="577">
        <f>AK26/('Input 1_Population'!$G$24*$I$4)</f>
        <v>3.4920561305651056E-2</v>
      </c>
      <c r="AL28" s="578">
        <f>AL26/('Input 1_Population'!$G$24*$I$4)</f>
        <v>5.6393469779488815E-4</v>
      </c>
      <c r="AN28" s="599"/>
      <c r="AQ28" s="13"/>
      <c r="AR28" s="14"/>
      <c r="AS28" s="575"/>
      <c r="AT28" s="13"/>
      <c r="AU28" s="13"/>
      <c r="AV28" s="14"/>
      <c r="AW28" s="70"/>
      <c r="AX28" s="13"/>
      <c r="AY28" s="510"/>
      <c r="AZ28" s="70"/>
      <c r="BA28" s="70"/>
      <c r="BB28" s="70"/>
      <c r="BC28" s="70"/>
      <c r="BD28" s="70"/>
      <c r="BE28" s="538"/>
      <c r="BF28" s="577">
        <f>BF26/((1-'Input 1_Population'!$G$24)*$I$4)</f>
        <v>1.6352398923961844E-3</v>
      </c>
      <c r="BG28" s="577">
        <f>BG26/((1-'Input 1_Population'!$G$24)*$I$4)</f>
        <v>2.6407608585356751E-5</v>
      </c>
      <c r="BH28" s="20"/>
      <c r="BI28" s="577">
        <f>BI26/((1-'Input 1_Population'!$G$24)*$I$4)</f>
        <v>6.2995239854287234E-4</v>
      </c>
      <c r="BJ28" s="577">
        <f>BJ26/((1-'Input 1_Population'!$G$24)*$I$4)</f>
        <v>1.0316951024386689E-3</v>
      </c>
    </row>
    <row r="29" spans="2:62" ht="16.2" thickBot="1" x14ac:dyDescent="0.35">
      <c r="C29" s="1141" t="s">
        <v>518</v>
      </c>
      <c r="D29" s="1141"/>
      <c r="E29" s="1141"/>
      <c r="F29" s="1141"/>
      <c r="G29" s="1141"/>
      <c r="H29" s="1141"/>
      <c r="I29" s="1141"/>
      <c r="J29" s="1141"/>
      <c r="K29" s="1141"/>
      <c r="L29" s="1141"/>
      <c r="M29" s="1141"/>
      <c r="N29" s="1141"/>
      <c r="O29" s="847"/>
      <c r="P29" s="847"/>
      <c r="AH29" s="598" t="s">
        <v>326</v>
      </c>
      <c r="AI29" s="578">
        <f>SUM(AH28:AI28)</f>
        <v>3.5484496003445942E-2</v>
      </c>
      <c r="AK29" s="598" t="s">
        <v>326</v>
      </c>
      <c r="AL29" s="578">
        <f>SUM(AK28:AL28)</f>
        <v>3.5484496003445942E-2</v>
      </c>
      <c r="AN29" s="599"/>
      <c r="BE29" s="538"/>
      <c r="BF29" s="598" t="s">
        <v>326</v>
      </c>
      <c r="BG29" s="578">
        <f>SUM(BF28:BG28)</f>
        <v>1.6616475009815412E-3</v>
      </c>
      <c r="BI29" s="598" t="s">
        <v>326</v>
      </c>
      <c r="BJ29" s="578">
        <f>SUM(BI28:BJ28)</f>
        <v>1.6616475009815412E-3</v>
      </c>
    </row>
    <row r="30" spans="2:62" x14ac:dyDescent="0.3">
      <c r="G30" s="845" t="s">
        <v>516</v>
      </c>
      <c r="H30" s="8">
        <f>'WiS percent RSV_low'!AX43-SUM('WiS percent RSV_low'!BG45:BH45)</f>
        <v>6521.2067729879818</v>
      </c>
      <c r="L30" s="845" t="s">
        <v>520</v>
      </c>
      <c r="M30" s="8">
        <f>'WiS percent RSV_low'!BT43-SUM('WiS percent RSV_low'!CC45:CD45)</f>
        <v>44345.072556411236</v>
      </c>
      <c r="N30" s="845"/>
      <c r="O30" s="8"/>
      <c r="AI30" s="559"/>
      <c r="AN30" s="599"/>
      <c r="BE30" s="538"/>
    </row>
    <row r="31" spans="2:62" x14ac:dyDescent="0.3">
      <c r="B31" s="592" t="s">
        <v>7</v>
      </c>
      <c r="G31" s="40" t="s">
        <v>517</v>
      </c>
      <c r="H31" s="22">
        <f>SUM(D33:O44)</f>
        <v>0.73862307537486149</v>
      </c>
      <c r="L31" s="40" t="s">
        <v>521</v>
      </c>
      <c r="M31" s="22">
        <f>H31</f>
        <v>0.73862307537486149</v>
      </c>
      <c r="N31" s="40"/>
      <c r="O31" s="22"/>
      <c r="R31" s="592" t="s">
        <v>7</v>
      </c>
      <c r="AF31" s="1"/>
      <c r="AN31" s="599"/>
      <c r="AP31" s="592" t="s">
        <v>7</v>
      </c>
      <c r="BD31" s="1"/>
      <c r="BE31" s="538"/>
      <c r="BI31" s="1" t="s">
        <v>348</v>
      </c>
    </row>
    <row r="32" spans="2:62" ht="60" customHeight="1" x14ac:dyDescent="0.3">
      <c r="B32" s="558" t="s">
        <v>519</v>
      </c>
      <c r="D32" s="13">
        <v>1</v>
      </c>
      <c r="E32" s="13">
        <v>2</v>
      </c>
      <c r="F32" s="13">
        <v>3</v>
      </c>
      <c r="G32" s="13">
        <v>4</v>
      </c>
      <c r="H32" s="13">
        <v>5</v>
      </c>
      <c r="I32" s="13">
        <v>6</v>
      </c>
      <c r="J32" s="13">
        <v>7</v>
      </c>
      <c r="K32" s="13">
        <v>8</v>
      </c>
      <c r="L32" s="13">
        <v>9</v>
      </c>
      <c r="M32" s="13">
        <v>10</v>
      </c>
      <c r="N32" s="13">
        <v>11</v>
      </c>
      <c r="O32" s="13">
        <v>12</v>
      </c>
      <c r="R32" s="558" t="s">
        <v>320</v>
      </c>
      <c r="T32" s="500">
        <v>1</v>
      </c>
      <c r="U32" s="500">
        <v>2</v>
      </c>
      <c r="V32" s="500">
        <v>3</v>
      </c>
      <c r="W32" s="500">
        <v>4</v>
      </c>
      <c r="X32" s="500">
        <v>5</v>
      </c>
      <c r="Y32" s="500">
        <v>6</v>
      </c>
      <c r="Z32" s="500">
        <v>7</v>
      </c>
      <c r="AA32" s="500">
        <v>8</v>
      </c>
      <c r="AB32" s="500">
        <v>9</v>
      </c>
      <c r="AC32" s="500">
        <v>10</v>
      </c>
      <c r="AD32" s="500">
        <v>11</v>
      </c>
      <c r="AE32" s="500">
        <v>12</v>
      </c>
      <c r="AG32" s="544" t="s">
        <v>315</v>
      </c>
      <c r="AH32" s="1112" t="s">
        <v>117</v>
      </c>
      <c r="AI32" s="1112"/>
      <c r="AK32" s="1112" t="s">
        <v>216</v>
      </c>
      <c r="AL32" s="1112"/>
      <c r="AN32" s="599"/>
      <c r="AP32" s="558" t="s">
        <v>320</v>
      </c>
      <c r="AR32" s="500">
        <v>1</v>
      </c>
      <c r="AS32" s="500">
        <v>2</v>
      </c>
      <c r="AT32" s="500">
        <v>3</v>
      </c>
      <c r="AU32" s="500">
        <v>4</v>
      </c>
      <c r="AV32" s="500">
        <v>5</v>
      </c>
      <c r="AW32" s="500">
        <v>6</v>
      </c>
      <c r="AX32" s="500">
        <v>7</v>
      </c>
      <c r="AY32" s="500">
        <v>8</v>
      </c>
      <c r="AZ32" s="500">
        <v>9</v>
      </c>
      <c r="BA32" s="500">
        <v>10</v>
      </c>
      <c r="BB32" s="500">
        <v>11</v>
      </c>
      <c r="BC32" s="500">
        <v>12</v>
      </c>
      <c r="BE32" s="544" t="s">
        <v>315</v>
      </c>
      <c r="BF32" s="1112" t="s">
        <v>216</v>
      </c>
      <c r="BG32" s="1112"/>
      <c r="BI32" s="1112" t="s">
        <v>345</v>
      </c>
      <c r="BJ32" s="1112"/>
    </row>
    <row r="33" spans="2:62" ht="28.8" x14ac:dyDescent="0.3">
      <c r="B33" s="26">
        <v>0</v>
      </c>
      <c r="D33" s="276"/>
      <c r="E33" s="276"/>
      <c r="F33" s="276"/>
      <c r="G33" s="276"/>
      <c r="H33" s="276"/>
      <c r="I33" s="276"/>
      <c r="J33" s="276"/>
      <c r="K33" s="276"/>
      <c r="L33" s="276"/>
      <c r="M33" s="276"/>
      <c r="N33" s="276"/>
      <c r="O33" s="276"/>
      <c r="R33" s="26">
        <v>0</v>
      </c>
      <c r="T33" s="35"/>
      <c r="U33" s="35"/>
      <c r="V33" s="35"/>
      <c r="W33" s="35"/>
      <c r="X33" s="35"/>
      <c r="Y33" s="35"/>
      <c r="Z33" s="35"/>
      <c r="AA33" s="35"/>
      <c r="AB33" s="35"/>
      <c r="AC33" s="35"/>
      <c r="AD33" s="35"/>
      <c r="AE33" s="35"/>
      <c r="AF33" s="275"/>
      <c r="AG33" s="546" t="s">
        <v>317</v>
      </c>
      <c r="AH33" s="570" t="s">
        <v>312</v>
      </c>
      <c r="AI33" s="571" t="s">
        <v>313</v>
      </c>
      <c r="AJ33" s="572"/>
      <c r="AK33" s="570" t="s">
        <v>312</v>
      </c>
      <c r="AL33" s="571" t="s">
        <v>313</v>
      </c>
      <c r="AN33" s="599"/>
      <c r="AP33" s="26">
        <v>0</v>
      </c>
      <c r="AR33" s="35"/>
      <c r="AS33" s="35"/>
      <c r="AT33" s="35"/>
      <c r="AU33" s="35"/>
      <c r="AV33" s="35"/>
      <c r="AW33" s="35"/>
      <c r="AX33" s="35"/>
      <c r="AY33" s="35"/>
      <c r="AZ33" s="35"/>
      <c r="BA33" s="35"/>
      <c r="BB33" s="35"/>
      <c r="BC33" s="35"/>
      <c r="BD33" s="275"/>
      <c r="BE33" s="546" t="s">
        <v>317</v>
      </c>
      <c r="BF33" s="570" t="s">
        <v>312</v>
      </c>
      <c r="BG33" s="571" t="s">
        <v>313</v>
      </c>
      <c r="BI33" s="570" t="s">
        <v>312</v>
      </c>
      <c r="BJ33" s="571" t="s">
        <v>313</v>
      </c>
    </row>
    <row r="34" spans="2:62" x14ac:dyDescent="0.3">
      <c r="B34" s="26">
        <v>1</v>
      </c>
      <c r="D34" s="856">
        <f>'WiS percent RSV_low'!E32</f>
        <v>7.0924700613867369E-3</v>
      </c>
      <c r="E34" s="856">
        <f>'WiS percent RSV_low'!F33</f>
        <v>2.3218023548354633E-2</v>
      </c>
      <c r="F34" s="856">
        <f>'WiS percent RSV_low'!G34</f>
        <v>4.8033083425581165E-2</v>
      </c>
      <c r="G34" s="856">
        <f>'WiS percent RSV_low'!H35</f>
        <v>3.5400045285297367E-2</v>
      </c>
      <c r="H34" s="856">
        <f>'WiS percent RSV_low'!I36</f>
        <v>1.1690286303713396E-2</v>
      </c>
      <c r="I34" s="856">
        <f>'WiS percent RSV_low'!J37</f>
        <v>2.7335966589513935E-3</v>
      </c>
      <c r="J34" s="856">
        <f>'WiS percent RSV_low'!K38</f>
        <v>0</v>
      </c>
      <c r="K34" s="856">
        <f>'WiS percent RSV_low'!L39</f>
        <v>0</v>
      </c>
      <c r="L34" s="856">
        <f>'WiS percent RSV_low'!M40</f>
        <v>0</v>
      </c>
      <c r="M34" s="856">
        <f>'WiS percent RSV_low'!N41</f>
        <v>0</v>
      </c>
      <c r="N34" s="856">
        <f>'WiS percent RSV_low'!O42</f>
        <v>0</v>
      </c>
      <c r="O34" s="856"/>
      <c r="R34" s="26">
        <v>1</v>
      </c>
      <c r="T34" s="35">
        <f>D34/$H$31*$H$30</f>
        <v>62.618492900531734</v>
      </c>
      <c r="U34" s="35">
        <f t="shared" ref="U34:AD44" si="11">E34/$H$31*$H$30</f>
        <v>204.98890092498431</v>
      </c>
      <c r="V34" s="35">
        <f t="shared" si="11"/>
        <v>424.0778272509645</v>
      </c>
      <c r="W34" s="35">
        <f t="shared" si="11"/>
        <v>312.54238159483765</v>
      </c>
      <c r="X34" s="35">
        <f t="shared" si="11"/>
        <v>103.21201268083078</v>
      </c>
      <c r="Y34" s="35">
        <f t="shared" si="11"/>
        <v>24.134568281560963</v>
      </c>
      <c r="Z34" s="35">
        <f t="shared" si="11"/>
        <v>0</v>
      </c>
      <c r="AA34" s="35">
        <f t="shared" si="11"/>
        <v>0</v>
      </c>
      <c r="AB34" s="35">
        <f t="shared" si="11"/>
        <v>0</v>
      </c>
      <c r="AC34" s="35">
        <f t="shared" si="11"/>
        <v>0</v>
      </c>
      <c r="AD34" s="35">
        <f t="shared" si="11"/>
        <v>0</v>
      </c>
      <c r="AE34" s="35"/>
      <c r="AF34" s="275"/>
      <c r="AG34" s="170"/>
      <c r="AH34" s="551"/>
      <c r="AI34" s="556"/>
      <c r="AK34" s="551"/>
      <c r="AL34" s="556"/>
      <c r="AN34" s="599"/>
      <c r="AP34" s="26">
        <v>1</v>
      </c>
      <c r="AR34" s="35">
        <f>D34/$M$31*$M$30</f>
        <v>425.81407210538072</v>
      </c>
      <c r="AS34" s="35">
        <f t="shared" ref="AS34:BB44" si="12">E34/$M$31*$M$30</f>
        <v>1393.9517640248541</v>
      </c>
      <c r="AT34" s="35">
        <f t="shared" si="12"/>
        <v>2883.785574305989</v>
      </c>
      <c r="AU34" s="35">
        <f t="shared" si="12"/>
        <v>2125.3297236618978</v>
      </c>
      <c r="AV34" s="35">
        <f t="shared" si="12"/>
        <v>701.85540044263098</v>
      </c>
      <c r="AW34" s="35">
        <f t="shared" si="12"/>
        <v>164.11827117591915</v>
      </c>
      <c r="AX34" s="35">
        <f t="shared" si="12"/>
        <v>0</v>
      </c>
      <c r="AY34" s="35">
        <f t="shared" si="12"/>
        <v>0</v>
      </c>
      <c r="AZ34" s="35">
        <f t="shared" si="12"/>
        <v>0</v>
      </c>
      <c r="BA34" s="35">
        <f t="shared" si="12"/>
        <v>0</v>
      </c>
      <c r="BB34" s="35">
        <f t="shared" si="12"/>
        <v>0</v>
      </c>
      <c r="BC34" s="35"/>
      <c r="BD34" s="275"/>
      <c r="BE34" s="170"/>
      <c r="BF34" s="551"/>
      <c r="BG34" s="556"/>
      <c r="BI34" s="551"/>
      <c r="BJ34" s="556"/>
    </row>
    <row r="35" spans="2:62" x14ac:dyDescent="0.3">
      <c r="B35" s="26">
        <v>2</v>
      </c>
      <c r="D35" s="856">
        <f>'WiS percent RSV_low'!E33</f>
        <v>8.0097111804367516E-3</v>
      </c>
      <c r="E35" s="856">
        <f>'WiS percent RSV_low'!F34</f>
        <v>3.3741030995270198E-2</v>
      </c>
      <c r="F35" s="856">
        <f>'WiS percent RSV_low'!G35</f>
        <v>5.2937682399114415E-2</v>
      </c>
      <c r="G35" s="856">
        <f>'WiS percent RSV_low'!H36</f>
        <v>2.1781900976149744E-2</v>
      </c>
      <c r="H35" s="856">
        <f>'WiS percent RSV_low'!I37</f>
        <v>1.0317122874106873E-2</v>
      </c>
      <c r="I35" s="856">
        <f>'WiS percent RSV_low'!J38</f>
        <v>1.8717922914360469E-3</v>
      </c>
      <c r="J35" s="856">
        <f>'WiS percent RSV_low'!K39</f>
        <v>0</v>
      </c>
      <c r="K35" s="856">
        <f>'WiS percent RSV_low'!L40</f>
        <v>0</v>
      </c>
      <c r="L35" s="856">
        <f>'WiS percent RSV_low'!M41</f>
        <v>0</v>
      </c>
      <c r="M35" s="856">
        <f>'WiS percent RSV_low'!N42</f>
        <v>0</v>
      </c>
      <c r="N35" s="246"/>
      <c r="O35" s="246"/>
      <c r="R35" s="26">
        <v>2</v>
      </c>
      <c r="T35" s="35">
        <f t="shared" ref="T35:T44" si="13">D35/$H$31*$H$30</f>
        <v>70.716695078924715</v>
      </c>
      <c r="U35" s="35">
        <f t="shared" si="11"/>
        <v>297.89516086034007</v>
      </c>
      <c r="V35" s="35">
        <f t="shared" si="11"/>
        <v>467.37989174273889</v>
      </c>
      <c r="W35" s="35">
        <f t="shared" si="11"/>
        <v>192.30956208906932</v>
      </c>
      <c r="X35" s="35">
        <f t="shared" si="11"/>
        <v>91.088531901375262</v>
      </c>
      <c r="Y35" s="35">
        <f t="shared" si="11"/>
        <v>16.525809950284255</v>
      </c>
      <c r="Z35" s="35">
        <f t="shared" si="11"/>
        <v>0</v>
      </c>
      <c r="AA35" s="35">
        <f t="shared" si="11"/>
        <v>0</v>
      </c>
      <c r="AB35" s="35">
        <f t="shared" si="11"/>
        <v>0</v>
      </c>
      <c r="AC35" s="35">
        <f t="shared" si="11"/>
        <v>0</v>
      </c>
      <c r="AD35" s="35">
        <f t="shared" si="11"/>
        <v>0</v>
      </c>
      <c r="AE35" s="35"/>
      <c r="AF35" s="275"/>
      <c r="AG35" s="562">
        <f>IF(AND(R33&gt;0,12-'Input 4_RSV Season'!$AG$27+1&gt;R33),IF(AG34&gt;0,AG34+1,1),0)</f>
        <v>0</v>
      </c>
      <c r="AH35" s="549">
        <f>IF($AG35&gt;0,SUMIF($T$7:$AE$7,"&gt;0",$T33:$AE33),0)</f>
        <v>0</v>
      </c>
      <c r="AI35" s="549">
        <f>IF($AG35&gt;0,SUMIF($T$7:$AE$7,0,$T33:$AE33),0)</f>
        <v>0</v>
      </c>
      <c r="AK35" s="563">
        <f>IF($AG35&gt;0,SUMIF($T$8:$AE$8,"&gt;0",$T33:$AE33),0)</f>
        <v>0</v>
      </c>
      <c r="AL35" s="564">
        <f>IF($AG35&gt;0,SUMIF($T$8:$AE$8,0,$T33:$AE33),0)</f>
        <v>0</v>
      </c>
      <c r="AN35" s="599"/>
      <c r="AP35" s="26">
        <v>2</v>
      </c>
      <c r="AR35" s="35">
        <f t="shared" ref="AR35:AR44" si="14">D35/$M$31*$M$30</f>
        <v>480.88292296053913</v>
      </c>
      <c r="AS35" s="35">
        <f t="shared" si="12"/>
        <v>2025.7266764296667</v>
      </c>
      <c r="AT35" s="35">
        <f t="shared" si="12"/>
        <v>3178.2453665769663</v>
      </c>
      <c r="AU35" s="35">
        <f t="shared" si="12"/>
        <v>1307.7305751837057</v>
      </c>
      <c r="AV35" s="35">
        <f t="shared" si="12"/>
        <v>619.41412024459817</v>
      </c>
      <c r="AW35" s="35">
        <f t="shared" si="12"/>
        <v>112.37770351560796</v>
      </c>
      <c r="AX35" s="35">
        <f t="shared" si="12"/>
        <v>0</v>
      </c>
      <c r="AY35" s="35">
        <f t="shared" si="12"/>
        <v>0</v>
      </c>
      <c r="AZ35" s="35">
        <f t="shared" si="12"/>
        <v>0</v>
      </c>
      <c r="BA35" s="35">
        <f t="shared" si="12"/>
        <v>0</v>
      </c>
      <c r="BB35" s="35">
        <f t="shared" si="12"/>
        <v>0</v>
      </c>
      <c r="BC35" s="35"/>
      <c r="BD35" s="275"/>
      <c r="BE35" s="562">
        <f>IF(AND(AP33&gt;0,12-'Input 4_RSV Season'!$AG$27+1&gt;AP33),IF(BE34&gt;0,BE34+1,1),0)</f>
        <v>0</v>
      </c>
      <c r="BF35" s="549">
        <f>IF($BE35&gt;0,SUMIF($AR$8:$BC$8,"&gt;0",$AR33:$BC33),0)</f>
        <v>0</v>
      </c>
      <c r="BG35" s="564">
        <f>IF($BE35&gt;0,SUMIF($AR$8:$BC$8,0,$AR33:$BC33),0)</f>
        <v>0</v>
      </c>
      <c r="BI35" s="693"/>
      <c r="BJ35" s="564"/>
    </row>
    <row r="36" spans="2:62" x14ac:dyDescent="0.3">
      <c r="B36" s="26">
        <v>3</v>
      </c>
      <c r="D36" s="856">
        <f>'WiS percent RSV_low'!E34</f>
        <v>1.1639918989634698E-2</v>
      </c>
      <c r="E36" s="856">
        <f>'WiS percent RSV_low'!F35</f>
        <v>3.7186286102445398E-2</v>
      </c>
      <c r="F36" s="856">
        <f>'WiS percent RSV_low'!G36</f>
        <v>3.2572934487269806E-2</v>
      </c>
      <c r="G36" s="856">
        <f>'WiS percent RSV_low'!H37</f>
        <v>1.9223357150045282E-2</v>
      </c>
      <c r="H36" s="856">
        <f>'WiS percent RSV_low'!I38</f>
        <v>7.0645063902586291E-3</v>
      </c>
      <c r="I36" s="856">
        <f>'WiS percent RSV_low'!J39</f>
        <v>1.8561940223407467E-3</v>
      </c>
      <c r="J36" s="856">
        <f>'WiS percent RSV_low'!K40</f>
        <v>0</v>
      </c>
      <c r="K36" s="856">
        <f>'WiS percent RSV_low'!L41</f>
        <v>0</v>
      </c>
      <c r="L36" s="856">
        <f>'WiS percent RSV_low'!M42</f>
        <v>0</v>
      </c>
      <c r="M36" s="246"/>
      <c r="N36" s="246"/>
      <c r="O36" s="246"/>
      <c r="R36" s="26">
        <v>3</v>
      </c>
      <c r="T36" s="35">
        <f t="shared" si="13"/>
        <v>102.76732623566318</v>
      </c>
      <c r="U36" s="35">
        <f t="shared" si="11"/>
        <v>328.31286873953127</v>
      </c>
      <c r="V36" s="35">
        <f t="shared" si="11"/>
        <v>287.58218917906697</v>
      </c>
      <c r="W36" s="35">
        <f t="shared" si="11"/>
        <v>169.72051243162227</v>
      </c>
      <c r="X36" s="35">
        <f t="shared" si="11"/>
        <v>62.371605296234122</v>
      </c>
      <c r="Y36" s="35">
        <f t="shared" si="11"/>
        <v>16.388094867365222</v>
      </c>
      <c r="Z36" s="35">
        <f t="shared" si="11"/>
        <v>0</v>
      </c>
      <c r="AA36" s="35">
        <f t="shared" si="11"/>
        <v>0</v>
      </c>
      <c r="AB36" s="35">
        <f t="shared" si="11"/>
        <v>0</v>
      </c>
      <c r="AC36" s="35">
        <f t="shared" si="11"/>
        <v>0</v>
      </c>
      <c r="AD36" s="35">
        <f t="shared" si="11"/>
        <v>0</v>
      </c>
      <c r="AE36" s="35"/>
      <c r="AF36" s="275"/>
      <c r="AG36" s="562">
        <f>IF(AND(R34&gt;0,12-'Input 4_RSV Season'!$AG$27+1&gt;R34),IF(AG35&gt;0,AG35+1,1),0)</f>
        <v>1</v>
      </c>
      <c r="AH36" s="549">
        <f t="shared" ref="AH36:AH46" si="15">IF($AG36&gt;0,SUMIF($T$7:$AE$7,"&gt;0",$T34:$AE34),0)</f>
        <v>1107.4396153521491</v>
      </c>
      <c r="AI36" s="549">
        <f t="shared" ref="AI36:AI46" si="16">IF($AG36&gt;0,SUMIF($T$7:$AE$7,0,$T34:$AE34),0)</f>
        <v>24.134568281560963</v>
      </c>
      <c r="AK36" s="549">
        <f t="shared" ref="AK36:AK46" si="17">IF($AG36&gt;0,SUMIF($T$8:$AE$8,"&gt;0",$T34:$AE34),0)</f>
        <v>1107.4396153521491</v>
      </c>
      <c r="AL36" s="565">
        <f t="shared" ref="AL36:AL46" si="18">IF($AG36&gt;0,SUMIF($T$8:$AE$8,0,$T34:$AE34),0)</f>
        <v>24.134568281560963</v>
      </c>
      <c r="AN36" s="599"/>
      <c r="AP36" s="26">
        <v>3</v>
      </c>
      <c r="AR36" s="35">
        <f t="shared" si="14"/>
        <v>698.8314735281383</v>
      </c>
      <c r="AS36" s="35">
        <f t="shared" si="12"/>
        <v>2232.5711317365804</v>
      </c>
      <c r="AT36" s="35">
        <f t="shared" si="12"/>
        <v>1955.5970986692112</v>
      </c>
      <c r="AU36" s="35">
        <f t="shared" si="12"/>
        <v>1154.1220360113023</v>
      </c>
      <c r="AV36" s="35">
        <f t="shared" si="12"/>
        <v>424.13520359116558</v>
      </c>
      <c r="AW36" s="35">
        <f t="shared" si="12"/>
        <v>111.44122265297793</v>
      </c>
      <c r="AX36" s="35">
        <f t="shared" si="12"/>
        <v>0</v>
      </c>
      <c r="AY36" s="35">
        <f t="shared" si="12"/>
        <v>0</v>
      </c>
      <c r="AZ36" s="35">
        <f t="shared" si="12"/>
        <v>0</v>
      </c>
      <c r="BA36" s="35">
        <f t="shared" si="12"/>
        <v>0</v>
      </c>
      <c r="BB36" s="35">
        <f t="shared" si="12"/>
        <v>0</v>
      </c>
      <c r="BC36" s="35"/>
      <c r="BD36" s="275"/>
      <c r="BE36" s="562">
        <f>IF(AND(AP34&gt;0,12-'Input 4_RSV Season'!$AG$27+1&gt;AP34),IF(BE35&gt;0,BE35+1,1),0)</f>
        <v>1</v>
      </c>
      <c r="BF36" s="549">
        <f t="shared" ref="BF36:BF46" si="19">IF($BE36&gt;0,SUMIF($AR$8:$BC$8,"&gt;0",$AR34:$BC34),0)</f>
        <v>7530.7365345407525</v>
      </c>
      <c r="BG36" s="565">
        <f t="shared" ref="BG36:BG46" si="20">IF($BE36&gt;0,SUMIF($AR$8:$BC$8,0,$AR34:$BC34),0)</f>
        <v>164.11827117591915</v>
      </c>
      <c r="BI36" s="693">
        <f>IF(SUM($AR$7:$BC$7)=4,SUM(AR34:AU34),IF(SUM($AR$7:$BC$7)=3,SUM(AR34:AT34),IF(SUM($AR$7:$BC$7)=2,SUM(AR34:AS34),IF(SUM($AR$7:$BC$7)=1,AR34,0))))</f>
        <v>4703.5514104362237</v>
      </c>
      <c r="BJ36" s="565">
        <f t="shared" ref="BJ36:BJ39" si="21">IF($BE36&gt;0,SUM($AR34:$BC34)-BI36,0)</f>
        <v>2991.3033952804481</v>
      </c>
    </row>
    <row r="37" spans="2:62" x14ac:dyDescent="0.3">
      <c r="B37" s="26">
        <v>4</v>
      </c>
      <c r="D37" s="856">
        <f>'WiS percent RSV_low'!E35</f>
        <v>1.2828456777699506E-2</v>
      </c>
      <c r="E37" s="856">
        <f>'WiS percent RSV_low'!F36</f>
        <v>2.288098772265271E-2</v>
      </c>
      <c r="F37" s="856">
        <f>'WiS percent RSV_low'!G37</f>
        <v>2.8746855187682396E-2</v>
      </c>
      <c r="G37" s="856">
        <f>'WiS percent RSV_low'!H38</f>
        <v>1.3162926436550267E-2</v>
      </c>
      <c r="H37" s="856">
        <f>'WiS percent RSV_low'!I39</f>
        <v>7.005635503673141E-3</v>
      </c>
      <c r="I37" s="856">
        <f>'WiS percent RSV_low'!J40</f>
        <v>1.8561940223407467E-3</v>
      </c>
      <c r="J37" s="856">
        <f>'WiS percent RSV_low'!K41</f>
        <v>0</v>
      </c>
      <c r="K37" s="856">
        <f>'WiS percent RSV_low'!L42</f>
        <v>0</v>
      </c>
      <c r="L37" s="246"/>
      <c r="M37" s="246"/>
      <c r="N37" s="246"/>
      <c r="O37" s="246"/>
      <c r="R37" s="26">
        <v>4</v>
      </c>
      <c r="T37" s="35">
        <f t="shared" si="13"/>
        <v>113.26077131189069</v>
      </c>
      <c r="U37" s="35">
        <f t="shared" si="11"/>
        <v>202.01325558897645</v>
      </c>
      <c r="V37" s="35">
        <f t="shared" si="11"/>
        <v>253.80223418673785</v>
      </c>
      <c r="W37" s="35">
        <f t="shared" si="11"/>
        <v>116.21376029554736</v>
      </c>
      <c r="X37" s="35">
        <f t="shared" si="11"/>
        <v>61.851841918765508</v>
      </c>
      <c r="Y37" s="35">
        <f t="shared" si="11"/>
        <v>16.388094867365222</v>
      </c>
      <c r="Z37" s="35">
        <f t="shared" si="11"/>
        <v>0</v>
      </c>
      <c r="AA37" s="35">
        <f t="shared" si="11"/>
        <v>0</v>
      </c>
      <c r="AB37" s="35">
        <f t="shared" si="11"/>
        <v>0</v>
      </c>
      <c r="AC37" s="35">
        <f t="shared" si="11"/>
        <v>0</v>
      </c>
      <c r="AD37" s="35">
        <f t="shared" si="11"/>
        <v>0</v>
      </c>
      <c r="AE37" s="35"/>
      <c r="AF37" s="275"/>
      <c r="AG37" s="562">
        <f>IF(AND(R35&gt;0,12-'Input 4_RSV Season'!$AG$27+1&gt;R35),IF(AG36&gt;0,AG36+1,1),0)</f>
        <v>2</v>
      </c>
      <c r="AH37" s="549">
        <f t="shared" si="15"/>
        <v>1119.3898416724483</v>
      </c>
      <c r="AI37" s="549">
        <f t="shared" si="16"/>
        <v>16.525809950284255</v>
      </c>
      <c r="AK37" s="549">
        <f t="shared" si="17"/>
        <v>1119.3898416724483</v>
      </c>
      <c r="AL37" s="565">
        <f t="shared" si="18"/>
        <v>16.525809950284255</v>
      </c>
      <c r="AN37" s="599"/>
      <c r="AP37" s="26">
        <v>4</v>
      </c>
      <c r="AR37" s="35">
        <f t="shared" si="14"/>
        <v>770.18829435454086</v>
      </c>
      <c r="AS37" s="35">
        <f t="shared" si="12"/>
        <v>1373.7169803535255</v>
      </c>
      <c r="AT37" s="35">
        <f t="shared" si="12"/>
        <v>1725.8889162370851</v>
      </c>
      <c r="AU37" s="35">
        <f t="shared" si="12"/>
        <v>790.26901181943686</v>
      </c>
      <c r="AV37" s="35">
        <f t="shared" si="12"/>
        <v>420.6007435612392</v>
      </c>
      <c r="AW37" s="35">
        <f t="shared" si="12"/>
        <v>111.44122265297793</v>
      </c>
      <c r="AX37" s="35">
        <f t="shared" si="12"/>
        <v>0</v>
      </c>
      <c r="AY37" s="35">
        <f t="shared" si="12"/>
        <v>0</v>
      </c>
      <c r="AZ37" s="35">
        <f t="shared" si="12"/>
        <v>0</v>
      </c>
      <c r="BA37" s="35">
        <f t="shared" si="12"/>
        <v>0</v>
      </c>
      <c r="BB37" s="35">
        <f t="shared" si="12"/>
        <v>0</v>
      </c>
      <c r="BC37" s="35"/>
      <c r="BD37" s="275"/>
      <c r="BE37" s="562">
        <f>IF(AND(AP35&gt;0,12-'Input 4_RSV Season'!$AG$27+1&gt;AP35),IF(BE36&gt;0,BE36+1,1),0)</f>
        <v>2</v>
      </c>
      <c r="BF37" s="549">
        <f t="shared" si="19"/>
        <v>7611.9996613954754</v>
      </c>
      <c r="BG37" s="565">
        <f t="shared" si="20"/>
        <v>112.37770351560796</v>
      </c>
      <c r="BI37" s="693">
        <f>IF(SUM($AR$7:$BC$7)=4,SUM(AR35:AT35),IF(SUM($AR$7:$BC$7)=3,SUM(AR35:AS35),IF(SUM($AR$7:$BC$7)=2,AR35,0)))</f>
        <v>2506.6095993902059</v>
      </c>
      <c r="BJ37" s="565">
        <f t="shared" si="21"/>
        <v>5217.7677655208772</v>
      </c>
    </row>
    <row r="38" spans="2:62" x14ac:dyDescent="0.3">
      <c r="B38" s="26">
        <v>5</v>
      </c>
      <c r="D38" s="856">
        <f>'WiS percent RSV_low'!E36</f>
        <v>7.8934411794304125E-3</v>
      </c>
      <c r="E38" s="856">
        <f>'WiS percent RSV_low'!F37</f>
        <v>2.0193343061286097E-2</v>
      </c>
      <c r="F38" s="856">
        <f>'WiS percent RSV_low'!G38</f>
        <v>1.9684009258327462E-2</v>
      </c>
      <c r="G38" s="856">
        <f>'WiS percent RSV_low'!H39</f>
        <v>1.3053235382912348E-2</v>
      </c>
      <c r="H38" s="856">
        <f>'WiS percent RSV_low'!I40</f>
        <v>7.005635503673141E-3</v>
      </c>
      <c r="I38" s="856">
        <f>'WiS percent RSV_low'!J41</f>
        <v>1.3492502767434838E-3</v>
      </c>
      <c r="J38" s="856">
        <f>'WiS percent RSV_low'!K42</f>
        <v>0</v>
      </c>
      <c r="K38" s="246"/>
      <c r="L38" s="246"/>
      <c r="M38" s="246"/>
      <c r="N38" s="246"/>
      <c r="O38" s="246"/>
      <c r="R38" s="26">
        <v>5</v>
      </c>
      <c r="T38" s="35">
        <f t="shared" si="13"/>
        <v>69.6901624084242</v>
      </c>
      <c r="U38" s="35">
        <f t="shared" si="11"/>
        <v>178.28439149927289</v>
      </c>
      <c r="V38" s="35">
        <f t="shared" si="11"/>
        <v>173.78754979976347</v>
      </c>
      <c r="W38" s="35">
        <f t="shared" si="11"/>
        <v>115.24531229308447</v>
      </c>
      <c r="X38" s="35">
        <f t="shared" si="11"/>
        <v>61.851841918765508</v>
      </c>
      <c r="Y38" s="35">
        <f t="shared" si="11"/>
        <v>11.912354672496567</v>
      </c>
      <c r="Z38" s="35">
        <f t="shared" si="11"/>
        <v>0</v>
      </c>
      <c r="AA38" s="35">
        <f t="shared" si="11"/>
        <v>0</v>
      </c>
      <c r="AB38" s="35">
        <f t="shared" si="11"/>
        <v>0</v>
      </c>
      <c r="AC38" s="35">
        <f t="shared" si="11"/>
        <v>0</v>
      </c>
      <c r="AD38" s="35">
        <f t="shared" si="11"/>
        <v>0</v>
      </c>
      <c r="AE38" s="35"/>
      <c r="AF38" s="275"/>
      <c r="AG38" s="562">
        <f>IF(AND(R36&gt;0,12-'Input 4_RSV Season'!$AG$27+1&gt;R36),IF(AG37&gt;0,AG37+1,1),0)</f>
        <v>3</v>
      </c>
      <c r="AH38" s="549">
        <f t="shared" si="15"/>
        <v>950.75450188211789</v>
      </c>
      <c r="AI38" s="549">
        <f t="shared" si="16"/>
        <v>16.388094867365222</v>
      </c>
      <c r="AK38" s="549">
        <f t="shared" si="17"/>
        <v>950.75450188211789</v>
      </c>
      <c r="AL38" s="565">
        <f t="shared" si="18"/>
        <v>16.388094867365222</v>
      </c>
      <c r="AN38" s="599"/>
      <c r="AP38" s="26">
        <v>5</v>
      </c>
      <c r="AR38" s="35">
        <f t="shared" si="14"/>
        <v>473.90236440143462</v>
      </c>
      <c r="AS38" s="35">
        <f t="shared" si="12"/>
        <v>1212.3575515898542</v>
      </c>
      <c r="AT38" s="35">
        <f t="shared" si="12"/>
        <v>1181.7784305189743</v>
      </c>
      <c r="AU38" s="35">
        <f t="shared" si="12"/>
        <v>783.68343672094147</v>
      </c>
      <c r="AV38" s="35">
        <f t="shared" si="12"/>
        <v>420.6007435612392</v>
      </c>
      <c r="AW38" s="35">
        <f t="shared" si="12"/>
        <v>81.005594617500748</v>
      </c>
      <c r="AX38" s="35">
        <f t="shared" si="12"/>
        <v>0</v>
      </c>
      <c r="AY38" s="35">
        <f t="shared" si="12"/>
        <v>0</v>
      </c>
      <c r="AZ38" s="35">
        <f t="shared" si="12"/>
        <v>0</v>
      </c>
      <c r="BA38" s="35">
        <f t="shared" si="12"/>
        <v>0</v>
      </c>
      <c r="BB38" s="35">
        <f t="shared" si="12"/>
        <v>0</v>
      </c>
      <c r="BC38" s="35"/>
      <c r="BD38" s="275"/>
      <c r="BE38" s="562">
        <f>IF(AND(AP36&gt;0,12-'Input 4_RSV Season'!$AG$27+1&gt;AP36),IF(BE37&gt;0,BE37+1,1),0)</f>
        <v>3</v>
      </c>
      <c r="BF38" s="549">
        <f t="shared" si="19"/>
        <v>6465.2569435363976</v>
      </c>
      <c r="BG38" s="565">
        <f t="shared" si="20"/>
        <v>111.44122265297793</v>
      </c>
      <c r="BI38" s="693">
        <f>IF(SUM($AR$7:$BC$7)=4,SUM(AR36:AS36),IF(SUM($AR$7:$BC$7)=3,AR36,0))</f>
        <v>698.8314735281383</v>
      </c>
      <c r="BJ38" s="565">
        <f t="shared" si="21"/>
        <v>5877.8666926612368</v>
      </c>
    </row>
    <row r="39" spans="2:62" x14ac:dyDescent="0.3">
      <c r="B39" s="26">
        <v>6</v>
      </c>
      <c r="D39" s="856">
        <f>'WiS percent RSV_low'!E37</f>
        <v>6.9662624534567773E-3</v>
      </c>
      <c r="E39" s="856">
        <f>'WiS percent RSV_low'!F38</f>
        <v>1.3827110798027571E-2</v>
      </c>
      <c r="F39" s="856">
        <f>'WiS percent RSV_low'!G39</f>
        <v>1.95199758478414E-2</v>
      </c>
      <c r="G39" s="856">
        <f>'WiS percent RSV_low'!H40</f>
        <v>1.3053235382912348E-2</v>
      </c>
      <c r="H39" s="856">
        <f>'WiS percent RSV_low'!I41</f>
        <v>5.0923316896447617E-3</v>
      </c>
      <c r="I39" s="856">
        <f>'WiS percent RSV_low'!J42</f>
        <v>1.8561940223407467E-3</v>
      </c>
      <c r="J39" s="246"/>
      <c r="K39" s="246"/>
      <c r="L39" s="246"/>
      <c r="M39" s="246"/>
      <c r="N39" s="246"/>
      <c r="O39" s="246"/>
      <c r="R39" s="26">
        <v>6</v>
      </c>
      <c r="T39" s="35">
        <f t="shared" si="13"/>
        <v>61.504222394945685</v>
      </c>
      <c r="U39" s="35">
        <f t="shared" si="11"/>
        <v>122.07775737468046</v>
      </c>
      <c r="V39" s="35">
        <f t="shared" si="11"/>
        <v>172.33932021809878</v>
      </c>
      <c r="W39" s="35">
        <f t="shared" si="11"/>
        <v>115.24531229308447</v>
      </c>
      <c r="X39" s="35">
        <f t="shared" si="11"/>
        <v>44.959532151035432</v>
      </c>
      <c r="Y39" s="35">
        <f t="shared" si="11"/>
        <v>16.388094867365222</v>
      </c>
      <c r="Z39" s="35">
        <f t="shared" si="11"/>
        <v>0</v>
      </c>
      <c r="AA39" s="35">
        <f t="shared" si="11"/>
        <v>0</v>
      </c>
      <c r="AB39" s="35">
        <f t="shared" si="11"/>
        <v>0</v>
      </c>
      <c r="AC39" s="35">
        <f t="shared" si="11"/>
        <v>0</v>
      </c>
      <c r="AD39" s="35">
        <f t="shared" si="11"/>
        <v>0</v>
      </c>
      <c r="AE39" s="35"/>
      <c r="AF39" s="275"/>
      <c r="AG39" s="562">
        <f>IF(AND(R37&gt;0,12-'Input 4_RSV Season'!$AG$27+1&gt;R37),IF(AG38&gt;0,AG38+1,1),0)</f>
        <v>4</v>
      </c>
      <c r="AH39" s="549">
        <f t="shared" si="15"/>
        <v>747.14186330191785</v>
      </c>
      <c r="AI39" s="549">
        <f t="shared" si="16"/>
        <v>16.388094867365222</v>
      </c>
      <c r="AK39" s="549">
        <f t="shared" si="17"/>
        <v>747.14186330191785</v>
      </c>
      <c r="AL39" s="565">
        <f t="shared" si="18"/>
        <v>16.388094867365222</v>
      </c>
      <c r="AN39" s="599"/>
      <c r="AP39" s="26">
        <v>6</v>
      </c>
      <c r="AR39" s="35">
        <f t="shared" si="14"/>
        <v>418.23688460960045</v>
      </c>
      <c r="AS39" s="35">
        <f t="shared" si="12"/>
        <v>830.14497113142659</v>
      </c>
      <c r="AT39" s="35">
        <f t="shared" si="12"/>
        <v>1171.9302769313163</v>
      </c>
      <c r="AU39" s="35">
        <f t="shared" si="12"/>
        <v>783.68343672094147</v>
      </c>
      <c r="AV39" s="35">
        <f t="shared" si="12"/>
        <v>305.73079258863186</v>
      </c>
      <c r="AW39" s="35">
        <f t="shared" si="12"/>
        <v>111.44122265297793</v>
      </c>
      <c r="AX39" s="35">
        <f t="shared" si="12"/>
        <v>0</v>
      </c>
      <c r="AY39" s="35">
        <f t="shared" si="12"/>
        <v>0</v>
      </c>
      <c r="AZ39" s="35">
        <f t="shared" si="12"/>
        <v>0</v>
      </c>
      <c r="BA39" s="35">
        <f t="shared" si="12"/>
        <v>0</v>
      </c>
      <c r="BB39" s="35">
        <f t="shared" si="12"/>
        <v>0</v>
      </c>
      <c r="BC39" s="35"/>
      <c r="BD39" s="275"/>
      <c r="BE39" s="562">
        <f>IF(AND(AP37&gt;0,12-'Input 4_RSV Season'!$AG$27+1&gt;AP37),IF(BE38&gt;0,BE38+1,1),0)</f>
        <v>4</v>
      </c>
      <c r="BF39" s="549">
        <f t="shared" si="19"/>
        <v>5080.6639463258271</v>
      </c>
      <c r="BG39" s="565">
        <f t="shared" si="20"/>
        <v>111.44122265297793</v>
      </c>
      <c r="BI39" s="693">
        <f>IF(SUM($AR$7:$BC$7)=4,AR37,0)</f>
        <v>0</v>
      </c>
      <c r="BJ39" s="565">
        <f t="shared" si="21"/>
        <v>5192.1051689788046</v>
      </c>
    </row>
    <row r="40" spans="2:62" x14ac:dyDescent="0.3">
      <c r="B40" s="26">
        <v>7</v>
      </c>
      <c r="D40" s="856">
        <f>'WiS percent RSV_low'!E38</f>
        <v>4.7700513233370229E-3</v>
      </c>
      <c r="E40" s="856">
        <f>'WiS percent RSV_low'!F39</f>
        <v>1.3711884874710676E-2</v>
      </c>
      <c r="F40" s="856">
        <f>'WiS percent RSV_low'!G40</f>
        <v>1.95199758478414E-2</v>
      </c>
      <c r="G40" s="856">
        <f>'WiS percent RSV_low'!H41</f>
        <v>9.4882761396799832E-3</v>
      </c>
      <c r="H40" s="856">
        <f>'WiS percent RSV_low'!I42</f>
        <v>7.005635503673141E-3</v>
      </c>
      <c r="I40" s="246"/>
      <c r="J40" s="246"/>
      <c r="K40" s="246"/>
      <c r="L40" s="246"/>
      <c r="M40" s="246"/>
      <c r="N40" s="246"/>
      <c r="O40" s="246"/>
      <c r="R40" s="26">
        <v>7</v>
      </c>
      <c r="T40" s="35">
        <f t="shared" si="13"/>
        <v>42.114160841046974</v>
      </c>
      <c r="U40" s="35">
        <f t="shared" si="11"/>
        <v>121.06044272989146</v>
      </c>
      <c r="V40" s="35">
        <f t="shared" si="11"/>
        <v>172.33932021809878</v>
      </c>
      <c r="W40" s="35">
        <f t="shared" si="11"/>
        <v>83.770752213040382</v>
      </c>
      <c r="X40" s="35">
        <f t="shared" si="11"/>
        <v>61.851841918765508</v>
      </c>
      <c r="Y40" s="35">
        <f t="shared" si="11"/>
        <v>0</v>
      </c>
      <c r="Z40" s="35">
        <f t="shared" si="11"/>
        <v>0</v>
      </c>
      <c r="AA40" s="35">
        <f t="shared" si="11"/>
        <v>0</v>
      </c>
      <c r="AB40" s="35">
        <f t="shared" si="11"/>
        <v>0</v>
      </c>
      <c r="AC40" s="35">
        <f t="shared" si="11"/>
        <v>0</v>
      </c>
      <c r="AD40" s="35">
        <f t="shared" si="11"/>
        <v>0</v>
      </c>
      <c r="AE40" s="35"/>
      <c r="AF40" s="275"/>
      <c r="AG40" s="562">
        <f>IF(AND(R38&gt;0,12-'Input 4_RSV Season'!$AG$27+1&gt;R38),IF(AG39&gt;0,AG39+1,1),0)</f>
        <v>5</v>
      </c>
      <c r="AH40" s="549">
        <f t="shared" si="15"/>
        <v>598.85925791931061</v>
      </c>
      <c r="AI40" s="549">
        <f t="shared" si="16"/>
        <v>11.912354672496567</v>
      </c>
      <c r="AK40" s="549">
        <f t="shared" si="17"/>
        <v>598.85925791931061</v>
      </c>
      <c r="AL40" s="565">
        <f t="shared" si="18"/>
        <v>11.912354672496567</v>
      </c>
      <c r="AN40" s="599"/>
      <c r="AP40" s="26">
        <v>7</v>
      </c>
      <c r="AR40" s="35">
        <f t="shared" si="14"/>
        <v>286.3818896042913</v>
      </c>
      <c r="AS40" s="35">
        <f t="shared" si="12"/>
        <v>823.22709637199807</v>
      </c>
      <c r="AT40" s="35">
        <f t="shared" si="12"/>
        <v>1171.9302769313163</v>
      </c>
      <c r="AU40" s="35">
        <f t="shared" si="12"/>
        <v>569.65224601984403</v>
      </c>
      <c r="AV40" s="35">
        <f t="shared" si="12"/>
        <v>420.6007435612392</v>
      </c>
      <c r="AW40" s="35">
        <f t="shared" si="12"/>
        <v>0</v>
      </c>
      <c r="AX40" s="35">
        <f t="shared" si="12"/>
        <v>0</v>
      </c>
      <c r="AY40" s="35">
        <f t="shared" si="12"/>
        <v>0</v>
      </c>
      <c r="AZ40" s="35">
        <f t="shared" si="12"/>
        <v>0</v>
      </c>
      <c r="BA40" s="35">
        <f t="shared" si="12"/>
        <v>0</v>
      </c>
      <c r="BB40" s="35">
        <f t="shared" si="12"/>
        <v>0</v>
      </c>
      <c r="BC40" s="35"/>
      <c r="BD40" s="275"/>
      <c r="BE40" s="562">
        <f>IF(AND(AP38&gt;0,12-'Input 4_RSV Season'!$AG$27+1&gt;AP38),IF(BE39&gt;0,BE39+1,1),0)</f>
        <v>5</v>
      </c>
      <c r="BF40" s="549">
        <f t="shared" si="19"/>
        <v>4072.3225267924436</v>
      </c>
      <c r="BG40" s="565">
        <f t="shared" si="20"/>
        <v>81.005594617500748</v>
      </c>
      <c r="BI40" s="693"/>
      <c r="BJ40" s="565">
        <f>IF($BE40&gt;0,SUM($AR38:$BC38)-BI40,0)</f>
        <v>4153.3281214099443</v>
      </c>
    </row>
    <row r="41" spans="2:62" x14ac:dyDescent="0.3">
      <c r="B41" s="26">
        <v>8</v>
      </c>
      <c r="D41" s="856">
        <f>'WiS percent RSV_low'!E39</f>
        <v>4.7303008956425478E-3</v>
      </c>
      <c r="E41" s="856">
        <f>'WiS percent RSV_low'!F40</f>
        <v>1.3711884874710676E-2</v>
      </c>
      <c r="F41" s="856">
        <f>'WiS percent RSV_low'!G41</f>
        <v>1.418889000704438E-2</v>
      </c>
      <c r="G41" s="856">
        <f>'WiS percent RSV_low'!H42</f>
        <v>1.3053235382912348E-2</v>
      </c>
      <c r="H41" s="246"/>
      <c r="I41" s="246"/>
      <c r="J41" s="246"/>
      <c r="K41" s="246"/>
      <c r="L41" s="246"/>
      <c r="M41" s="246"/>
      <c r="N41" s="246"/>
      <c r="O41" s="246"/>
      <c r="R41" s="26">
        <v>8</v>
      </c>
      <c r="T41" s="35">
        <f t="shared" si="13"/>
        <v>41.763209500704917</v>
      </c>
      <c r="U41" s="35">
        <f t="shared" si="11"/>
        <v>121.06044272989146</v>
      </c>
      <c r="V41" s="35">
        <f t="shared" si="11"/>
        <v>125.27185881399618</v>
      </c>
      <c r="W41" s="35">
        <f t="shared" si="11"/>
        <v>115.24531229308447</v>
      </c>
      <c r="X41" s="35">
        <f t="shared" si="11"/>
        <v>0</v>
      </c>
      <c r="Y41" s="35">
        <f t="shared" si="11"/>
        <v>0</v>
      </c>
      <c r="Z41" s="35">
        <f t="shared" si="11"/>
        <v>0</v>
      </c>
      <c r="AA41" s="35">
        <f t="shared" si="11"/>
        <v>0</v>
      </c>
      <c r="AB41" s="35">
        <f t="shared" si="11"/>
        <v>0</v>
      </c>
      <c r="AC41" s="35">
        <f t="shared" si="11"/>
        <v>0</v>
      </c>
      <c r="AD41" s="35">
        <f t="shared" si="11"/>
        <v>0</v>
      </c>
      <c r="AE41" s="35"/>
      <c r="AF41" s="275"/>
      <c r="AG41" s="562">
        <f>IF(AND(R39&gt;0,12-'Input 4_RSV Season'!$AG$27+1&gt;R39),IF(AG40&gt;0,AG40+1,1),0)</f>
        <v>6</v>
      </c>
      <c r="AH41" s="549">
        <f t="shared" si="15"/>
        <v>516.12614443184475</v>
      </c>
      <c r="AI41" s="549">
        <f t="shared" si="16"/>
        <v>16.388094867365222</v>
      </c>
      <c r="AK41" s="549">
        <f t="shared" si="17"/>
        <v>516.12614443184475</v>
      </c>
      <c r="AL41" s="565">
        <f t="shared" si="18"/>
        <v>16.388094867365222</v>
      </c>
      <c r="AN41" s="599"/>
      <c r="AP41" s="26">
        <v>8</v>
      </c>
      <c r="AR41" s="35">
        <f t="shared" si="14"/>
        <v>283.99537385758885</v>
      </c>
      <c r="AS41" s="35">
        <f t="shared" si="12"/>
        <v>823.22709637199807</v>
      </c>
      <c r="AT41" s="35">
        <f t="shared" si="12"/>
        <v>851.86528533242733</v>
      </c>
      <c r="AU41" s="35">
        <f t="shared" si="12"/>
        <v>783.68343672094147</v>
      </c>
      <c r="AV41" s="35">
        <f t="shared" si="12"/>
        <v>0</v>
      </c>
      <c r="AW41" s="35">
        <f t="shared" si="12"/>
        <v>0</v>
      </c>
      <c r="AX41" s="35">
        <f t="shared" si="12"/>
        <v>0</v>
      </c>
      <c r="AY41" s="35">
        <f t="shared" si="12"/>
        <v>0</v>
      </c>
      <c r="AZ41" s="35">
        <f t="shared" si="12"/>
        <v>0</v>
      </c>
      <c r="BA41" s="35">
        <f t="shared" si="12"/>
        <v>0</v>
      </c>
      <c r="BB41" s="35">
        <f t="shared" si="12"/>
        <v>0</v>
      </c>
      <c r="BC41" s="35"/>
      <c r="BD41" s="275"/>
      <c r="BE41" s="562">
        <f>IF(AND(AP39&gt;0,12-'Input 4_RSV Season'!$AG$27+1&gt;AP39),IF(BE40&gt;0,BE40+1,1),0)</f>
        <v>6</v>
      </c>
      <c r="BF41" s="549">
        <f t="shared" si="19"/>
        <v>3509.7263619819159</v>
      </c>
      <c r="BG41" s="565">
        <f t="shared" si="20"/>
        <v>111.44122265297793</v>
      </c>
      <c r="BI41" s="693"/>
      <c r="BJ41" s="565">
        <f t="shared" ref="BJ41:BJ46" si="22">IF($BE41&gt;0,SUM($AR39:$BC39)-BI41,0)</f>
        <v>3621.167584634894</v>
      </c>
    </row>
    <row r="42" spans="2:62" x14ac:dyDescent="0.3">
      <c r="B42" s="26">
        <v>9</v>
      </c>
      <c r="D42" s="856">
        <f>'WiS percent RSV_low'!E40</f>
        <v>4.7303008956425478E-3</v>
      </c>
      <c r="E42" s="856">
        <f>'WiS percent RSV_low'!F41</f>
        <v>9.9670423669115417E-3</v>
      </c>
      <c r="F42" s="856">
        <f>'WiS percent RSV_low'!G42</f>
        <v>1.95199758478414E-2</v>
      </c>
      <c r="G42" s="246"/>
      <c r="H42" s="246"/>
      <c r="I42" s="246"/>
      <c r="J42" s="246"/>
      <c r="K42" s="246"/>
      <c r="L42" s="246"/>
      <c r="M42" s="246"/>
      <c r="N42" s="246"/>
      <c r="O42" s="246"/>
      <c r="R42" s="26">
        <v>9</v>
      </c>
      <c r="T42" s="35">
        <f t="shared" si="13"/>
        <v>41.763209500704917</v>
      </c>
      <c r="U42" s="35">
        <f t="shared" si="11"/>
        <v>87.997716774248829</v>
      </c>
      <c r="V42" s="35">
        <f t="shared" si="11"/>
        <v>172.33932021809878</v>
      </c>
      <c r="W42" s="35">
        <f t="shared" si="11"/>
        <v>0</v>
      </c>
      <c r="X42" s="35">
        <f t="shared" si="11"/>
        <v>0</v>
      </c>
      <c r="Y42" s="35">
        <f t="shared" si="11"/>
        <v>0</v>
      </c>
      <c r="Z42" s="35">
        <f t="shared" si="11"/>
        <v>0</v>
      </c>
      <c r="AA42" s="35">
        <f t="shared" si="11"/>
        <v>0</v>
      </c>
      <c r="AB42" s="35">
        <f t="shared" si="11"/>
        <v>0</v>
      </c>
      <c r="AC42" s="35">
        <f t="shared" si="11"/>
        <v>0</v>
      </c>
      <c r="AD42" s="35">
        <f t="shared" si="11"/>
        <v>0</v>
      </c>
      <c r="AE42" s="35"/>
      <c r="AF42" s="275"/>
      <c r="AG42" s="562">
        <f>IF(AND(R40&gt;0,12-'Input 4_RSV Season'!$AG$27+1&gt;R40),IF(AG41&gt;0,AG41+1,1),0)</f>
        <v>0</v>
      </c>
      <c r="AH42" s="549">
        <f t="shared" si="15"/>
        <v>0</v>
      </c>
      <c r="AI42" s="549">
        <f t="shared" si="16"/>
        <v>0</v>
      </c>
      <c r="AK42" s="549">
        <f t="shared" si="17"/>
        <v>0</v>
      </c>
      <c r="AL42" s="565">
        <f t="shared" si="18"/>
        <v>0</v>
      </c>
      <c r="AN42" s="599"/>
      <c r="AP42" s="26">
        <v>9</v>
      </c>
      <c r="AR42" s="35">
        <f t="shared" si="14"/>
        <v>283.99537385758885</v>
      </c>
      <c r="AS42" s="35">
        <f t="shared" si="12"/>
        <v>598.39616669057</v>
      </c>
      <c r="AT42" s="35">
        <f t="shared" si="12"/>
        <v>1171.9302769313163</v>
      </c>
      <c r="AU42" s="35">
        <f t="shared" si="12"/>
        <v>0</v>
      </c>
      <c r="AV42" s="35">
        <f t="shared" si="12"/>
        <v>0</v>
      </c>
      <c r="AW42" s="35">
        <f t="shared" si="12"/>
        <v>0</v>
      </c>
      <c r="AX42" s="35">
        <f t="shared" si="12"/>
        <v>0</v>
      </c>
      <c r="AY42" s="35">
        <f t="shared" si="12"/>
        <v>0</v>
      </c>
      <c r="AZ42" s="35">
        <f t="shared" si="12"/>
        <v>0</v>
      </c>
      <c r="BA42" s="35">
        <f t="shared" si="12"/>
        <v>0</v>
      </c>
      <c r="BB42" s="35">
        <f t="shared" si="12"/>
        <v>0</v>
      </c>
      <c r="BC42" s="35"/>
      <c r="BD42" s="275"/>
      <c r="BE42" s="562">
        <f>IF(AND(AP40&gt;0,12-'Input 4_RSV Season'!$AG$27+1&gt;AP40),IF(BE41&gt;0,BE41+1,1),0)</f>
        <v>0</v>
      </c>
      <c r="BF42" s="549">
        <f t="shared" si="19"/>
        <v>0</v>
      </c>
      <c r="BG42" s="565">
        <f t="shared" si="20"/>
        <v>0</v>
      </c>
      <c r="BI42" s="693"/>
      <c r="BJ42" s="565">
        <f t="shared" si="22"/>
        <v>0</v>
      </c>
    </row>
    <row r="43" spans="2:62" x14ac:dyDescent="0.3">
      <c r="B43" s="26">
        <v>10</v>
      </c>
      <c r="D43" s="856">
        <f>'WiS percent RSV_low'!E41</f>
        <v>3.4384119955721041E-3</v>
      </c>
      <c r="E43" s="856">
        <f>'WiS percent RSV_low'!F42</f>
        <v>1.3711884874710676E-2</v>
      </c>
      <c r="F43" s="246"/>
      <c r="G43" s="246"/>
      <c r="H43" s="246"/>
      <c r="I43" s="246"/>
      <c r="J43" s="246"/>
      <c r="K43" s="246"/>
      <c r="L43" s="246"/>
      <c r="M43" s="246"/>
      <c r="N43" s="246"/>
      <c r="O43" s="246"/>
      <c r="R43" s="26">
        <v>10</v>
      </c>
      <c r="T43" s="35">
        <f t="shared" si="13"/>
        <v>30.357290939588026</v>
      </c>
      <c r="U43" s="35">
        <f t="shared" si="11"/>
        <v>121.06044272989146</v>
      </c>
      <c r="V43" s="35">
        <f t="shared" si="11"/>
        <v>0</v>
      </c>
      <c r="W43" s="35">
        <f t="shared" si="11"/>
        <v>0</v>
      </c>
      <c r="X43" s="35">
        <f t="shared" si="11"/>
        <v>0</v>
      </c>
      <c r="Y43" s="35">
        <f t="shared" si="11"/>
        <v>0</v>
      </c>
      <c r="Z43" s="35">
        <f t="shared" si="11"/>
        <v>0</v>
      </c>
      <c r="AA43" s="35">
        <f t="shared" si="11"/>
        <v>0</v>
      </c>
      <c r="AB43" s="35">
        <f t="shared" si="11"/>
        <v>0</v>
      </c>
      <c r="AC43" s="35">
        <f t="shared" si="11"/>
        <v>0</v>
      </c>
      <c r="AD43" s="35">
        <f t="shared" si="11"/>
        <v>0</v>
      </c>
      <c r="AE43" s="35"/>
      <c r="AF43" s="275"/>
      <c r="AG43" s="562">
        <f>IF(AND(R41&gt;0,12-'Input 4_RSV Season'!$AG$27+1&gt;R41),IF(AG42&gt;0,AG42+1,1),0)</f>
        <v>0</v>
      </c>
      <c r="AH43" s="549">
        <f t="shared" si="15"/>
        <v>0</v>
      </c>
      <c r="AI43" s="549">
        <f t="shared" si="16"/>
        <v>0</v>
      </c>
      <c r="AK43" s="549">
        <f t="shared" si="17"/>
        <v>0</v>
      </c>
      <c r="AL43" s="565">
        <f t="shared" si="18"/>
        <v>0</v>
      </c>
      <c r="AN43" s="599"/>
      <c r="AP43" s="26">
        <v>10</v>
      </c>
      <c r="AR43" s="35">
        <f t="shared" si="14"/>
        <v>206.43361208975998</v>
      </c>
      <c r="AS43" s="35">
        <f t="shared" si="12"/>
        <v>823.22709637199807</v>
      </c>
      <c r="AT43" s="35">
        <f t="shared" si="12"/>
        <v>0</v>
      </c>
      <c r="AU43" s="35">
        <f t="shared" si="12"/>
        <v>0</v>
      </c>
      <c r="AV43" s="35">
        <f t="shared" si="12"/>
        <v>0</v>
      </c>
      <c r="AW43" s="35">
        <f t="shared" si="12"/>
        <v>0</v>
      </c>
      <c r="AX43" s="35">
        <f t="shared" si="12"/>
        <v>0</v>
      </c>
      <c r="AY43" s="35">
        <f t="shared" si="12"/>
        <v>0</v>
      </c>
      <c r="AZ43" s="35">
        <f t="shared" si="12"/>
        <v>0</v>
      </c>
      <c r="BA43" s="35">
        <f t="shared" si="12"/>
        <v>0</v>
      </c>
      <c r="BB43" s="35">
        <f t="shared" si="12"/>
        <v>0</v>
      </c>
      <c r="BC43" s="35"/>
      <c r="BD43" s="275"/>
      <c r="BE43" s="562">
        <f>IF(AND(AP41&gt;0,12-'Input 4_RSV Season'!$AG$27+1&gt;AP41),IF(BE42&gt;0,BE42+1,1),0)</f>
        <v>0</v>
      </c>
      <c r="BF43" s="549">
        <f t="shared" si="19"/>
        <v>0</v>
      </c>
      <c r="BG43" s="565">
        <f t="shared" si="20"/>
        <v>0</v>
      </c>
      <c r="BI43" s="693"/>
      <c r="BJ43" s="565">
        <f t="shared" si="22"/>
        <v>0</v>
      </c>
    </row>
    <row r="44" spans="2:62" x14ac:dyDescent="0.3">
      <c r="B44" s="26">
        <v>11</v>
      </c>
      <c r="D44" s="856">
        <f>'WiS percent RSV_low'!E42</f>
        <v>4.7303008956425478E-3</v>
      </c>
      <c r="E44" s="246"/>
      <c r="F44" s="246"/>
      <c r="G44" s="246"/>
      <c r="H44" s="246"/>
      <c r="I44" s="246"/>
      <c r="J44" s="246"/>
      <c r="K44" s="246"/>
      <c r="L44" s="246"/>
      <c r="M44" s="246"/>
      <c r="N44" s="246"/>
      <c r="O44" s="246"/>
      <c r="R44" s="26">
        <v>11</v>
      </c>
      <c r="T44" s="35">
        <f t="shared" si="13"/>
        <v>41.763209500704917</v>
      </c>
      <c r="U44" s="35">
        <f t="shared" si="11"/>
        <v>0</v>
      </c>
      <c r="V44" s="35">
        <f t="shared" si="11"/>
        <v>0</v>
      </c>
      <c r="W44" s="35">
        <f t="shared" si="11"/>
        <v>0</v>
      </c>
      <c r="X44" s="35">
        <f t="shared" si="11"/>
        <v>0</v>
      </c>
      <c r="Y44" s="35">
        <f t="shared" si="11"/>
        <v>0</v>
      </c>
      <c r="Z44" s="35">
        <f t="shared" si="11"/>
        <v>0</v>
      </c>
      <c r="AA44" s="35">
        <f t="shared" si="11"/>
        <v>0</v>
      </c>
      <c r="AB44" s="35">
        <f t="shared" si="11"/>
        <v>0</v>
      </c>
      <c r="AC44" s="35">
        <f t="shared" si="11"/>
        <v>0</v>
      </c>
      <c r="AD44" s="35">
        <f t="shared" si="11"/>
        <v>0</v>
      </c>
      <c r="AF44" s="275"/>
      <c r="AG44" s="562">
        <f>IF(AND(R42&gt;0,12-'Input 4_RSV Season'!$AG$27+1&gt;R42),IF(AG43&gt;0,AG43+1,1),0)</f>
        <v>0</v>
      </c>
      <c r="AH44" s="549">
        <f t="shared" si="15"/>
        <v>0</v>
      </c>
      <c r="AI44" s="549">
        <f t="shared" si="16"/>
        <v>0</v>
      </c>
      <c r="AK44" s="549">
        <f t="shared" si="17"/>
        <v>0</v>
      </c>
      <c r="AL44" s="565">
        <f t="shared" si="18"/>
        <v>0</v>
      </c>
      <c r="AN44" s="599"/>
      <c r="AP44" s="26">
        <v>11</v>
      </c>
      <c r="AR44" s="35">
        <f t="shared" si="14"/>
        <v>283.99537385758885</v>
      </c>
      <c r="AS44" s="35">
        <f t="shared" si="12"/>
        <v>0</v>
      </c>
      <c r="AT44" s="35">
        <f t="shared" si="12"/>
        <v>0</v>
      </c>
      <c r="AU44" s="35">
        <f t="shared" si="12"/>
        <v>0</v>
      </c>
      <c r="AV44" s="35">
        <f t="shared" si="12"/>
        <v>0</v>
      </c>
      <c r="AW44" s="35">
        <f t="shared" si="12"/>
        <v>0</v>
      </c>
      <c r="AX44" s="35">
        <f t="shared" si="12"/>
        <v>0</v>
      </c>
      <c r="AY44" s="35">
        <f t="shared" si="12"/>
        <v>0</v>
      </c>
      <c r="AZ44" s="35">
        <f t="shared" si="12"/>
        <v>0</v>
      </c>
      <c r="BA44" s="35">
        <f t="shared" si="12"/>
        <v>0</v>
      </c>
      <c r="BB44" s="35">
        <f t="shared" si="12"/>
        <v>0</v>
      </c>
      <c r="BD44" s="275"/>
      <c r="BE44" s="562">
        <f>IF(AND(AP42&gt;0,12-'Input 4_RSV Season'!$AG$27+1&gt;AP42),IF(BE43&gt;0,BE43+1,1),0)</f>
        <v>0</v>
      </c>
      <c r="BF44" s="549">
        <f t="shared" si="19"/>
        <v>0</v>
      </c>
      <c r="BG44" s="565">
        <f t="shared" si="20"/>
        <v>0</v>
      </c>
      <c r="BI44" s="693"/>
      <c r="BJ44" s="565">
        <f t="shared" si="22"/>
        <v>0</v>
      </c>
    </row>
    <row r="45" spans="2:62" x14ac:dyDescent="0.3">
      <c r="C45" s="13"/>
      <c r="D45" s="14"/>
      <c r="E45" s="547"/>
      <c r="F45" s="13"/>
      <c r="G45" s="13"/>
      <c r="H45" s="14"/>
      <c r="I45" s="574"/>
      <c r="J45" s="574"/>
      <c r="K45" s="574"/>
      <c r="L45" s="597"/>
      <c r="M45" s="574"/>
      <c r="N45" s="574"/>
      <c r="O45" s="574"/>
      <c r="S45" s="13"/>
      <c r="T45" s="14"/>
      <c r="U45" s="547"/>
      <c r="V45" s="13"/>
      <c r="W45" s="13"/>
      <c r="X45" s="14"/>
      <c r="Y45" s="574"/>
      <c r="Z45" s="574"/>
      <c r="AA45" s="574"/>
      <c r="AB45" s="574"/>
      <c r="AC45" s="574"/>
      <c r="AD45" s="574"/>
      <c r="AE45" s="574"/>
      <c r="AF45" s="36"/>
      <c r="AG45" s="562">
        <f>IF(AND(R43&gt;0,12-'Input 4_RSV Season'!$AG$27+1&gt;R43),IF(AG44&gt;0,AG44+1,1),0)</f>
        <v>0</v>
      </c>
      <c r="AH45" s="549">
        <f t="shared" si="15"/>
        <v>0</v>
      </c>
      <c r="AI45" s="549">
        <f t="shared" si="16"/>
        <v>0</v>
      </c>
      <c r="AK45" s="549">
        <f t="shared" si="17"/>
        <v>0</v>
      </c>
      <c r="AL45" s="565">
        <f t="shared" si="18"/>
        <v>0</v>
      </c>
      <c r="AN45" s="599"/>
      <c r="AQ45" s="13"/>
      <c r="AR45" s="14"/>
      <c r="AS45" s="547"/>
      <c r="AT45" s="13"/>
      <c r="AU45" s="13"/>
      <c r="AV45" s="14"/>
      <c r="AW45" s="574"/>
      <c r="AX45" s="574"/>
      <c r="AY45" s="574"/>
      <c r="AZ45" s="574"/>
      <c r="BA45" s="574"/>
      <c r="BB45" s="574"/>
      <c r="BC45" s="574"/>
      <c r="BD45" s="36"/>
      <c r="BE45" s="562">
        <f>IF(AND(AP43&gt;0,12-'Input 4_RSV Season'!$AG$27+1&gt;AP43),IF(BE44&gt;0,BE44+1,1),0)</f>
        <v>0</v>
      </c>
      <c r="BF45" s="549">
        <f t="shared" si="19"/>
        <v>0</v>
      </c>
      <c r="BG45" s="565">
        <f t="shared" si="20"/>
        <v>0</v>
      </c>
      <c r="BI45" s="693"/>
      <c r="BJ45" s="565">
        <f t="shared" si="22"/>
        <v>0</v>
      </c>
    </row>
    <row r="46" spans="2:62" x14ac:dyDescent="0.3">
      <c r="C46" s="13"/>
      <c r="D46" s="13"/>
      <c r="E46" s="575"/>
      <c r="F46" s="13"/>
      <c r="G46" s="14"/>
      <c r="H46" s="88"/>
      <c r="I46" s="70"/>
      <c r="L46" s="13"/>
      <c r="M46" s="13"/>
      <c r="N46" s="13"/>
      <c r="O46" s="70"/>
      <c r="S46" s="13"/>
      <c r="T46" s="13"/>
      <c r="U46" s="575"/>
      <c r="V46" s="13"/>
      <c r="W46" s="13"/>
      <c r="X46" s="14"/>
      <c r="Y46" s="70"/>
      <c r="Z46" s="13"/>
      <c r="AA46" s="13"/>
      <c r="AB46" s="13"/>
      <c r="AC46" s="13"/>
      <c r="AD46" s="13"/>
      <c r="AE46" s="70"/>
      <c r="AF46" s="70"/>
      <c r="AG46" s="562">
        <f>IF(AND(R44&gt;0,12-'Input 4_RSV Season'!$AG$27+1&gt;R44),IF(AG45&gt;0,AG45+1,1),0)</f>
        <v>0</v>
      </c>
      <c r="AH46" s="550">
        <f t="shared" si="15"/>
        <v>0</v>
      </c>
      <c r="AI46" s="550">
        <f t="shared" si="16"/>
        <v>0</v>
      </c>
      <c r="AJ46" s="13"/>
      <c r="AK46" s="550">
        <f t="shared" si="17"/>
        <v>0</v>
      </c>
      <c r="AL46" s="566">
        <f t="shared" si="18"/>
        <v>0</v>
      </c>
      <c r="AN46" s="599"/>
      <c r="AQ46" s="13"/>
      <c r="AR46" s="13"/>
      <c r="AS46" s="575"/>
      <c r="AT46" s="13"/>
      <c r="AU46" s="13"/>
      <c r="AV46" s="14"/>
      <c r="AW46" s="70"/>
      <c r="AX46" s="13"/>
      <c r="AY46" s="13"/>
      <c r="AZ46" s="13"/>
      <c r="BA46" s="13"/>
      <c r="BB46" s="13"/>
      <c r="BC46" s="70"/>
      <c r="BD46" s="70"/>
      <c r="BE46" s="562">
        <f>IF(AND(AP44&gt;0,12-'Input 4_RSV Season'!$AG$27+1&gt;AP44),IF(BE45&gt;0,BE45+1,1),0)</f>
        <v>0</v>
      </c>
      <c r="BF46" s="550">
        <f t="shared" si="19"/>
        <v>0</v>
      </c>
      <c r="BG46" s="566">
        <f t="shared" si="20"/>
        <v>0</v>
      </c>
      <c r="BI46" s="694"/>
      <c r="BJ46" s="566">
        <f t="shared" si="22"/>
        <v>0</v>
      </c>
    </row>
    <row r="47" spans="2:62" x14ac:dyDescent="0.3">
      <c r="S47" s="13"/>
      <c r="T47" s="14"/>
      <c r="U47" s="70"/>
      <c r="V47" s="13"/>
      <c r="W47" s="13"/>
      <c r="X47" s="14"/>
      <c r="Y47" s="70"/>
      <c r="Z47" s="13"/>
      <c r="AA47" s="13"/>
      <c r="AB47" s="13"/>
      <c r="AC47" s="13"/>
      <c r="AD47" s="13"/>
      <c r="AE47" s="70"/>
      <c r="AF47" s="70"/>
      <c r="AH47" s="5">
        <f>SUM(AH35:AH46)</f>
        <v>5039.7112245597891</v>
      </c>
      <c r="AI47" s="5">
        <f>SUM(AI35:AI46)</f>
        <v>101.73701750643745</v>
      </c>
      <c r="AJ47" s="593"/>
      <c r="AK47" s="5">
        <f>SUM(AK35:AK46)</f>
        <v>5039.7112245597891</v>
      </c>
      <c r="AL47" s="5">
        <f>SUM(AL35:AL46)</f>
        <v>101.73701750643745</v>
      </c>
      <c r="AN47" s="599"/>
      <c r="AQ47" s="13"/>
      <c r="AR47" s="14"/>
      <c r="AS47" s="70"/>
      <c r="AT47" s="13"/>
      <c r="AU47" s="13"/>
      <c r="AV47" s="14"/>
      <c r="AW47" s="70"/>
      <c r="AX47" s="13"/>
      <c r="AY47" s="13"/>
      <c r="AZ47" s="13"/>
      <c r="BA47" s="13"/>
      <c r="BB47" s="13"/>
      <c r="BC47" s="70"/>
      <c r="BD47" s="70"/>
      <c r="BE47" s="538"/>
      <c r="BF47" s="5">
        <f>SUM(BF35:BF46)</f>
        <v>34270.705974572811</v>
      </c>
      <c r="BG47" s="5">
        <f>SUM(BG35:BG46)</f>
        <v>691.8252372679616</v>
      </c>
      <c r="BI47" s="5">
        <f>SUM(BI35:BI46)</f>
        <v>7908.9924833545683</v>
      </c>
      <c r="BJ47" s="5">
        <f>SUM(BJ35:BJ46)</f>
        <v>27053.538728486208</v>
      </c>
    </row>
    <row r="48" spans="2:62" ht="15" thickBot="1" x14ac:dyDescent="0.35">
      <c r="S48" s="13"/>
      <c r="T48" s="14"/>
      <c r="U48" s="70"/>
      <c r="V48" s="13"/>
      <c r="W48" s="13"/>
      <c r="X48" s="14"/>
      <c r="Y48" s="70"/>
      <c r="Z48" s="13"/>
      <c r="AA48" s="510"/>
      <c r="AB48" s="510"/>
      <c r="AC48" s="510"/>
      <c r="AD48" s="510"/>
      <c r="AE48" s="70"/>
      <c r="AF48" s="70"/>
      <c r="AN48" s="599"/>
      <c r="AQ48" s="13"/>
      <c r="AR48" s="14"/>
      <c r="AS48" s="70"/>
      <c r="AT48" s="13"/>
      <c r="AU48" s="13"/>
      <c r="AV48" s="14"/>
      <c r="AW48" s="70"/>
      <c r="AX48" s="13"/>
      <c r="AY48" s="510"/>
      <c r="AZ48" s="510"/>
      <c r="BA48" s="510"/>
      <c r="BB48" s="510"/>
      <c r="BC48" s="70"/>
      <c r="BD48" s="70"/>
      <c r="BE48" s="538"/>
    </row>
    <row r="49" spans="2:62" ht="16.2" thickBot="1" x14ac:dyDescent="0.35">
      <c r="S49" s="13"/>
      <c r="T49" s="14"/>
      <c r="U49" s="575"/>
      <c r="V49" s="13"/>
      <c r="W49" s="13"/>
      <c r="X49" s="14"/>
      <c r="Y49" s="70"/>
      <c r="Z49" s="13"/>
      <c r="AA49" s="510"/>
      <c r="AB49" s="70"/>
      <c r="AC49" s="70"/>
      <c r="AD49" s="70"/>
      <c r="AE49" s="70"/>
      <c r="AF49" s="70"/>
      <c r="AH49" s="577">
        <f>AH47/('Input 1_Population'!$G$24*$I$4)</f>
        <v>0.26065511320255214</v>
      </c>
      <c r="AI49" s="578">
        <f>AI47/('Input 1_Population'!$G$24*$I$4)</f>
        <v>5.2618637523912512E-3</v>
      </c>
      <c r="AJ49" s="869"/>
      <c r="AK49" s="577">
        <f>AK47/('Input 1_Population'!$G$24*$I$4)</f>
        <v>0.26065511320255214</v>
      </c>
      <c r="AL49" s="578">
        <f>AL47/('Input 1_Population'!$G$24*$I$4)</f>
        <v>5.2618637523912512E-3</v>
      </c>
      <c r="AN49" s="599"/>
      <c r="AQ49" s="13"/>
      <c r="AR49" s="14"/>
      <c r="AS49" s="575"/>
      <c r="AT49" s="13"/>
      <c r="AU49" s="13"/>
      <c r="AV49" s="14"/>
      <c r="AW49" s="70"/>
      <c r="AX49" s="13"/>
      <c r="AY49" s="510"/>
      <c r="AZ49" s="70"/>
      <c r="BA49" s="70"/>
      <c r="BB49" s="70"/>
      <c r="BC49" s="70"/>
      <c r="BD49" s="70"/>
      <c r="BE49" s="538"/>
      <c r="BF49" s="577">
        <f>BF47/((1-'Input 1_Population'!$G$24)*$I$4)</f>
        <v>1.7542310806231958E-2</v>
      </c>
      <c r="BG49" s="577">
        <f>BG47/((1-'Input 1_Population'!$G$24)*$I$4)</f>
        <v>3.5412790576167961E-4</v>
      </c>
      <c r="BH49" s="20"/>
      <c r="BI49" s="577">
        <f>BI47/((1-'Input 1_Population'!$G$24)*$I$4)</f>
        <v>4.0484139547664394E-3</v>
      </c>
      <c r="BJ49" s="577">
        <f>BJ47/((1-'Input 1_Population'!$G$24)*$I$4)</f>
        <v>1.3848024757227198E-2</v>
      </c>
    </row>
    <row r="50" spans="2:62" ht="16.2" thickBot="1" x14ac:dyDescent="0.35">
      <c r="S50" s="13"/>
      <c r="T50" s="14"/>
      <c r="U50" s="70"/>
      <c r="V50" s="13"/>
      <c r="W50" s="13"/>
      <c r="X50" s="14"/>
      <c r="Y50" s="70"/>
      <c r="Z50" s="13"/>
      <c r="AA50" s="510"/>
      <c r="AB50" s="70"/>
      <c r="AC50" s="70"/>
      <c r="AD50" s="70"/>
      <c r="AE50" s="70"/>
      <c r="AF50" s="70"/>
      <c r="AH50" s="598" t="s">
        <v>326</v>
      </c>
      <c r="AI50" s="578">
        <f>SUM(AH49:AI49)</f>
        <v>0.26591697695494337</v>
      </c>
      <c r="AK50" s="598" t="s">
        <v>326</v>
      </c>
      <c r="AL50" s="578">
        <f>SUM(AK49:AL49)</f>
        <v>0.26591697695494337</v>
      </c>
      <c r="AN50" s="599"/>
      <c r="AQ50" s="13"/>
      <c r="AR50" s="14"/>
      <c r="AS50" s="70"/>
      <c r="AT50" s="13"/>
      <c r="AU50" s="13"/>
      <c r="AV50" s="14"/>
      <c r="AW50" s="70"/>
      <c r="AX50" s="13"/>
      <c r="AY50" s="510"/>
      <c r="AZ50" s="70"/>
      <c r="BA50" s="70"/>
      <c r="BB50" s="70"/>
      <c r="BC50" s="70"/>
      <c r="BD50" s="70"/>
      <c r="BE50" s="538"/>
      <c r="BF50" s="598" t="s">
        <v>326</v>
      </c>
      <c r="BG50" s="578">
        <f>SUM(BF49:BG49)</f>
        <v>1.7896438711993638E-2</v>
      </c>
      <c r="BI50" s="598" t="s">
        <v>326</v>
      </c>
      <c r="BJ50" s="578">
        <f>SUM(BI49:BJ49)</f>
        <v>1.7896438711993638E-2</v>
      </c>
    </row>
    <row r="51" spans="2:62" x14ac:dyDescent="0.3">
      <c r="AN51" s="599"/>
      <c r="BE51" s="538"/>
    </row>
    <row r="52" spans="2:62" ht="15" thickBot="1" x14ac:dyDescent="0.35">
      <c r="C52" s="1141" t="s">
        <v>518</v>
      </c>
      <c r="D52" s="1141"/>
      <c r="E52" s="1141"/>
      <c r="F52" s="1141"/>
      <c r="G52" s="1141"/>
      <c r="H52" s="1141"/>
      <c r="I52" s="1141"/>
      <c r="J52" s="1141"/>
      <c r="K52" s="1141"/>
      <c r="L52" s="1141"/>
      <c r="M52" s="1141"/>
      <c r="N52" s="1141"/>
      <c r="O52" s="847"/>
      <c r="P52" s="847"/>
      <c r="AN52" s="599"/>
      <c r="BE52" s="538"/>
    </row>
    <row r="53" spans="2:62" x14ac:dyDescent="0.3">
      <c r="G53" s="845" t="s">
        <v>516</v>
      </c>
      <c r="H53" s="8">
        <f>'WiS percent RSV_low'!AX66-SUM('WiS percent RSV_low'!BG68:BH68)</f>
        <v>16303.678983918951</v>
      </c>
      <c r="L53" s="845" t="s">
        <v>520</v>
      </c>
      <c r="M53" s="8">
        <f>'WiS percent RSV_low'!BT66-SUM('WiS percent RSV_low'!CC68:CD68)</f>
        <v>110867.18342885136</v>
      </c>
      <c r="N53" s="845"/>
      <c r="O53" s="8"/>
      <c r="AN53" s="599"/>
      <c r="BE53" s="538"/>
    </row>
    <row r="54" spans="2:62" x14ac:dyDescent="0.3">
      <c r="B54" s="592" t="s">
        <v>6</v>
      </c>
      <c r="G54" s="40" t="s">
        <v>517</v>
      </c>
      <c r="H54" s="22">
        <f>SUM(D56:O67)</f>
        <v>0.7198304667616221</v>
      </c>
      <c r="L54" s="40" t="s">
        <v>521</v>
      </c>
      <c r="M54" s="22">
        <f>H54</f>
        <v>0.7198304667616221</v>
      </c>
      <c r="N54" s="40"/>
      <c r="O54" s="22"/>
      <c r="R54" s="592" t="s">
        <v>6</v>
      </c>
      <c r="AF54" s="1"/>
      <c r="AN54" s="599"/>
      <c r="AP54" s="592" t="s">
        <v>6</v>
      </c>
      <c r="BD54" s="1"/>
      <c r="BE54" s="538"/>
      <c r="BI54" s="1" t="s">
        <v>348</v>
      </c>
    </row>
    <row r="55" spans="2:62" ht="60" customHeight="1" x14ac:dyDescent="0.3">
      <c r="B55" s="558" t="s">
        <v>519</v>
      </c>
      <c r="D55" s="13">
        <v>1</v>
      </c>
      <c r="E55" s="13">
        <v>2</v>
      </c>
      <c r="F55" s="13">
        <v>3</v>
      </c>
      <c r="G55" s="13">
        <v>4</v>
      </c>
      <c r="H55" s="13">
        <v>5</v>
      </c>
      <c r="I55" s="13">
        <v>6</v>
      </c>
      <c r="J55" s="13">
        <v>7</v>
      </c>
      <c r="K55" s="13">
        <v>8</v>
      </c>
      <c r="L55" s="13">
        <v>9</v>
      </c>
      <c r="M55" s="13">
        <v>10</v>
      </c>
      <c r="N55" s="13">
        <v>11</v>
      </c>
      <c r="O55" s="13">
        <v>12</v>
      </c>
      <c r="R55" s="558" t="s">
        <v>320</v>
      </c>
      <c r="T55" s="500">
        <v>1</v>
      </c>
      <c r="U55" s="500">
        <v>2</v>
      </c>
      <c r="V55" s="500">
        <v>3</v>
      </c>
      <c r="W55" s="500">
        <v>4</v>
      </c>
      <c r="X55" s="500">
        <v>5</v>
      </c>
      <c r="Y55" s="500">
        <v>6</v>
      </c>
      <c r="Z55" s="500">
        <v>7</v>
      </c>
      <c r="AA55" s="500">
        <v>8</v>
      </c>
      <c r="AB55" s="500">
        <v>9</v>
      </c>
      <c r="AC55" s="500">
        <v>10</v>
      </c>
      <c r="AD55" s="500">
        <v>11</v>
      </c>
      <c r="AE55" s="500">
        <v>12</v>
      </c>
      <c r="AG55" s="544" t="s">
        <v>315</v>
      </c>
      <c r="AH55" s="1112" t="s">
        <v>117</v>
      </c>
      <c r="AI55" s="1112"/>
      <c r="AK55" s="1112" t="s">
        <v>216</v>
      </c>
      <c r="AL55" s="1112"/>
      <c r="AN55" s="599"/>
      <c r="AP55" s="558" t="s">
        <v>320</v>
      </c>
      <c r="AR55" s="500">
        <v>1</v>
      </c>
      <c r="AS55" s="500">
        <v>2</v>
      </c>
      <c r="AT55" s="500">
        <v>3</v>
      </c>
      <c r="AU55" s="500">
        <v>4</v>
      </c>
      <c r="AV55" s="500">
        <v>5</v>
      </c>
      <c r="AW55" s="500">
        <v>6</v>
      </c>
      <c r="AX55" s="500">
        <v>7</v>
      </c>
      <c r="AY55" s="500">
        <v>8</v>
      </c>
      <c r="AZ55" s="500">
        <v>9</v>
      </c>
      <c r="BA55" s="500">
        <v>10</v>
      </c>
      <c r="BB55" s="500">
        <v>11</v>
      </c>
      <c r="BC55" s="500">
        <v>12</v>
      </c>
      <c r="BE55" s="544" t="s">
        <v>315</v>
      </c>
      <c r="BF55" s="1112" t="s">
        <v>216</v>
      </c>
      <c r="BG55" s="1112"/>
      <c r="BI55" s="1112" t="s">
        <v>345</v>
      </c>
      <c r="BJ55" s="1112"/>
    </row>
    <row r="56" spans="2:62" ht="28.8" x14ac:dyDescent="0.3">
      <c r="B56" s="26">
        <v>0</v>
      </c>
      <c r="D56" s="276"/>
      <c r="E56" s="276"/>
      <c r="F56" s="276"/>
      <c r="G56" s="276"/>
      <c r="H56" s="276"/>
      <c r="I56" s="276"/>
      <c r="J56" s="276"/>
      <c r="K56" s="276"/>
      <c r="L56" s="276"/>
      <c r="M56" s="276"/>
      <c r="N56" s="276"/>
      <c r="O56" s="276"/>
      <c r="R56" s="26">
        <v>0</v>
      </c>
      <c r="T56" s="275"/>
      <c r="U56" s="275"/>
      <c r="V56" s="275"/>
      <c r="W56" s="275"/>
      <c r="X56" s="35"/>
      <c r="Y56" s="35"/>
      <c r="Z56" s="35"/>
      <c r="AA56" s="35"/>
      <c r="AB56" s="35"/>
      <c r="AC56" s="35"/>
      <c r="AD56" s="35"/>
      <c r="AE56" s="35"/>
      <c r="AF56" s="275"/>
      <c r="AG56" s="546" t="s">
        <v>317</v>
      </c>
      <c r="AH56" s="570" t="s">
        <v>312</v>
      </c>
      <c r="AI56" s="571" t="s">
        <v>313</v>
      </c>
      <c r="AJ56" s="572"/>
      <c r="AK56" s="570" t="s">
        <v>312</v>
      </c>
      <c r="AL56" s="571" t="s">
        <v>313</v>
      </c>
      <c r="AN56" s="599"/>
      <c r="AP56" s="26">
        <v>0</v>
      </c>
      <c r="AR56" s="604"/>
      <c r="AS56" s="604"/>
      <c r="AT56" s="604"/>
      <c r="AU56" s="604"/>
      <c r="AV56" s="605"/>
      <c r="AW56" s="605"/>
      <c r="AX56" s="605"/>
      <c r="AY56" s="605"/>
      <c r="AZ56" s="605"/>
      <c r="BA56" s="605"/>
      <c r="BB56" s="605"/>
      <c r="BC56" s="605"/>
      <c r="BD56" s="275"/>
      <c r="BE56" s="546" t="s">
        <v>317</v>
      </c>
      <c r="BF56" s="570" t="s">
        <v>312</v>
      </c>
      <c r="BG56" s="571" t="s">
        <v>313</v>
      </c>
      <c r="BI56" s="570" t="s">
        <v>312</v>
      </c>
      <c r="BJ56" s="571" t="s">
        <v>313</v>
      </c>
    </row>
    <row r="57" spans="2:62" x14ac:dyDescent="0.3">
      <c r="B57" s="26">
        <v>1</v>
      </c>
      <c r="D57" s="856">
        <f>'WiS percent RSV_low'!E55</f>
        <v>7.5105984542461523E-3</v>
      </c>
      <c r="E57" s="856">
        <f>'WiS percent RSV_low'!F56</f>
        <v>2.7137572092371626E-2</v>
      </c>
      <c r="F57" s="856">
        <f>'WiS percent RSV_low'!G57</f>
        <v>3.8395031171924249E-2</v>
      </c>
      <c r="G57" s="856">
        <f>'WiS percent RSV_low'!H58</f>
        <v>2.92485581525673E-2</v>
      </c>
      <c r="H57" s="856">
        <f>'WiS percent RSV_low'!I59</f>
        <v>1.7125322810376632E-2</v>
      </c>
      <c r="I57" s="856">
        <f>'WiS percent RSV_low'!J60</f>
        <v>1.9170243070959904E-3</v>
      </c>
      <c r="J57" s="856">
        <f>'WiS percent RSV_low'!K61</f>
        <v>0</v>
      </c>
      <c r="K57" s="856">
        <f>'WiS percent RSV_low'!L62</f>
        <v>0</v>
      </c>
      <c r="L57" s="856">
        <f>'WiS percent RSV_low'!M63</f>
        <v>0</v>
      </c>
      <c r="M57" s="856">
        <f>'WiS percent RSV_low'!N64</f>
        <v>0</v>
      </c>
      <c r="N57" s="856">
        <f>'WiS percent RSV_low'!O65</f>
        <v>0</v>
      </c>
      <c r="O57" s="856"/>
      <c r="R57" s="26">
        <v>1</v>
      </c>
      <c r="T57" s="275">
        <f>D57/$H$54*$H$53</f>
        <v>170.11003538934347</v>
      </c>
      <c r="U57" s="275">
        <f t="shared" ref="U57:AD67" si="23">E57/$H$54*$H$53</f>
        <v>614.64787089027618</v>
      </c>
      <c r="V57" s="275">
        <f t="shared" si="23"/>
        <v>869.62179528296213</v>
      </c>
      <c r="W57" s="275">
        <f t="shared" si="23"/>
        <v>662.46029430685189</v>
      </c>
      <c r="X57" s="275">
        <f t="shared" si="23"/>
        <v>387.8771161943979</v>
      </c>
      <c r="Y57" s="275">
        <f t="shared" si="23"/>
        <v>43.419319340386984</v>
      </c>
      <c r="Z57" s="275">
        <f t="shared" si="23"/>
        <v>0</v>
      </c>
      <c r="AA57" s="275">
        <f t="shared" si="23"/>
        <v>0</v>
      </c>
      <c r="AB57" s="275">
        <f t="shared" si="23"/>
        <v>0</v>
      </c>
      <c r="AC57" s="275">
        <f t="shared" si="23"/>
        <v>0</v>
      </c>
      <c r="AD57" s="275">
        <f t="shared" si="23"/>
        <v>0</v>
      </c>
      <c r="AE57" s="35"/>
      <c r="AF57" s="275"/>
      <c r="AG57" s="170"/>
      <c r="AH57" s="551"/>
      <c r="AI57" s="556"/>
      <c r="AK57" s="551"/>
      <c r="AL57" s="556"/>
      <c r="AN57" s="599"/>
      <c r="AP57" s="26">
        <v>1</v>
      </c>
      <c r="AR57" s="604">
        <f>D57/$M$54*$M$53</f>
        <v>1156.7708438813611</v>
      </c>
      <c r="AS57" s="604">
        <f t="shared" ref="AS57:BB67" si="24">E57/$M$54*$M$53</f>
        <v>4179.687192894251</v>
      </c>
      <c r="AT57" s="604">
        <f t="shared" si="24"/>
        <v>5913.5437582191835</v>
      </c>
      <c r="AU57" s="604">
        <f t="shared" si="24"/>
        <v>4504.8180251641861</v>
      </c>
      <c r="AV57" s="604">
        <f t="shared" si="24"/>
        <v>2637.6159289810498</v>
      </c>
      <c r="AW57" s="604">
        <f t="shared" si="24"/>
        <v>295.25714082168827</v>
      </c>
      <c r="AX57" s="604">
        <f t="shared" si="24"/>
        <v>0</v>
      </c>
      <c r="AY57" s="604">
        <f t="shared" si="24"/>
        <v>0</v>
      </c>
      <c r="AZ57" s="604">
        <f t="shared" si="24"/>
        <v>0</v>
      </c>
      <c r="BA57" s="604">
        <f t="shared" si="24"/>
        <v>0</v>
      </c>
      <c r="BB57" s="604">
        <f t="shared" si="24"/>
        <v>0</v>
      </c>
      <c r="BC57" s="605"/>
      <c r="BD57" s="275"/>
      <c r="BE57" s="170"/>
      <c r="BF57" s="551"/>
      <c r="BG57" s="556"/>
      <c r="BI57" s="551"/>
      <c r="BJ57" s="556"/>
    </row>
    <row r="58" spans="2:62" x14ac:dyDescent="0.3">
      <c r="B58" s="26">
        <v>2</v>
      </c>
      <c r="D58" s="856">
        <f>'WiS percent RSV_low'!E56</f>
        <v>9.3618698484600818E-3</v>
      </c>
      <c r="E58" s="856">
        <f>'WiS percent RSV_low'!F57</f>
        <v>2.6970742755738197E-2</v>
      </c>
      <c r="F58" s="856">
        <f>'WiS percent RSV_low'!G58</f>
        <v>4.3738669530903398E-2</v>
      </c>
      <c r="G58" s="856">
        <f>'WiS percent RSV_low'!H59</f>
        <v>3.190872113386415E-2</v>
      </c>
      <c r="H58" s="856">
        <f>'WiS percent RSV_low'!I60</f>
        <v>7.235220771942932E-3</v>
      </c>
      <c r="I58" s="856">
        <f>'WiS percent RSV_low'!J61</f>
        <v>1.5009596749713963E-3</v>
      </c>
      <c r="J58" s="856">
        <f>'WiS percent RSV_low'!K62</f>
        <v>0</v>
      </c>
      <c r="K58" s="856">
        <f>'WiS percent RSV_low'!L63</f>
        <v>0</v>
      </c>
      <c r="L58" s="856">
        <f>'WiS percent RSV_low'!M64</f>
        <v>0</v>
      </c>
      <c r="M58" s="856">
        <f>'WiS percent RSV_low'!N65</f>
        <v>0</v>
      </c>
      <c r="N58" s="246"/>
      <c r="O58" s="246"/>
      <c r="R58" s="26">
        <v>2</v>
      </c>
      <c r="T58" s="275">
        <f t="shared" ref="T58:T67" si="25">D58/$H$54*$H$53</f>
        <v>212.04009519795557</v>
      </c>
      <c r="U58" s="275">
        <f t="shared" si="23"/>
        <v>610.86929791349166</v>
      </c>
      <c r="V58" s="275">
        <f t="shared" si="23"/>
        <v>990.65163277079716</v>
      </c>
      <c r="W58" s="275">
        <f t="shared" si="23"/>
        <v>722.71120795195486</v>
      </c>
      <c r="X58" s="275">
        <f t="shared" si="23"/>
        <v>163.87291492984767</v>
      </c>
      <c r="Y58" s="275">
        <f t="shared" si="23"/>
        <v>33.995733493515502</v>
      </c>
      <c r="Z58" s="275">
        <f t="shared" si="23"/>
        <v>0</v>
      </c>
      <c r="AA58" s="275">
        <f t="shared" si="23"/>
        <v>0</v>
      </c>
      <c r="AB58" s="275">
        <f t="shared" si="23"/>
        <v>0</v>
      </c>
      <c r="AC58" s="275">
        <f t="shared" si="23"/>
        <v>0</v>
      </c>
      <c r="AD58" s="275">
        <f t="shared" si="23"/>
        <v>0</v>
      </c>
      <c r="AE58" s="35"/>
      <c r="AF58" s="275"/>
      <c r="AG58" s="562">
        <f>IF(AND(R56&gt;0,12-'Input 4_RSV Season'!$AG$27+1&gt;R56),IF(AG57&gt;0,AG57+1,1),0)</f>
        <v>0</v>
      </c>
      <c r="AH58" s="549">
        <f>IF($AG58&gt;0,SUMIF($T$7:$AE$7,"&gt;0",$T56:$AE56),0)</f>
        <v>0</v>
      </c>
      <c r="AI58" s="549">
        <f>IF($AG58&gt;0,SUMIF($T$7:$AE$7,0,$T56:$AE56),0)</f>
        <v>0</v>
      </c>
      <c r="AK58" s="563">
        <f>IF($AG58&gt;0,SUMIF($T$8:$AE$8,"&gt;0",$T56:$AE56),0)</f>
        <v>0</v>
      </c>
      <c r="AL58" s="564">
        <f>IF($AG58&gt;0,SUMIF($T$8:$AE$8,0,$T56:$AE56),0)</f>
        <v>0</v>
      </c>
      <c r="AN58" s="599"/>
      <c r="AP58" s="26">
        <v>2</v>
      </c>
      <c r="AR58" s="604">
        <f t="shared" ref="AR58:AR67" si="26">D58/$M$54*$M$53</f>
        <v>1441.9008220028204</v>
      </c>
      <c r="AS58" s="604">
        <f t="shared" si="24"/>
        <v>4153.992394577278</v>
      </c>
      <c r="AT58" s="604">
        <f t="shared" si="24"/>
        <v>6736.5627348785547</v>
      </c>
      <c r="AU58" s="604">
        <f t="shared" si="24"/>
        <v>4914.5322437424684</v>
      </c>
      <c r="AV58" s="604">
        <f t="shared" si="24"/>
        <v>1114.3575960044363</v>
      </c>
      <c r="AW58" s="604">
        <f t="shared" si="24"/>
        <v>231.17550491158917</v>
      </c>
      <c r="AX58" s="604">
        <f t="shared" si="24"/>
        <v>0</v>
      </c>
      <c r="AY58" s="604">
        <f t="shared" si="24"/>
        <v>0</v>
      </c>
      <c r="AZ58" s="604">
        <f t="shared" si="24"/>
        <v>0</v>
      </c>
      <c r="BA58" s="604">
        <f t="shared" si="24"/>
        <v>0</v>
      </c>
      <c r="BB58" s="604">
        <f t="shared" si="24"/>
        <v>0</v>
      </c>
      <c r="BC58" s="605"/>
      <c r="BD58" s="275"/>
      <c r="BE58" s="562">
        <f>IF(AND(AP56&gt;0,12-'Input 4_RSV Season'!$AG$27+1&gt;AP56),IF(BE57&gt;0,BE57+1,1),0)</f>
        <v>0</v>
      </c>
      <c r="BF58" s="549">
        <f>IF($BE58&gt;0,SUMIF($AR$8:$BC$8,"&gt;0",$AR56:$BC56),0)</f>
        <v>0</v>
      </c>
      <c r="BG58" s="564">
        <f>IF($BE58&gt;0,SUMIF($AR$8:$BC$8,0,$AR56:$BC56),0)</f>
        <v>0</v>
      </c>
      <c r="BI58" s="693"/>
      <c r="BJ58" s="564"/>
    </row>
    <row r="59" spans="2:62" x14ac:dyDescent="0.3">
      <c r="B59" s="26">
        <v>3</v>
      </c>
      <c r="D59" s="856">
        <f>'WiS percent RSV_low'!E57</f>
        <v>9.3043173698834827E-3</v>
      </c>
      <c r="E59" s="856">
        <f>'WiS percent RSV_low'!F58</f>
        <v>3.0724402829990418E-2</v>
      </c>
      <c r="F59" s="856">
        <f>'WiS percent RSV_low'!G59</f>
        <v>4.7716711420365654E-2</v>
      </c>
      <c r="G59" s="856">
        <f>'WiS percent RSV_low'!H60</f>
        <v>1.3481009643449223E-2</v>
      </c>
      <c r="H59" s="856">
        <f>'WiS percent RSV_low'!I61</f>
        <v>5.6649123216662382E-3</v>
      </c>
      <c r="I59" s="856">
        <f>'WiS percent RSV_low'!J62</f>
        <v>2.012571508627734E-3</v>
      </c>
      <c r="J59" s="856">
        <f>'WiS percent RSV_low'!K63</f>
        <v>0</v>
      </c>
      <c r="K59" s="856">
        <f>'WiS percent RSV_low'!L64</f>
        <v>0</v>
      </c>
      <c r="L59" s="856">
        <f>'WiS percent RSV_low'!M65</f>
        <v>0</v>
      </c>
      <c r="M59" s="246"/>
      <c r="N59" s="246"/>
      <c r="O59" s="246"/>
      <c r="R59" s="26">
        <v>3</v>
      </c>
      <c r="T59" s="275">
        <f t="shared" si="25"/>
        <v>210.73657002255828</v>
      </c>
      <c r="U59" s="275">
        <f t="shared" si="23"/>
        <v>695.88718989114261</v>
      </c>
      <c r="V59" s="275">
        <f t="shared" si="23"/>
        <v>1080.7516229006299</v>
      </c>
      <c r="W59" s="275">
        <f t="shared" si="23"/>
        <v>305.33585858723751</v>
      </c>
      <c r="X59" s="275">
        <f t="shared" si="23"/>
        <v>128.30647802391337</v>
      </c>
      <c r="Y59" s="275">
        <f t="shared" si="23"/>
        <v>45.583399597497333</v>
      </c>
      <c r="Z59" s="275">
        <f t="shared" si="23"/>
        <v>0</v>
      </c>
      <c r="AA59" s="275">
        <f t="shared" si="23"/>
        <v>0</v>
      </c>
      <c r="AB59" s="275">
        <f t="shared" si="23"/>
        <v>0</v>
      </c>
      <c r="AC59" s="275">
        <f t="shared" si="23"/>
        <v>0</v>
      </c>
      <c r="AD59" s="275">
        <f t="shared" si="23"/>
        <v>0</v>
      </c>
      <c r="AE59" s="35"/>
      <c r="AF59" s="275"/>
      <c r="AG59" s="562">
        <f>IF(AND(R57&gt;0,12-'Input 4_RSV Season'!$AG$27+1&gt;R57),IF(AG58&gt;0,AG58+1,1),0)</f>
        <v>1</v>
      </c>
      <c r="AH59" s="549">
        <f t="shared" ref="AH59:AH69" si="27">IF($AG59&gt;0,SUMIF($T$7:$AE$7,"&gt;0",$T57:$AE57),0)</f>
        <v>2704.7171120638313</v>
      </c>
      <c r="AI59" s="549">
        <f t="shared" ref="AI59:AI69" si="28">IF($AG59&gt;0,SUMIF($T$7:$AE$7,0,$T57:$AE57),0)</f>
        <v>43.419319340386984</v>
      </c>
      <c r="AK59" s="549">
        <f t="shared" ref="AK59:AK69" si="29">IF($AG59&gt;0,SUMIF($T$8:$AE$8,"&gt;0",$T57:$AE57),0)</f>
        <v>2704.7171120638313</v>
      </c>
      <c r="AL59" s="565">
        <f t="shared" ref="AL59:AL69" si="30">IF($AG59&gt;0,SUMIF($T$8:$AE$8,0,$T57:$AE57),0)</f>
        <v>43.419319340386984</v>
      </c>
      <c r="AN59" s="599"/>
      <c r="AP59" s="26">
        <v>3</v>
      </c>
      <c r="AR59" s="604">
        <f t="shared" si="26"/>
        <v>1433.036677605262</v>
      </c>
      <c r="AS59" s="604">
        <f t="shared" si="24"/>
        <v>4732.1253567091671</v>
      </c>
      <c r="AT59" s="604">
        <f t="shared" si="24"/>
        <v>7349.2546397249762</v>
      </c>
      <c r="AU59" s="604">
        <f t="shared" si="24"/>
        <v>2076.3244096492917</v>
      </c>
      <c r="AV59" s="604">
        <f t="shared" si="24"/>
        <v>872.50109918244971</v>
      </c>
      <c r="AW59" s="604">
        <f t="shared" si="24"/>
        <v>309.97317412045834</v>
      </c>
      <c r="AX59" s="604">
        <f t="shared" si="24"/>
        <v>0</v>
      </c>
      <c r="AY59" s="604">
        <f t="shared" si="24"/>
        <v>0</v>
      </c>
      <c r="AZ59" s="604">
        <f t="shared" si="24"/>
        <v>0</v>
      </c>
      <c r="BA59" s="604">
        <f t="shared" si="24"/>
        <v>0</v>
      </c>
      <c r="BB59" s="604">
        <f t="shared" si="24"/>
        <v>0</v>
      </c>
      <c r="BC59" s="605"/>
      <c r="BD59" s="275"/>
      <c r="BE59" s="562">
        <f>IF(AND(AP57&gt;0,12-'Input 4_RSV Season'!$AG$27+1&gt;AP57),IF(BE58&gt;0,BE58+1,1),0)</f>
        <v>1</v>
      </c>
      <c r="BF59" s="549">
        <f t="shared" ref="BF59:BF69" si="31">IF($BE59&gt;0,SUMIF($AR$8:$BC$8,"&gt;0",$AR57:$BC57),0)</f>
        <v>18392.43574914003</v>
      </c>
      <c r="BG59" s="565">
        <f t="shared" ref="BG59:BG69" si="32">IF($BE59&gt;0,SUMIF($AR$8:$BC$8,0,$AR57:$BC57),0)</f>
        <v>295.25714082168827</v>
      </c>
      <c r="BI59" s="693">
        <f>IF(SUM($AR$7:$BC$7)=4,SUM(AR57:AU57),IF(SUM($AR$7:$BC$7)=3,SUM(AR57:AT57),IF(SUM($AR$7:$BC$7)=2,SUM(AR57:AS57),IF(SUM($AR$7:$BC$7)=1,AR57,0))))</f>
        <v>11250.001794994794</v>
      </c>
      <c r="BJ59" s="565">
        <f t="shared" ref="BJ59:BJ62" si="33">IF($BE59&gt;0,SUM($AR57:$BC57)-BI59,0)</f>
        <v>7437.6910949669254</v>
      </c>
    </row>
    <row r="60" spans="2:62" x14ac:dyDescent="0.3">
      <c r="B60" s="26">
        <v>4</v>
      </c>
      <c r="D60" s="856">
        <f>'WiS percent RSV_low'!E58</f>
        <v>1.0599248137856957E-2</v>
      </c>
      <c r="E60" s="856">
        <f>'WiS percent RSV_low'!F59</f>
        <v>3.3518794218600413E-2</v>
      </c>
      <c r="F60" s="856">
        <f>'WiS percent RSV_low'!G60</f>
        <v>2.0159674971396545E-2</v>
      </c>
      <c r="G60" s="856">
        <f>'WiS percent RSV_low'!H61</f>
        <v>1.0555135778831109E-2</v>
      </c>
      <c r="H60" s="856">
        <f>'WiS percent RSV_low'!I62</f>
        <v>7.5958344035304808E-3</v>
      </c>
      <c r="I60" s="856">
        <f>'WiS percent RSV_low'!J63</f>
        <v>1.6451490881920282E-3</v>
      </c>
      <c r="J60" s="856">
        <f>'WiS percent RSV_low'!K64</f>
        <v>0</v>
      </c>
      <c r="K60" s="856">
        <f>'WiS percent RSV_low'!L65</f>
        <v>0</v>
      </c>
      <c r="L60" s="246"/>
      <c r="M60" s="246"/>
      <c r="N60" s="246"/>
      <c r="O60" s="246"/>
      <c r="R60" s="26">
        <v>4</v>
      </c>
      <c r="T60" s="275">
        <f t="shared" si="25"/>
        <v>240.06588646899681</v>
      </c>
      <c r="U60" s="275">
        <f t="shared" si="23"/>
        <v>759.17828725228287</v>
      </c>
      <c r="V60" s="275">
        <f t="shared" si="23"/>
        <v>456.60316467632765</v>
      </c>
      <c r="W60" s="275">
        <f t="shared" si="23"/>
        <v>239.06677101891546</v>
      </c>
      <c r="X60" s="275">
        <f t="shared" si="23"/>
        <v>172.04057267442545</v>
      </c>
      <c r="Y60" s="275">
        <f t="shared" si="23"/>
        <v>37.261527336063871</v>
      </c>
      <c r="Z60" s="275">
        <f t="shared" si="23"/>
        <v>0</v>
      </c>
      <c r="AA60" s="275">
        <f t="shared" si="23"/>
        <v>0</v>
      </c>
      <c r="AB60" s="275">
        <f t="shared" si="23"/>
        <v>0</v>
      </c>
      <c r="AC60" s="275">
        <f t="shared" si="23"/>
        <v>0</v>
      </c>
      <c r="AD60" s="275">
        <f t="shared" si="23"/>
        <v>0</v>
      </c>
      <c r="AE60" s="35"/>
      <c r="AF60" s="275"/>
      <c r="AG60" s="562">
        <f>IF(AND(R58&gt;0,12-'Input 4_RSV Season'!$AG$27+1&gt;R58),IF(AG59&gt;0,AG59+1,1),0)</f>
        <v>2</v>
      </c>
      <c r="AH60" s="549">
        <f t="shared" si="27"/>
        <v>2700.145148764047</v>
      </c>
      <c r="AI60" s="549">
        <f t="shared" si="28"/>
        <v>33.995733493515502</v>
      </c>
      <c r="AK60" s="549">
        <f t="shared" si="29"/>
        <v>2700.145148764047</v>
      </c>
      <c r="AL60" s="565">
        <f t="shared" si="30"/>
        <v>33.995733493515502</v>
      </c>
      <c r="AN60" s="599"/>
      <c r="AP60" s="26">
        <v>4</v>
      </c>
      <c r="AR60" s="604">
        <f t="shared" si="26"/>
        <v>1632.4799265503243</v>
      </c>
      <c r="AS60" s="604">
        <f t="shared" si="24"/>
        <v>5162.5132285184636</v>
      </c>
      <c r="AT60" s="604">
        <f t="shared" si="24"/>
        <v>3104.9621905764639</v>
      </c>
      <c r="AU60" s="604">
        <f t="shared" si="24"/>
        <v>1625.6858087331111</v>
      </c>
      <c r="AV60" s="604">
        <f t="shared" si="24"/>
        <v>1169.8987539385041</v>
      </c>
      <c r="AW60" s="604">
        <f t="shared" si="24"/>
        <v>253.38333698064235</v>
      </c>
      <c r="AX60" s="604">
        <f t="shared" si="24"/>
        <v>0</v>
      </c>
      <c r="AY60" s="604">
        <f t="shared" si="24"/>
        <v>0</v>
      </c>
      <c r="AZ60" s="604">
        <f t="shared" si="24"/>
        <v>0</v>
      </c>
      <c r="BA60" s="604">
        <f t="shared" si="24"/>
        <v>0</v>
      </c>
      <c r="BB60" s="604">
        <f t="shared" si="24"/>
        <v>0</v>
      </c>
      <c r="BC60" s="605"/>
      <c r="BD60" s="275"/>
      <c r="BE60" s="562">
        <f>IF(AND(AP58&gt;0,12-'Input 4_RSV Season'!$AG$27+1&gt;AP58),IF(BE59&gt;0,BE59+1,1),0)</f>
        <v>2</v>
      </c>
      <c r="BF60" s="549">
        <f t="shared" si="31"/>
        <v>18361.345791205556</v>
      </c>
      <c r="BG60" s="565">
        <f t="shared" si="32"/>
        <v>231.17550491158917</v>
      </c>
      <c r="BI60" s="693">
        <f>IF(SUM($AR$7:$BC$7)=4,SUM(AR58:AT58),IF(SUM($AR$7:$BC$7)=3,SUM(AR58:AS58),IF(SUM($AR$7:$BC$7)=2,AR58,0)))</f>
        <v>5595.8932165800979</v>
      </c>
      <c r="BJ60" s="565">
        <f t="shared" si="33"/>
        <v>12996.628079537048</v>
      </c>
    </row>
    <row r="61" spans="2:62" x14ac:dyDescent="0.3">
      <c r="B61" s="26">
        <v>5</v>
      </c>
      <c r="D61" s="856">
        <f>'WiS percent RSV_low'!E59</f>
        <v>1.156325215401499E-2</v>
      </c>
      <c r="E61" s="856">
        <f>'WiS percent RSV_low'!F60</f>
        <v>1.4161244074999411E-2</v>
      </c>
      <c r="F61" s="856">
        <f>'WiS percent RSV_low'!G61</f>
        <v>1.578428561421533E-2</v>
      </c>
      <c r="G61" s="856">
        <f>'WiS percent RSV_low'!H62</f>
        <v>1.4152922221962776E-2</v>
      </c>
      <c r="H61" s="856">
        <f>'WiS percent RSV_low'!I63</f>
        <v>6.2091110747892683E-3</v>
      </c>
      <c r="I61" s="856">
        <f>'WiS percent RSV_low'!J64</f>
        <v>1.7502510098769462E-3</v>
      </c>
      <c r="J61" s="856">
        <f>'WiS percent RSV_low'!K65</f>
        <v>0</v>
      </c>
      <c r="K61" s="246"/>
      <c r="L61" s="246"/>
      <c r="M61" s="246"/>
      <c r="N61" s="246"/>
      <c r="O61" s="246"/>
      <c r="R61" s="26">
        <v>5</v>
      </c>
      <c r="T61" s="275">
        <f t="shared" si="25"/>
        <v>261.89993315690106</v>
      </c>
      <c r="U61" s="275">
        <f t="shared" si="23"/>
        <v>320.74271383705224</v>
      </c>
      <c r="V61" s="275">
        <f t="shared" si="23"/>
        <v>357.50351996406624</v>
      </c>
      <c r="W61" s="275">
        <f t="shared" si="23"/>
        <v>320.55422942756201</v>
      </c>
      <c r="X61" s="275">
        <f t="shared" si="23"/>
        <v>140.63221607482171</v>
      </c>
      <c r="Y61" s="275">
        <f t="shared" si="23"/>
        <v>39.64201561888526</v>
      </c>
      <c r="Z61" s="275">
        <f t="shared" si="23"/>
        <v>0</v>
      </c>
      <c r="AA61" s="275">
        <f t="shared" si="23"/>
        <v>0</v>
      </c>
      <c r="AB61" s="275">
        <f t="shared" si="23"/>
        <v>0</v>
      </c>
      <c r="AC61" s="275">
        <f t="shared" si="23"/>
        <v>0</v>
      </c>
      <c r="AD61" s="275">
        <f t="shared" si="23"/>
        <v>0</v>
      </c>
      <c r="AE61" s="35"/>
      <c r="AF61" s="275"/>
      <c r="AG61" s="562">
        <f>IF(AND(R59&gt;0,12-'Input 4_RSV Season'!$AG$27+1&gt;R59),IF(AG60&gt;0,AG60+1,1),0)</f>
        <v>3</v>
      </c>
      <c r="AH61" s="549">
        <f t="shared" si="27"/>
        <v>2421.0177194254816</v>
      </c>
      <c r="AI61" s="549">
        <f t="shared" si="28"/>
        <v>45.583399597497333</v>
      </c>
      <c r="AK61" s="549">
        <f t="shared" si="29"/>
        <v>2421.0177194254816</v>
      </c>
      <c r="AL61" s="565">
        <f t="shared" si="30"/>
        <v>45.583399597497333</v>
      </c>
      <c r="AN61" s="599"/>
      <c r="AP61" s="26">
        <v>5</v>
      </c>
      <c r="AR61" s="604">
        <f t="shared" si="26"/>
        <v>1780.9543452094263</v>
      </c>
      <c r="AS61" s="604">
        <f t="shared" si="24"/>
        <v>2181.0930725215035</v>
      </c>
      <c r="AT61" s="604">
        <f t="shared" si="24"/>
        <v>2431.0714387476801</v>
      </c>
      <c r="AU61" s="604">
        <f t="shared" si="24"/>
        <v>2179.8113534922559</v>
      </c>
      <c r="AV61" s="604">
        <f t="shared" si="24"/>
        <v>956.31775570113416</v>
      </c>
      <c r="AW61" s="604">
        <f t="shared" si="24"/>
        <v>269.57097360928947</v>
      </c>
      <c r="AX61" s="604">
        <f t="shared" si="24"/>
        <v>0</v>
      </c>
      <c r="AY61" s="604">
        <f t="shared" si="24"/>
        <v>0</v>
      </c>
      <c r="AZ61" s="604">
        <f t="shared" si="24"/>
        <v>0</v>
      </c>
      <c r="BA61" s="604">
        <f t="shared" si="24"/>
        <v>0</v>
      </c>
      <c r="BB61" s="604">
        <f t="shared" si="24"/>
        <v>0</v>
      </c>
      <c r="BC61" s="605"/>
      <c r="BD61" s="275"/>
      <c r="BE61" s="562">
        <f>IF(AND(AP59&gt;0,12-'Input 4_RSV Season'!$AG$27+1&gt;AP59),IF(BE60&gt;0,BE60+1,1),0)</f>
        <v>3</v>
      </c>
      <c r="BF61" s="549">
        <f t="shared" si="31"/>
        <v>16463.242182871149</v>
      </c>
      <c r="BG61" s="565">
        <f t="shared" si="32"/>
        <v>309.97317412045834</v>
      </c>
      <c r="BI61" s="693">
        <f>IF(SUM($AR$7:$BC$7)=4,SUM(AR59:AS59),IF(SUM($AR$7:$BC$7)=3,AR59,0))</f>
        <v>1433.036677605262</v>
      </c>
      <c r="BJ61" s="565">
        <f t="shared" si="33"/>
        <v>15340.178679386347</v>
      </c>
    </row>
    <row r="62" spans="2:62" x14ac:dyDescent="0.3">
      <c r="B62" s="26">
        <v>6</v>
      </c>
      <c r="D62" s="856">
        <f>'WiS percent RSV_low'!E60</f>
        <v>4.8853200084059108E-3</v>
      </c>
      <c r="E62" s="856">
        <f>'WiS percent RSV_low'!F61</f>
        <v>1.1087734373175798E-2</v>
      </c>
      <c r="F62" s="856">
        <f>'WiS percent RSV_low'!G62</f>
        <v>2.1164461671375527E-2</v>
      </c>
      <c r="G62" s="856">
        <f>'WiS percent RSV_low'!H63</f>
        <v>1.1569112942769747E-2</v>
      </c>
      <c r="H62" s="856">
        <f>'WiS percent RSV_low'!I64</f>
        <v>6.6057860695355715E-3</v>
      </c>
      <c r="I62" s="856">
        <f>'WiS percent RSV_low'!J65</f>
        <v>1.8692507063301181E-3</v>
      </c>
      <c r="J62" s="246"/>
      <c r="K62" s="246"/>
      <c r="L62" s="246"/>
      <c r="M62" s="246"/>
      <c r="N62" s="246"/>
      <c r="O62" s="246"/>
      <c r="R62" s="26">
        <v>6</v>
      </c>
      <c r="T62" s="275">
        <f t="shared" si="25"/>
        <v>110.64923315776038</v>
      </c>
      <c r="U62" s="275">
        <f t="shared" si="23"/>
        <v>251.12977322629192</v>
      </c>
      <c r="V62" s="275">
        <f t="shared" si="23"/>
        <v>479.36091189626239</v>
      </c>
      <c r="W62" s="275">
        <f t="shared" si="23"/>
        <v>262.03267610522335</v>
      </c>
      <c r="X62" s="275">
        <f t="shared" si="23"/>
        <v>149.61663959385726</v>
      </c>
      <c r="Y62" s="275">
        <f t="shared" si="23"/>
        <v>42.337279211831799</v>
      </c>
      <c r="Z62" s="275">
        <f t="shared" si="23"/>
        <v>0</v>
      </c>
      <c r="AA62" s="275">
        <f t="shared" si="23"/>
        <v>0</v>
      </c>
      <c r="AB62" s="275">
        <f t="shared" si="23"/>
        <v>0</v>
      </c>
      <c r="AC62" s="275">
        <f t="shared" si="23"/>
        <v>0</v>
      </c>
      <c r="AD62" s="275">
        <f t="shared" si="23"/>
        <v>0</v>
      </c>
      <c r="AE62" s="35"/>
      <c r="AF62" s="275"/>
      <c r="AG62" s="562">
        <f>IF(AND(R60&gt;0,12-'Input 4_RSV Season'!$AG$27+1&gt;R60),IF(AG61&gt;0,AG61+1,1),0)</f>
        <v>4</v>
      </c>
      <c r="AH62" s="549">
        <f t="shared" si="27"/>
        <v>1866.9546820909484</v>
      </c>
      <c r="AI62" s="549">
        <f t="shared" si="28"/>
        <v>37.261527336063871</v>
      </c>
      <c r="AK62" s="549">
        <f t="shared" si="29"/>
        <v>1866.9546820909484</v>
      </c>
      <c r="AL62" s="565">
        <f t="shared" si="30"/>
        <v>37.261527336063871</v>
      </c>
      <c r="AN62" s="599"/>
      <c r="AP62" s="26">
        <v>6</v>
      </c>
      <c r="AR62" s="604">
        <f t="shared" si="26"/>
        <v>752.42948790043135</v>
      </c>
      <c r="AS62" s="604">
        <f t="shared" si="24"/>
        <v>1707.7158266049653</v>
      </c>
      <c r="AT62" s="604">
        <f t="shared" si="24"/>
        <v>3259.7178955893369</v>
      </c>
      <c r="AU62" s="604">
        <f t="shared" si="24"/>
        <v>1781.8570148961303</v>
      </c>
      <c r="AV62" s="604">
        <f t="shared" si="24"/>
        <v>1017.4130294286085</v>
      </c>
      <c r="AW62" s="604">
        <f t="shared" si="24"/>
        <v>287.89912417230317</v>
      </c>
      <c r="AX62" s="604">
        <f t="shared" si="24"/>
        <v>0</v>
      </c>
      <c r="AY62" s="604">
        <f t="shared" si="24"/>
        <v>0</v>
      </c>
      <c r="AZ62" s="604">
        <f t="shared" si="24"/>
        <v>0</v>
      </c>
      <c r="BA62" s="604">
        <f t="shared" si="24"/>
        <v>0</v>
      </c>
      <c r="BB62" s="604">
        <f t="shared" si="24"/>
        <v>0</v>
      </c>
      <c r="BC62" s="605"/>
      <c r="BD62" s="275"/>
      <c r="BE62" s="562">
        <f>IF(AND(AP60&gt;0,12-'Input 4_RSV Season'!$AG$27+1&gt;AP60),IF(BE61&gt;0,BE61+1,1),0)</f>
        <v>4</v>
      </c>
      <c r="BF62" s="549">
        <f t="shared" si="31"/>
        <v>12695.539908316867</v>
      </c>
      <c r="BG62" s="565">
        <f t="shared" si="32"/>
        <v>253.38333698064235</v>
      </c>
      <c r="BI62" s="693">
        <f>IF(SUM($AR$7:$BC$7)=4,AR60,0)</f>
        <v>0</v>
      </c>
      <c r="BJ62" s="565">
        <f t="shared" si="33"/>
        <v>12948.923245297508</v>
      </c>
    </row>
    <row r="63" spans="2:62" x14ac:dyDescent="0.3">
      <c r="B63" s="26">
        <v>7</v>
      </c>
      <c r="D63" s="856">
        <f>'WiS percent RSV_low'!E61</f>
        <v>3.825026268475494E-3</v>
      </c>
      <c r="E63" s="856">
        <f>'WiS percent RSV_low'!F62</f>
        <v>1.4867060499217778E-2</v>
      </c>
      <c r="F63" s="856">
        <f>'WiS percent RSV_low'!G63</f>
        <v>1.7300600088729072E-2</v>
      </c>
      <c r="G63" s="856">
        <f>'WiS percent RSV_low'!H64</f>
        <v>1.2308216779134655E-2</v>
      </c>
      <c r="H63" s="856">
        <f>'WiS percent RSV_low'!I65</f>
        <v>7.0549139561491558E-3</v>
      </c>
      <c r="I63" s="246"/>
      <c r="J63" s="246"/>
      <c r="K63" s="246"/>
      <c r="L63" s="246"/>
      <c r="M63" s="246"/>
      <c r="N63" s="246"/>
      <c r="O63" s="246"/>
      <c r="R63" s="26">
        <v>7</v>
      </c>
      <c r="T63" s="275">
        <f t="shared" si="25"/>
        <v>86.634288580249191</v>
      </c>
      <c r="U63" s="275">
        <f t="shared" si="23"/>
        <v>336.72898412344807</v>
      </c>
      <c r="V63" s="275">
        <f t="shared" si="23"/>
        <v>391.84702940505878</v>
      </c>
      <c r="W63" s="275">
        <f t="shared" si="23"/>
        <v>278.77288402958021</v>
      </c>
      <c r="X63" s="275">
        <f t="shared" si="23"/>
        <v>159.78908605755873</v>
      </c>
      <c r="Y63" s="275">
        <f t="shared" si="23"/>
        <v>0</v>
      </c>
      <c r="Z63" s="275">
        <f t="shared" si="23"/>
        <v>0</v>
      </c>
      <c r="AA63" s="275">
        <f t="shared" si="23"/>
        <v>0</v>
      </c>
      <c r="AB63" s="275">
        <f t="shared" si="23"/>
        <v>0</v>
      </c>
      <c r="AC63" s="275">
        <f t="shared" si="23"/>
        <v>0</v>
      </c>
      <c r="AD63" s="275">
        <f t="shared" si="23"/>
        <v>0</v>
      </c>
      <c r="AE63" s="35"/>
      <c r="AF63" s="275"/>
      <c r="AG63" s="562">
        <f>IF(AND(R61&gt;0,12-'Input 4_RSV Season'!$AG$27+1&gt;R61),IF(AG62&gt;0,AG62+1,1),0)</f>
        <v>5</v>
      </c>
      <c r="AH63" s="549">
        <f t="shared" si="27"/>
        <v>1401.3326124604032</v>
      </c>
      <c r="AI63" s="549">
        <f t="shared" si="28"/>
        <v>39.64201561888526</v>
      </c>
      <c r="AK63" s="549">
        <f t="shared" si="29"/>
        <v>1401.3326124604032</v>
      </c>
      <c r="AL63" s="565">
        <f t="shared" si="30"/>
        <v>39.64201561888526</v>
      </c>
      <c r="AN63" s="599"/>
      <c r="AP63" s="26">
        <v>7</v>
      </c>
      <c r="AR63" s="604">
        <f t="shared" si="26"/>
        <v>589.12467380695318</v>
      </c>
      <c r="AS63" s="604">
        <f t="shared" si="24"/>
        <v>2289.8018346317731</v>
      </c>
      <c r="AT63" s="604">
        <f t="shared" si="24"/>
        <v>2664.6118663125617</v>
      </c>
      <c r="AU63" s="604">
        <f t="shared" si="24"/>
        <v>1895.6926531233903</v>
      </c>
      <c r="AV63" s="604">
        <f t="shared" si="24"/>
        <v>1086.5870170374023</v>
      </c>
      <c r="AW63" s="604">
        <f t="shared" si="24"/>
        <v>0</v>
      </c>
      <c r="AX63" s="604">
        <f t="shared" si="24"/>
        <v>0</v>
      </c>
      <c r="AY63" s="604">
        <f t="shared" si="24"/>
        <v>0</v>
      </c>
      <c r="AZ63" s="604">
        <f t="shared" si="24"/>
        <v>0</v>
      </c>
      <c r="BA63" s="604">
        <f t="shared" si="24"/>
        <v>0</v>
      </c>
      <c r="BB63" s="604">
        <f t="shared" si="24"/>
        <v>0</v>
      </c>
      <c r="BC63" s="605"/>
      <c r="BD63" s="275"/>
      <c r="BE63" s="562">
        <f>IF(AND(AP61&gt;0,12-'Input 4_RSV Season'!$AG$27+1&gt;AP61),IF(BE62&gt;0,BE62+1,1),0)</f>
        <v>5</v>
      </c>
      <c r="BF63" s="549">
        <f t="shared" si="31"/>
        <v>9529.2479656720006</v>
      </c>
      <c r="BG63" s="565">
        <f t="shared" si="32"/>
        <v>269.57097360928947</v>
      </c>
      <c r="BI63" s="693"/>
      <c r="BJ63" s="565">
        <f>IF($BE63&gt;0,SUM($AR61:$BC61)-BI63,0)</f>
        <v>9798.8189392812892</v>
      </c>
    </row>
    <row r="64" spans="2:62" x14ac:dyDescent="0.3">
      <c r="B64" s="26">
        <v>8</v>
      </c>
      <c r="D64" s="856">
        <f>'WiS percent RSV_low'!E62</f>
        <v>5.1288112639222908E-3</v>
      </c>
      <c r="E64" s="856">
        <f>'WiS percent RSV_low'!F63</f>
        <v>1.2152875522450788E-2</v>
      </c>
      <c r="F64" s="856">
        <f>'WiS percent RSV_low'!G64</f>
        <v>1.8405865458705952E-2</v>
      </c>
      <c r="G64" s="856">
        <f>'WiS percent RSV_low'!H65</f>
        <v>1.3145053354192443E-2</v>
      </c>
      <c r="H64" s="246"/>
      <c r="I64" s="246"/>
      <c r="J64" s="246"/>
      <c r="K64" s="246"/>
      <c r="L64" s="246"/>
      <c r="M64" s="246"/>
      <c r="N64" s="246"/>
      <c r="O64" s="246"/>
      <c r="R64" s="26">
        <v>8</v>
      </c>
      <c r="T64" s="275">
        <f t="shared" si="25"/>
        <v>116.16414736136421</v>
      </c>
      <c r="U64" s="275">
        <f t="shared" si="23"/>
        <v>275.25450838576211</v>
      </c>
      <c r="V64" s="275">
        <f t="shared" si="23"/>
        <v>416.88055134698692</v>
      </c>
      <c r="W64" s="275">
        <f t="shared" si="23"/>
        <v>297.72667316707521</v>
      </c>
      <c r="X64" s="275">
        <f t="shared" si="23"/>
        <v>0</v>
      </c>
      <c r="Y64" s="275">
        <f t="shared" si="23"/>
        <v>0</v>
      </c>
      <c r="Z64" s="275">
        <f t="shared" si="23"/>
        <v>0</v>
      </c>
      <c r="AA64" s="275">
        <f t="shared" si="23"/>
        <v>0</v>
      </c>
      <c r="AB64" s="275">
        <f t="shared" si="23"/>
        <v>0</v>
      </c>
      <c r="AC64" s="275">
        <f t="shared" si="23"/>
        <v>0</v>
      </c>
      <c r="AD64" s="275">
        <f t="shared" si="23"/>
        <v>0</v>
      </c>
      <c r="AE64" s="35"/>
      <c r="AF64" s="275"/>
      <c r="AG64" s="562">
        <f>IF(AND(R62&gt;0,12-'Input 4_RSV Season'!$AG$27+1&gt;R62),IF(AG63&gt;0,AG63+1,1),0)</f>
        <v>6</v>
      </c>
      <c r="AH64" s="549">
        <f t="shared" si="27"/>
        <v>1252.7892339793952</v>
      </c>
      <c r="AI64" s="549">
        <f t="shared" si="28"/>
        <v>42.337279211831799</v>
      </c>
      <c r="AK64" s="549">
        <f t="shared" si="29"/>
        <v>1252.7892339793952</v>
      </c>
      <c r="AL64" s="565">
        <f t="shared" si="30"/>
        <v>42.337279211831799</v>
      </c>
      <c r="AN64" s="599"/>
      <c r="AP64" s="26">
        <v>8</v>
      </c>
      <c r="AR64" s="604">
        <f t="shared" si="26"/>
        <v>789.93163727471665</v>
      </c>
      <c r="AS64" s="604">
        <f t="shared" si="24"/>
        <v>1871.7672312441</v>
      </c>
      <c r="AT64" s="604">
        <f t="shared" si="24"/>
        <v>2834.8431418267214</v>
      </c>
      <c r="AU64" s="604">
        <f t="shared" si="24"/>
        <v>2024.5809377278094</v>
      </c>
      <c r="AV64" s="604">
        <f t="shared" si="24"/>
        <v>0</v>
      </c>
      <c r="AW64" s="604">
        <f t="shared" si="24"/>
        <v>0</v>
      </c>
      <c r="AX64" s="604">
        <f t="shared" si="24"/>
        <v>0</v>
      </c>
      <c r="AY64" s="604">
        <f t="shared" si="24"/>
        <v>0</v>
      </c>
      <c r="AZ64" s="604">
        <f t="shared" si="24"/>
        <v>0</v>
      </c>
      <c r="BA64" s="604">
        <f t="shared" si="24"/>
        <v>0</v>
      </c>
      <c r="BB64" s="604">
        <f t="shared" si="24"/>
        <v>0</v>
      </c>
      <c r="BC64" s="605"/>
      <c r="BD64" s="275"/>
      <c r="BE64" s="562">
        <f>IF(AND(AP62&gt;0,12-'Input 4_RSV Season'!$AG$27+1&gt;AP62),IF(BE63&gt;0,BE63+1,1),0)</f>
        <v>6</v>
      </c>
      <c r="BF64" s="549">
        <f t="shared" si="31"/>
        <v>8519.133254419472</v>
      </c>
      <c r="BG64" s="565">
        <f t="shared" si="32"/>
        <v>287.89912417230317</v>
      </c>
      <c r="BI64" s="693"/>
      <c r="BJ64" s="565">
        <f t="shared" ref="BJ64:BJ69" si="34">IF($BE64&gt;0,SUM($AR62:$BC62)-BI64,0)</f>
        <v>8807.0323785917753</v>
      </c>
    </row>
    <row r="65" spans="2:62" x14ac:dyDescent="0.3">
      <c r="B65" s="26">
        <v>9</v>
      </c>
      <c r="D65" s="856">
        <f>'WiS percent RSV_low'!E63</f>
        <v>4.1924767086183945E-3</v>
      </c>
      <c r="E65" s="856">
        <f>'WiS percent RSV_low'!F64</f>
        <v>1.2929273589090989E-2</v>
      </c>
      <c r="F65" s="856">
        <f>'WiS percent RSV_low'!G65</f>
        <v>1.9657281621407049E-2</v>
      </c>
      <c r="G65" s="246"/>
      <c r="H65" s="246"/>
      <c r="I65" s="246"/>
      <c r="J65" s="246"/>
      <c r="K65" s="246"/>
      <c r="L65" s="246"/>
      <c r="M65" s="246"/>
      <c r="N65" s="246"/>
      <c r="O65" s="246"/>
      <c r="R65" s="26">
        <v>9</v>
      </c>
      <c r="T65" s="275">
        <f t="shared" si="25"/>
        <v>94.956795469324064</v>
      </c>
      <c r="U65" s="275">
        <f t="shared" si="23"/>
        <v>292.83940570079756</v>
      </c>
      <c r="V65" s="275">
        <f t="shared" si="23"/>
        <v>445.22429106636019</v>
      </c>
      <c r="W65" s="275">
        <f t="shared" si="23"/>
        <v>0</v>
      </c>
      <c r="X65" s="275">
        <f t="shared" si="23"/>
        <v>0</v>
      </c>
      <c r="Y65" s="275">
        <f t="shared" si="23"/>
        <v>0</v>
      </c>
      <c r="Z65" s="275">
        <f t="shared" si="23"/>
        <v>0</v>
      </c>
      <c r="AA65" s="275">
        <f t="shared" si="23"/>
        <v>0</v>
      </c>
      <c r="AB65" s="275">
        <f t="shared" si="23"/>
        <v>0</v>
      </c>
      <c r="AC65" s="275">
        <f t="shared" si="23"/>
        <v>0</v>
      </c>
      <c r="AD65" s="275">
        <f t="shared" si="23"/>
        <v>0</v>
      </c>
      <c r="AE65" s="35"/>
      <c r="AF65" s="275"/>
      <c r="AG65" s="562">
        <f>IF(AND(R63&gt;0,12-'Input 4_RSV Season'!$AG$27+1&gt;R63),IF(AG64&gt;0,AG64+1,1),0)</f>
        <v>0</v>
      </c>
      <c r="AH65" s="549">
        <f t="shared" si="27"/>
        <v>0</v>
      </c>
      <c r="AI65" s="549">
        <f t="shared" si="28"/>
        <v>0</v>
      </c>
      <c r="AK65" s="549">
        <f t="shared" si="29"/>
        <v>0</v>
      </c>
      <c r="AL65" s="565">
        <f t="shared" si="30"/>
        <v>0</v>
      </c>
      <c r="AN65" s="599"/>
      <c r="AP65" s="26">
        <v>9</v>
      </c>
      <c r="AR65" s="604">
        <f t="shared" si="26"/>
        <v>645.71882649905638</v>
      </c>
      <c r="AS65" s="604">
        <f t="shared" si="24"/>
        <v>1991.3468695653964</v>
      </c>
      <c r="AT65" s="604">
        <f t="shared" si="24"/>
        <v>3027.5843380700271</v>
      </c>
      <c r="AU65" s="604">
        <f t="shared" si="24"/>
        <v>0</v>
      </c>
      <c r="AV65" s="604">
        <f t="shared" si="24"/>
        <v>0</v>
      </c>
      <c r="AW65" s="604">
        <f t="shared" si="24"/>
        <v>0</v>
      </c>
      <c r="AX65" s="604">
        <f t="shared" si="24"/>
        <v>0</v>
      </c>
      <c r="AY65" s="604">
        <f t="shared" si="24"/>
        <v>0</v>
      </c>
      <c r="AZ65" s="604">
        <f t="shared" si="24"/>
        <v>0</v>
      </c>
      <c r="BA65" s="604">
        <f t="shared" si="24"/>
        <v>0</v>
      </c>
      <c r="BB65" s="604">
        <f t="shared" si="24"/>
        <v>0</v>
      </c>
      <c r="BC65" s="605"/>
      <c r="BD65" s="275"/>
      <c r="BE65" s="562">
        <f>IF(AND(AP63&gt;0,12-'Input 4_RSV Season'!$AG$27+1&gt;AP63),IF(BE64&gt;0,BE64+1,1),0)</f>
        <v>0</v>
      </c>
      <c r="BF65" s="549">
        <f t="shared" si="31"/>
        <v>0</v>
      </c>
      <c r="BG65" s="565">
        <f t="shared" si="32"/>
        <v>0</v>
      </c>
      <c r="BI65" s="693"/>
      <c r="BJ65" s="565">
        <f t="shared" si="34"/>
        <v>0</v>
      </c>
    </row>
    <row r="66" spans="2:62" x14ac:dyDescent="0.3">
      <c r="B66" s="26">
        <v>10</v>
      </c>
      <c r="D66" s="856">
        <f>'WiS percent RSV_low'!E64</f>
        <v>4.4603170896864112E-3</v>
      </c>
      <c r="E66" s="856">
        <f>'WiS percent RSV_low'!F65</f>
        <v>1.3808335862890226E-2</v>
      </c>
      <c r="F66" s="246"/>
      <c r="G66" s="246"/>
      <c r="H66" s="246"/>
      <c r="I66" s="246"/>
      <c r="J66" s="246"/>
      <c r="K66" s="246"/>
      <c r="L66" s="246"/>
      <c r="M66" s="246"/>
      <c r="N66" s="246"/>
      <c r="O66" s="246"/>
      <c r="R66" s="26">
        <v>10</v>
      </c>
      <c r="T66" s="275">
        <f t="shared" si="25"/>
        <v>101.02320109328824</v>
      </c>
      <c r="U66" s="275">
        <f t="shared" si="23"/>
        <v>312.74957869385423</v>
      </c>
      <c r="V66" s="275">
        <f t="shared" si="23"/>
        <v>0</v>
      </c>
      <c r="W66" s="275">
        <f t="shared" si="23"/>
        <v>0</v>
      </c>
      <c r="X66" s="275">
        <f t="shared" si="23"/>
        <v>0</v>
      </c>
      <c r="Y66" s="275">
        <f t="shared" si="23"/>
        <v>0</v>
      </c>
      <c r="Z66" s="275">
        <f t="shared" si="23"/>
        <v>0</v>
      </c>
      <c r="AA66" s="275">
        <f t="shared" si="23"/>
        <v>0</v>
      </c>
      <c r="AB66" s="275">
        <f t="shared" si="23"/>
        <v>0</v>
      </c>
      <c r="AC66" s="275">
        <f t="shared" si="23"/>
        <v>0</v>
      </c>
      <c r="AD66" s="275">
        <f t="shared" si="23"/>
        <v>0</v>
      </c>
      <c r="AE66" s="35"/>
      <c r="AF66" s="275"/>
      <c r="AG66" s="562">
        <f>IF(AND(R64&gt;0,12-'Input 4_RSV Season'!$AG$27+1&gt;R64),IF(AG65&gt;0,AG65+1,1),0)</f>
        <v>0</v>
      </c>
      <c r="AH66" s="549">
        <f t="shared" si="27"/>
        <v>0</v>
      </c>
      <c r="AI66" s="549">
        <f t="shared" si="28"/>
        <v>0</v>
      </c>
      <c r="AK66" s="549">
        <f t="shared" si="29"/>
        <v>0</v>
      </c>
      <c r="AL66" s="565">
        <f t="shared" si="30"/>
        <v>0</v>
      </c>
      <c r="AN66" s="599"/>
      <c r="AP66" s="26">
        <v>10</v>
      </c>
      <c r="AR66" s="604">
        <f t="shared" si="26"/>
        <v>686.97119081076983</v>
      </c>
      <c r="AS66" s="604">
        <f t="shared" si="24"/>
        <v>2126.7386914663684</v>
      </c>
      <c r="AT66" s="604">
        <f t="shared" si="24"/>
        <v>0</v>
      </c>
      <c r="AU66" s="604">
        <f t="shared" si="24"/>
        <v>0</v>
      </c>
      <c r="AV66" s="604">
        <f t="shared" si="24"/>
        <v>0</v>
      </c>
      <c r="AW66" s="604">
        <f t="shared" si="24"/>
        <v>0</v>
      </c>
      <c r="AX66" s="604">
        <f t="shared" si="24"/>
        <v>0</v>
      </c>
      <c r="AY66" s="604">
        <f t="shared" si="24"/>
        <v>0</v>
      </c>
      <c r="AZ66" s="604">
        <f t="shared" si="24"/>
        <v>0</v>
      </c>
      <c r="BA66" s="604">
        <f t="shared" si="24"/>
        <v>0</v>
      </c>
      <c r="BB66" s="604">
        <f t="shared" si="24"/>
        <v>0</v>
      </c>
      <c r="BC66" s="605"/>
      <c r="BD66" s="275"/>
      <c r="BE66" s="562">
        <f>IF(AND(AP64&gt;0,12-'Input 4_RSV Season'!$AG$27+1&gt;AP64),IF(BE65&gt;0,BE65+1,1),0)</f>
        <v>0</v>
      </c>
      <c r="BF66" s="549">
        <f t="shared" si="31"/>
        <v>0</v>
      </c>
      <c r="BG66" s="565">
        <f t="shared" si="32"/>
        <v>0</v>
      </c>
      <c r="BI66" s="693"/>
      <c r="BJ66" s="565">
        <f t="shared" si="34"/>
        <v>0</v>
      </c>
    </row>
    <row r="67" spans="2:62" x14ac:dyDescent="0.3">
      <c r="B67" s="26">
        <v>11</v>
      </c>
      <c r="D67" s="856">
        <f>'WiS percent RSV_low'!E65</f>
        <v>4.7635743806477204E-3</v>
      </c>
      <c r="E67" s="246"/>
      <c r="F67" s="246"/>
      <c r="G67" s="246"/>
      <c r="H67" s="246"/>
      <c r="I67" s="246"/>
      <c r="J67" s="246"/>
      <c r="K67" s="246"/>
      <c r="L67" s="246"/>
      <c r="M67" s="246"/>
      <c r="N67" s="246"/>
      <c r="O67" s="246"/>
      <c r="R67" s="26">
        <v>11</v>
      </c>
      <c r="T67" s="275">
        <f t="shared" si="25"/>
        <v>107.89177605595845</v>
      </c>
      <c r="U67" s="275">
        <f t="shared" si="23"/>
        <v>0</v>
      </c>
      <c r="V67" s="275">
        <f t="shared" si="23"/>
        <v>0</v>
      </c>
      <c r="W67" s="275">
        <f t="shared" si="23"/>
        <v>0</v>
      </c>
      <c r="X67" s="275">
        <f t="shared" si="23"/>
        <v>0</v>
      </c>
      <c r="Y67" s="275">
        <f t="shared" si="23"/>
        <v>0</v>
      </c>
      <c r="Z67" s="275">
        <f t="shared" si="23"/>
        <v>0</v>
      </c>
      <c r="AA67" s="275">
        <f t="shared" si="23"/>
        <v>0</v>
      </c>
      <c r="AB67" s="275">
        <f t="shared" si="23"/>
        <v>0</v>
      </c>
      <c r="AC67" s="275">
        <f t="shared" si="23"/>
        <v>0</v>
      </c>
      <c r="AD67" s="275">
        <f t="shared" si="23"/>
        <v>0</v>
      </c>
      <c r="AF67" s="275"/>
      <c r="AG67" s="562">
        <f>IF(AND(R65&gt;0,12-'Input 4_RSV Season'!$AG$27+1&gt;R65),IF(AG66&gt;0,AG66+1,1),0)</f>
        <v>0</v>
      </c>
      <c r="AH67" s="549">
        <f t="shared" si="27"/>
        <v>0</v>
      </c>
      <c r="AI67" s="549">
        <f t="shared" si="28"/>
        <v>0</v>
      </c>
      <c r="AK67" s="549">
        <f t="shared" si="29"/>
        <v>0</v>
      </c>
      <c r="AL67" s="565">
        <f t="shared" si="30"/>
        <v>0</v>
      </c>
      <c r="AN67" s="599"/>
      <c r="AP67" s="26">
        <v>11</v>
      </c>
      <c r="AR67" s="604">
        <f t="shared" si="26"/>
        <v>733.67841321328865</v>
      </c>
      <c r="AS67" s="604">
        <f t="shared" si="24"/>
        <v>0</v>
      </c>
      <c r="AT67" s="604">
        <f t="shared" si="24"/>
        <v>0</v>
      </c>
      <c r="AU67" s="604">
        <f t="shared" si="24"/>
        <v>0</v>
      </c>
      <c r="AV67" s="604">
        <f t="shared" si="24"/>
        <v>0</v>
      </c>
      <c r="AW67" s="604">
        <f t="shared" si="24"/>
        <v>0</v>
      </c>
      <c r="AX67" s="604">
        <f t="shared" si="24"/>
        <v>0</v>
      </c>
      <c r="AY67" s="604">
        <f t="shared" si="24"/>
        <v>0</v>
      </c>
      <c r="AZ67" s="604">
        <f t="shared" si="24"/>
        <v>0</v>
      </c>
      <c r="BA67" s="604">
        <f t="shared" si="24"/>
        <v>0</v>
      </c>
      <c r="BB67" s="604">
        <f t="shared" si="24"/>
        <v>0</v>
      </c>
      <c r="BD67" s="275"/>
      <c r="BE67" s="562">
        <f>IF(AND(AP65&gt;0,12-'Input 4_RSV Season'!$AG$27+1&gt;AP65),IF(BE66&gt;0,BE66+1,1),0)</f>
        <v>0</v>
      </c>
      <c r="BF67" s="549">
        <f t="shared" si="31"/>
        <v>0</v>
      </c>
      <c r="BG67" s="565">
        <f t="shared" si="32"/>
        <v>0</v>
      </c>
      <c r="BI67" s="693"/>
      <c r="BJ67" s="565">
        <f t="shared" si="34"/>
        <v>0</v>
      </c>
    </row>
    <row r="68" spans="2:62" x14ac:dyDescent="0.3">
      <c r="C68" s="13"/>
      <c r="D68" s="14"/>
      <c r="E68" s="547"/>
      <c r="F68" s="13"/>
      <c r="G68" s="13"/>
      <c r="H68" s="14"/>
      <c r="I68" s="574"/>
      <c r="J68" s="574"/>
      <c r="K68" s="574"/>
      <c r="L68" s="597"/>
      <c r="M68" s="574"/>
      <c r="N68" s="574"/>
      <c r="O68" s="574"/>
      <c r="S68" s="13"/>
      <c r="T68" s="14"/>
      <c r="U68" s="547"/>
      <c r="V68" s="13"/>
      <c r="W68" s="13"/>
      <c r="X68" s="14"/>
      <c r="Y68" s="574"/>
      <c r="Z68" s="574"/>
      <c r="AA68" s="574"/>
      <c r="AB68" s="574"/>
      <c r="AC68" s="574"/>
      <c r="AD68" s="574"/>
      <c r="AE68" s="574"/>
      <c r="AF68" s="36"/>
      <c r="AG68" s="562">
        <f>IF(AND(R66&gt;0,12-'Input 4_RSV Season'!$AG$27+1&gt;R66),IF(AG67&gt;0,AG67+1,1),0)</f>
        <v>0</v>
      </c>
      <c r="AH68" s="549">
        <f t="shared" si="27"/>
        <v>0</v>
      </c>
      <c r="AI68" s="549">
        <f t="shared" si="28"/>
        <v>0</v>
      </c>
      <c r="AK68" s="549">
        <f t="shared" si="29"/>
        <v>0</v>
      </c>
      <c r="AL68" s="565">
        <f t="shared" si="30"/>
        <v>0</v>
      </c>
      <c r="AN68" s="599"/>
      <c r="AQ68" s="13"/>
      <c r="AR68" s="14"/>
      <c r="AS68" s="547"/>
      <c r="AT68" s="13"/>
      <c r="AU68" s="13"/>
      <c r="AV68" s="14"/>
      <c r="AW68" s="574"/>
      <c r="AX68" s="574"/>
      <c r="AY68" s="574"/>
      <c r="AZ68" s="574"/>
      <c r="BA68" s="574"/>
      <c r="BB68" s="574"/>
      <c r="BC68" s="574"/>
      <c r="BD68" s="36"/>
      <c r="BE68" s="562">
        <f>IF(AND(AP66&gt;0,12-'Input 4_RSV Season'!$AG$27+1&gt;AP66),IF(BE67&gt;0,BE67+1,1),0)</f>
        <v>0</v>
      </c>
      <c r="BF68" s="549">
        <f t="shared" si="31"/>
        <v>0</v>
      </c>
      <c r="BG68" s="565">
        <f t="shared" si="32"/>
        <v>0</v>
      </c>
      <c r="BI68" s="693"/>
      <c r="BJ68" s="565">
        <f t="shared" si="34"/>
        <v>0</v>
      </c>
    </row>
    <row r="69" spans="2:62" x14ac:dyDescent="0.3">
      <c r="S69" s="13"/>
      <c r="T69" s="13"/>
      <c r="U69" s="575"/>
      <c r="V69" s="13"/>
      <c r="W69" s="13"/>
      <c r="X69" s="14"/>
      <c r="Y69" s="70"/>
      <c r="Z69" s="13"/>
      <c r="AA69" s="13"/>
      <c r="AB69" s="13"/>
      <c r="AC69" s="13"/>
      <c r="AD69" s="13"/>
      <c r="AE69" s="70"/>
      <c r="AF69" s="70"/>
      <c r="AG69" s="562">
        <f>IF(AND(R67&gt;0,12-'Input 4_RSV Season'!$AG$27+1&gt;R67),IF(AG68&gt;0,AG68+1,1),0)</f>
        <v>0</v>
      </c>
      <c r="AH69" s="550">
        <f t="shared" si="27"/>
        <v>0</v>
      </c>
      <c r="AI69" s="550">
        <f t="shared" si="28"/>
        <v>0</v>
      </c>
      <c r="AJ69" s="13"/>
      <c r="AK69" s="550">
        <f t="shared" si="29"/>
        <v>0</v>
      </c>
      <c r="AL69" s="566">
        <f t="shared" si="30"/>
        <v>0</v>
      </c>
      <c r="AN69" s="599"/>
      <c r="AQ69" s="13"/>
      <c r="AR69" s="13"/>
      <c r="AS69" s="575"/>
      <c r="AT69" s="13"/>
      <c r="AU69" s="13"/>
      <c r="AV69" s="14"/>
      <c r="AW69" s="70"/>
      <c r="AX69" s="13"/>
      <c r="AY69" s="13"/>
      <c r="AZ69" s="13"/>
      <c r="BA69" s="13"/>
      <c r="BB69" s="13"/>
      <c r="BC69" s="70"/>
      <c r="BD69" s="70"/>
      <c r="BE69" s="562">
        <f>IF(AND(AP67&gt;0,12-'Input 4_RSV Season'!$AG$27+1&gt;AP67),IF(BE68&gt;0,BE68+1,1),0)</f>
        <v>0</v>
      </c>
      <c r="BF69" s="550">
        <f t="shared" si="31"/>
        <v>0</v>
      </c>
      <c r="BG69" s="566">
        <f t="shared" si="32"/>
        <v>0</v>
      </c>
      <c r="BI69" s="694"/>
      <c r="BJ69" s="566">
        <f t="shared" si="34"/>
        <v>0</v>
      </c>
    </row>
    <row r="70" spans="2:62" x14ac:dyDescent="0.3">
      <c r="S70" s="13"/>
      <c r="T70" s="14"/>
      <c r="U70" s="70"/>
      <c r="V70" s="13"/>
      <c r="W70" s="13"/>
      <c r="X70" s="14"/>
      <c r="Y70" s="70"/>
      <c r="Z70" s="13"/>
      <c r="AA70" s="13"/>
      <c r="AB70" s="13"/>
      <c r="AC70" s="13"/>
      <c r="AD70" s="13"/>
      <c r="AE70" s="70"/>
      <c r="AF70" s="70"/>
      <c r="AH70" s="5">
        <f>SUM(AH58:AH69)</f>
        <v>12346.956508784107</v>
      </c>
      <c r="AI70" s="5">
        <f>SUM(AI58:AI69)</f>
        <v>242.23927459818074</v>
      </c>
      <c r="AJ70" s="593"/>
      <c r="AK70" s="5">
        <f>SUM(AK58:AK69)</f>
        <v>12346.956508784107</v>
      </c>
      <c r="AL70" s="5">
        <f>SUM(AL58:AL69)</f>
        <v>242.23927459818074</v>
      </c>
      <c r="AN70" s="599"/>
      <c r="AQ70" s="13"/>
      <c r="AR70" s="14"/>
      <c r="AS70" s="70"/>
      <c r="AT70" s="13"/>
      <c r="AU70" s="13"/>
      <c r="AV70" s="14"/>
      <c r="AW70" s="70"/>
      <c r="AX70" s="13"/>
      <c r="AY70" s="13"/>
      <c r="AZ70" s="13"/>
      <c r="BA70" s="13"/>
      <c r="BB70" s="13"/>
      <c r="BC70" s="70"/>
      <c r="BD70" s="70"/>
      <c r="BE70" s="538"/>
      <c r="BF70" s="5">
        <f>SUM(BF58:BF69)</f>
        <v>83960.944851625085</v>
      </c>
      <c r="BG70" s="5">
        <f>SUM(BG58:BG69)</f>
        <v>1647.2592546159708</v>
      </c>
      <c r="BI70" s="5">
        <f>SUM(BI58:BI69)</f>
        <v>18278.931689180154</v>
      </c>
      <c r="BJ70" s="5">
        <f>SUM(BJ58:BJ69)</f>
        <v>67329.2724170609</v>
      </c>
    </row>
    <row r="71" spans="2:62" ht="15" thickBot="1" x14ac:dyDescent="0.35">
      <c r="S71" s="13"/>
      <c r="T71" s="14"/>
      <c r="U71" s="70"/>
      <c r="V71" s="13"/>
      <c r="W71" s="13"/>
      <c r="X71" s="14"/>
      <c r="Y71" s="70"/>
      <c r="Z71" s="13"/>
      <c r="AA71" s="510"/>
      <c r="AB71" s="510"/>
      <c r="AC71" s="510"/>
      <c r="AD71" s="510"/>
      <c r="AE71" s="70"/>
      <c r="AF71" s="70"/>
      <c r="AN71" s="599"/>
      <c r="AQ71" s="13"/>
      <c r="AR71" s="14"/>
      <c r="AS71" s="70"/>
      <c r="AT71" s="13"/>
      <c r="AU71" s="13"/>
      <c r="AV71" s="14"/>
      <c r="AW71" s="70"/>
      <c r="AX71" s="13"/>
      <c r="AY71" s="510"/>
      <c r="AZ71" s="510"/>
      <c r="BA71" s="510"/>
      <c r="BB71" s="510"/>
      <c r="BC71" s="70"/>
      <c r="BD71" s="70"/>
      <c r="BE71" s="538"/>
    </row>
    <row r="72" spans="2:62" ht="16.2" thickBot="1" x14ac:dyDescent="0.35">
      <c r="S72" s="13"/>
      <c r="T72" s="14"/>
      <c r="U72" s="575"/>
      <c r="V72" s="13"/>
      <c r="W72" s="13"/>
      <c r="X72" s="14"/>
      <c r="Y72" s="70"/>
      <c r="Z72" s="13"/>
      <c r="AA72" s="510"/>
      <c r="AB72" s="70"/>
      <c r="AC72" s="70"/>
      <c r="AD72" s="70"/>
      <c r="AE72" s="70"/>
      <c r="AF72" s="70"/>
      <c r="AH72" s="577">
        <f>AH70/('Input 1_Population'!$G$24*$I$4)</f>
        <v>0.6385876497884504</v>
      </c>
      <c r="AI72" s="578">
        <f>AI70/('Input 1_Population'!$G$24*$I$4)</f>
        <v>1.2528675300836938E-2</v>
      </c>
      <c r="AJ72" s="869"/>
      <c r="AK72" s="577">
        <f>AK70/('Input 1_Population'!$G$24*$I$4)</f>
        <v>0.6385876497884504</v>
      </c>
      <c r="AL72" s="578">
        <f>AL70/('Input 1_Population'!$G$24*$I$4)</f>
        <v>1.2528675300836938E-2</v>
      </c>
      <c r="AN72" s="599"/>
      <c r="AQ72" s="13"/>
      <c r="AR72" s="14"/>
      <c r="AS72" s="575"/>
      <c r="AT72" s="13"/>
      <c r="AU72" s="13"/>
      <c r="AV72" s="14"/>
      <c r="AW72" s="70"/>
      <c r="AX72" s="13"/>
      <c r="AY72" s="510"/>
      <c r="AZ72" s="70"/>
      <c r="BA72" s="70"/>
      <c r="BB72" s="70"/>
      <c r="BC72" s="70"/>
      <c r="BD72" s="70"/>
      <c r="BE72" s="538"/>
      <c r="BF72" s="577">
        <f>BF70/((1-'Input 1_Population'!$G$24)*$I$4)</f>
        <v>4.2977491950848781E-2</v>
      </c>
      <c r="BG72" s="577">
        <f>BG70/((1-'Input 1_Population'!$G$24)*$I$4)</f>
        <v>8.4319050340997664E-4</v>
      </c>
      <c r="BH72" s="20"/>
      <c r="BI72" s="577">
        <f>BI70/((1-'Input 1_Population'!$G$24)*$I$4)</f>
        <v>9.3565245237548032E-3</v>
      </c>
      <c r="BJ72" s="577">
        <f>BJ70/((1-'Input 1_Population'!$G$24)*$I$4)</f>
        <v>3.4464157930503947E-2</v>
      </c>
    </row>
    <row r="73" spans="2:62" ht="16.2" thickBot="1" x14ac:dyDescent="0.35">
      <c r="S73" s="13"/>
      <c r="T73" s="14"/>
      <c r="U73" s="70"/>
      <c r="V73" s="13"/>
      <c r="W73" s="13"/>
      <c r="X73" s="14"/>
      <c r="Y73" s="70"/>
      <c r="Z73" s="13"/>
      <c r="AA73" s="510"/>
      <c r="AB73" s="70"/>
      <c r="AC73" s="70"/>
      <c r="AD73" s="70"/>
      <c r="AE73" s="70"/>
      <c r="AF73" s="70"/>
      <c r="AH73" s="598" t="s">
        <v>326</v>
      </c>
      <c r="AI73" s="578">
        <f>SUM(AH72:AI72)</f>
        <v>0.6511163250892873</v>
      </c>
      <c r="AK73" s="598" t="s">
        <v>326</v>
      </c>
      <c r="AL73" s="578">
        <f>SUM(AK72:AL72)</f>
        <v>0.6511163250892873</v>
      </c>
      <c r="AN73" s="599"/>
      <c r="AQ73" s="13"/>
      <c r="AR73" s="14"/>
      <c r="AS73" s="70"/>
      <c r="AT73" s="13"/>
      <c r="AU73" s="13"/>
      <c r="AV73" s="14"/>
      <c r="AW73" s="70"/>
      <c r="AX73" s="13"/>
      <c r="AY73" s="510"/>
      <c r="AZ73" s="70"/>
      <c r="BA73" s="70"/>
      <c r="BB73" s="70"/>
      <c r="BC73" s="70"/>
      <c r="BD73" s="70"/>
      <c r="BE73" s="538"/>
      <c r="BF73" s="598" t="s">
        <v>326</v>
      </c>
      <c r="BG73" s="578">
        <f>SUM(BF72:BG72)</f>
        <v>4.3820682454258755E-2</v>
      </c>
      <c r="BI73" s="598" t="s">
        <v>326</v>
      </c>
      <c r="BJ73" s="578">
        <f>SUM(BI72:BJ72)</f>
        <v>4.3820682454258748E-2</v>
      </c>
    </row>
    <row r="74" spans="2:62" x14ac:dyDescent="0.3">
      <c r="AN74" s="599"/>
    </row>
    <row r="76" spans="2:62" x14ac:dyDescent="0.3">
      <c r="R76" t="s">
        <v>347</v>
      </c>
    </row>
  </sheetData>
  <mergeCells count="20">
    <mergeCell ref="C8:N8"/>
    <mergeCell ref="C29:N29"/>
    <mergeCell ref="C52:N52"/>
    <mergeCell ref="BI11:BJ11"/>
    <mergeCell ref="BI32:BJ32"/>
    <mergeCell ref="BI55:BJ55"/>
    <mergeCell ref="BF11:BG11"/>
    <mergeCell ref="AH32:AI32"/>
    <mergeCell ref="AK32:AL32"/>
    <mergeCell ref="BF32:BG32"/>
    <mergeCell ref="AH55:AI55"/>
    <mergeCell ref="AK55:AL55"/>
    <mergeCell ref="BF55:BG55"/>
    <mergeCell ref="R2:S2"/>
    <mergeCell ref="S3:AD3"/>
    <mergeCell ref="AQ3:BB3"/>
    <mergeCell ref="AG8:AM8"/>
    <mergeCell ref="AH11:AI11"/>
    <mergeCell ref="AK11:AL11"/>
    <mergeCell ref="U1:AM2"/>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U66"/>
  <sheetViews>
    <sheetView showGridLines="0" zoomScale="110" zoomScaleNormal="110" workbookViewId="0">
      <selection activeCell="J7" sqref="J7:L9"/>
    </sheetView>
  </sheetViews>
  <sheetFormatPr defaultRowHeight="14.4" x14ac:dyDescent="0.3"/>
  <cols>
    <col min="1" max="2" width="3.88671875" customWidth="1"/>
    <col min="3" max="3" width="10.33203125" customWidth="1"/>
    <col min="21" max="21" width="3.6640625" customWidth="1"/>
  </cols>
  <sheetData>
    <row r="1" spans="2:21" ht="15" thickBot="1" x14ac:dyDescent="0.35"/>
    <row r="2" spans="2:21" ht="10.95" customHeight="1" x14ac:dyDescent="0.3">
      <c r="B2" s="123"/>
      <c r="C2" s="124"/>
      <c r="D2" s="124"/>
      <c r="E2" s="124"/>
      <c r="F2" s="124"/>
      <c r="G2" s="124"/>
      <c r="H2" s="124"/>
      <c r="I2" s="124"/>
      <c r="J2" s="124"/>
      <c r="K2" s="124"/>
      <c r="L2" s="124"/>
      <c r="M2" s="124"/>
      <c r="N2" s="124"/>
      <c r="O2" s="124"/>
      <c r="P2" s="124"/>
      <c r="Q2" s="124"/>
      <c r="R2" s="124"/>
      <c r="S2" s="124"/>
      <c r="T2" s="124"/>
      <c r="U2" s="125"/>
    </row>
    <row r="3" spans="2:21" ht="19.95" customHeight="1" x14ac:dyDescent="0.3">
      <c r="B3" s="126"/>
      <c r="C3" s="897" t="s">
        <v>480</v>
      </c>
      <c r="D3" s="897"/>
      <c r="E3" s="897"/>
      <c r="F3" s="897"/>
      <c r="G3" s="897"/>
      <c r="H3" s="897"/>
      <c r="I3" s="897"/>
      <c r="J3" s="897"/>
      <c r="K3" s="897"/>
      <c r="L3" s="897"/>
      <c r="M3" s="897"/>
      <c r="N3" s="897"/>
      <c r="O3" s="897"/>
      <c r="P3" s="897"/>
      <c r="Q3" s="897"/>
      <c r="R3" s="897"/>
      <c r="S3" s="897"/>
      <c r="T3" s="897"/>
      <c r="U3" s="129"/>
    </row>
    <row r="4" spans="2:21" ht="20.399999999999999" customHeight="1" x14ac:dyDescent="0.3">
      <c r="B4" s="126"/>
      <c r="C4" s="897"/>
      <c r="D4" s="897"/>
      <c r="E4" s="897"/>
      <c r="F4" s="897"/>
      <c r="G4" s="897"/>
      <c r="H4" s="897"/>
      <c r="I4" s="897"/>
      <c r="J4" s="897"/>
      <c r="K4" s="897"/>
      <c r="L4" s="897"/>
      <c r="M4" s="897"/>
      <c r="N4" s="897"/>
      <c r="O4" s="897"/>
      <c r="P4" s="897"/>
      <c r="Q4" s="897"/>
      <c r="R4" s="897"/>
      <c r="S4" s="897"/>
      <c r="T4" s="897"/>
      <c r="U4" s="129"/>
    </row>
    <row r="5" spans="2:21" x14ac:dyDescent="0.3">
      <c r="B5" s="126"/>
      <c r="C5" s="13"/>
      <c r="D5" s="13"/>
      <c r="E5" s="13"/>
      <c r="F5" s="13"/>
      <c r="G5" s="13"/>
      <c r="H5" s="13"/>
      <c r="I5" s="13"/>
      <c r="J5" s="13"/>
      <c r="K5" s="13"/>
      <c r="L5" s="13"/>
      <c r="M5" s="13"/>
      <c r="N5" s="13"/>
      <c r="O5" s="13"/>
      <c r="P5" s="13"/>
      <c r="Q5" s="13"/>
      <c r="R5" s="13"/>
      <c r="S5" s="13"/>
      <c r="T5" s="13"/>
      <c r="U5" s="129"/>
    </row>
    <row r="6" spans="2:21" ht="19.2" customHeight="1" thickBot="1" x14ac:dyDescent="0.4">
      <c r="B6" s="126"/>
      <c r="C6" s="822" t="s">
        <v>465</v>
      </c>
      <c r="D6" s="13"/>
      <c r="E6" s="13"/>
      <c r="F6" s="13"/>
      <c r="G6" s="13"/>
      <c r="H6" s="13"/>
      <c r="I6" s="13"/>
      <c r="J6" s="13"/>
      <c r="K6" s="13"/>
      <c r="L6" s="13"/>
      <c r="M6" s="13"/>
      <c r="N6" s="13"/>
      <c r="O6" s="13"/>
      <c r="P6" s="13"/>
      <c r="Q6" s="13"/>
      <c r="R6" s="13"/>
      <c r="S6" s="13"/>
      <c r="T6" s="13"/>
      <c r="U6" s="129"/>
    </row>
    <row r="7" spans="2:21" ht="19.2" customHeight="1" thickTop="1" x14ac:dyDescent="0.35">
      <c r="B7" s="126"/>
      <c r="C7" s="916" t="s">
        <v>466</v>
      </c>
      <c r="D7" s="916"/>
      <c r="E7" s="916"/>
      <c r="F7" s="916"/>
      <c r="G7" s="13"/>
      <c r="H7" s="13"/>
      <c r="I7" s="13"/>
      <c r="J7" s="898" t="s">
        <v>112</v>
      </c>
      <c r="K7" s="899"/>
      <c r="L7" s="900"/>
      <c r="M7" s="13"/>
      <c r="N7" s="907" t="s">
        <v>98</v>
      </c>
      <c r="O7" s="908"/>
      <c r="P7" s="909"/>
      <c r="Q7" s="13"/>
      <c r="R7" s="13"/>
      <c r="S7" s="13"/>
      <c r="T7" s="13"/>
      <c r="U7" s="129"/>
    </row>
    <row r="8" spans="2:21" ht="19.2" customHeight="1" x14ac:dyDescent="0.35">
      <c r="B8" s="126"/>
      <c r="C8" s="916" t="s">
        <v>467</v>
      </c>
      <c r="D8" s="916"/>
      <c r="E8" s="916"/>
      <c r="F8" s="916"/>
      <c r="G8" s="13"/>
      <c r="H8" s="13"/>
      <c r="I8" s="13"/>
      <c r="J8" s="901"/>
      <c r="K8" s="902"/>
      <c r="L8" s="903"/>
      <c r="M8" s="13"/>
      <c r="N8" s="910"/>
      <c r="O8" s="911"/>
      <c r="P8" s="912"/>
      <c r="Q8" s="13"/>
      <c r="R8" s="13"/>
      <c r="S8" s="13"/>
      <c r="T8" s="13"/>
      <c r="U8" s="129"/>
    </row>
    <row r="9" spans="2:21" ht="19.2" customHeight="1" thickBot="1" x14ac:dyDescent="0.4">
      <c r="B9" s="126"/>
      <c r="C9" s="916" t="s">
        <v>462</v>
      </c>
      <c r="D9" s="916"/>
      <c r="E9" s="916"/>
      <c r="F9" s="916"/>
      <c r="G9" s="13"/>
      <c r="H9" s="13"/>
      <c r="I9" s="13"/>
      <c r="J9" s="904"/>
      <c r="K9" s="905"/>
      <c r="L9" s="906"/>
      <c r="M9" s="13"/>
      <c r="N9" s="913"/>
      <c r="O9" s="914"/>
      <c r="P9" s="915"/>
      <c r="Q9" s="13"/>
      <c r="R9" s="13"/>
      <c r="S9" s="13"/>
      <c r="T9" s="13"/>
      <c r="U9" s="129"/>
    </row>
    <row r="10" spans="2:21" ht="19.2" customHeight="1" thickTop="1" x14ac:dyDescent="0.35">
      <c r="B10" s="126"/>
      <c r="C10" s="916" t="s">
        <v>475</v>
      </c>
      <c r="D10" s="916"/>
      <c r="E10" s="916"/>
      <c r="F10" s="916"/>
      <c r="G10" s="13"/>
      <c r="H10" s="13"/>
      <c r="I10" s="13"/>
      <c r="J10" s="13"/>
      <c r="K10" s="13"/>
      <c r="L10" s="13"/>
      <c r="M10" s="13"/>
      <c r="N10" s="13"/>
      <c r="O10" s="13"/>
      <c r="P10" s="13"/>
      <c r="Q10" s="13"/>
      <c r="R10" s="13"/>
      <c r="S10" s="13"/>
      <c r="T10" s="13"/>
      <c r="U10" s="129"/>
    </row>
    <row r="11" spans="2:21" ht="10.95" customHeight="1" thickBot="1" x14ac:dyDescent="0.4">
      <c r="B11" s="133"/>
      <c r="C11" s="823"/>
      <c r="D11" s="134"/>
      <c r="E11" s="134"/>
      <c r="F11" s="134"/>
      <c r="G11" s="134"/>
      <c r="H11" s="134"/>
      <c r="I11" s="134"/>
      <c r="J11" s="134"/>
      <c r="K11" s="134"/>
      <c r="L11" s="134"/>
      <c r="M11" s="134"/>
      <c r="N11" s="134"/>
      <c r="O11" s="134"/>
      <c r="P11" s="134"/>
      <c r="Q11" s="134"/>
      <c r="R11" s="134"/>
      <c r="S11" s="134"/>
      <c r="T11" s="134"/>
      <c r="U11" s="135"/>
    </row>
    <row r="12" spans="2:21" ht="15" thickBot="1" x14ac:dyDescent="0.35"/>
    <row r="13" spans="2:21" ht="9.6" customHeight="1" x14ac:dyDescent="0.3">
      <c r="B13" s="123"/>
      <c r="C13" s="124"/>
      <c r="D13" s="124"/>
      <c r="E13" s="124"/>
      <c r="F13" s="124"/>
      <c r="G13" s="124"/>
      <c r="H13" s="124"/>
      <c r="I13" s="124"/>
      <c r="J13" s="124"/>
      <c r="K13" s="124"/>
      <c r="L13" s="124"/>
      <c r="M13" s="124"/>
      <c r="N13" s="124"/>
      <c r="O13" s="124"/>
      <c r="P13" s="124"/>
      <c r="Q13" s="124"/>
      <c r="R13" s="124"/>
      <c r="S13" s="124"/>
      <c r="T13" s="124"/>
      <c r="U13" s="125"/>
    </row>
    <row r="14" spans="2:21" ht="18" x14ac:dyDescent="0.35">
      <c r="B14" s="126"/>
      <c r="C14" s="824" t="s">
        <v>469</v>
      </c>
      <c r="D14" s="13"/>
      <c r="E14" s="13"/>
      <c r="F14" s="13"/>
      <c r="G14" s="13"/>
      <c r="H14" s="13"/>
      <c r="I14" s="13"/>
      <c r="J14" s="13"/>
      <c r="K14" s="13"/>
      <c r="L14" s="13"/>
      <c r="M14" s="13"/>
      <c r="N14" s="13"/>
      <c r="O14" s="13"/>
      <c r="P14" s="13"/>
      <c r="Q14" s="13"/>
      <c r="R14" s="13"/>
      <c r="S14" s="13"/>
      <c r="T14" s="13"/>
      <c r="U14" s="129"/>
    </row>
    <row r="15" spans="2:21" x14ac:dyDescent="0.3">
      <c r="B15" s="126"/>
      <c r="C15" s="896" t="s">
        <v>468</v>
      </c>
      <c r="D15" s="896"/>
      <c r="E15" s="896"/>
      <c r="F15" s="896"/>
      <c r="G15" s="896"/>
      <c r="H15" s="896"/>
      <c r="I15" s="896"/>
      <c r="J15" s="896"/>
      <c r="K15" s="896"/>
      <c r="L15" s="896"/>
      <c r="M15" s="896"/>
      <c r="N15" s="896"/>
      <c r="O15" s="896"/>
      <c r="P15" s="896"/>
      <c r="Q15" s="896"/>
      <c r="R15" s="896"/>
      <c r="S15" s="896"/>
      <c r="T15" s="896"/>
      <c r="U15" s="129"/>
    </row>
    <row r="16" spans="2:21" ht="19.2" customHeight="1" x14ac:dyDescent="0.3">
      <c r="B16" s="126"/>
      <c r="C16" s="896"/>
      <c r="D16" s="896"/>
      <c r="E16" s="896"/>
      <c r="F16" s="896"/>
      <c r="G16" s="896"/>
      <c r="H16" s="896"/>
      <c r="I16" s="896"/>
      <c r="J16" s="896"/>
      <c r="K16" s="896"/>
      <c r="L16" s="896"/>
      <c r="M16" s="896"/>
      <c r="N16" s="896"/>
      <c r="O16" s="896"/>
      <c r="P16" s="896"/>
      <c r="Q16" s="896"/>
      <c r="R16" s="896"/>
      <c r="S16" s="896"/>
      <c r="T16" s="896"/>
      <c r="U16" s="129"/>
    </row>
    <row r="17" spans="2:21" ht="7.2" customHeight="1" x14ac:dyDescent="0.3">
      <c r="B17" s="126"/>
      <c r="C17" s="13"/>
      <c r="D17" s="13"/>
      <c r="E17" s="13"/>
      <c r="F17" s="13"/>
      <c r="G17" s="13"/>
      <c r="H17" s="13"/>
      <c r="I17" s="13"/>
      <c r="J17" s="13"/>
      <c r="K17" s="13"/>
      <c r="L17" s="13"/>
      <c r="M17" s="13"/>
      <c r="N17" s="13"/>
      <c r="O17" s="13"/>
      <c r="P17" s="13"/>
      <c r="Q17" s="13"/>
      <c r="R17" s="13"/>
      <c r="S17" s="13"/>
      <c r="T17" s="13"/>
      <c r="U17" s="129"/>
    </row>
    <row r="18" spans="2:21" x14ac:dyDescent="0.3">
      <c r="B18" s="126"/>
      <c r="C18" s="896" t="s">
        <v>470</v>
      </c>
      <c r="D18" s="896"/>
      <c r="E18" s="896"/>
      <c r="F18" s="896"/>
      <c r="G18" s="896"/>
      <c r="H18" s="896"/>
      <c r="I18" s="896"/>
      <c r="J18" s="896"/>
      <c r="K18" s="896"/>
      <c r="L18" s="896"/>
      <c r="M18" s="896"/>
      <c r="N18" s="896"/>
      <c r="O18" s="896"/>
      <c r="P18" s="896"/>
      <c r="Q18" s="896"/>
      <c r="R18" s="896"/>
      <c r="S18" s="896"/>
      <c r="T18" s="896"/>
      <c r="U18" s="129"/>
    </row>
    <row r="19" spans="2:21" ht="19.95" customHeight="1" x14ac:dyDescent="0.3">
      <c r="B19" s="126"/>
      <c r="C19" s="896"/>
      <c r="D19" s="896"/>
      <c r="E19" s="896"/>
      <c r="F19" s="896"/>
      <c r="G19" s="896"/>
      <c r="H19" s="896"/>
      <c r="I19" s="896"/>
      <c r="J19" s="896"/>
      <c r="K19" s="896"/>
      <c r="L19" s="896"/>
      <c r="M19" s="896"/>
      <c r="N19" s="896"/>
      <c r="O19" s="896"/>
      <c r="P19" s="896"/>
      <c r="Q19" s="896"/>
      <c r="R19" s="896"/>
      <c r="S19" s="896"/>
      <c r="T19" s="896"/>
      <c r="U19" s="129"/>
    </row>
    <row r="20" spans="2:21" ht="8.4" customHeight="1" thickBot="1" x14ac:dyDescent="0.35">
      <c r="B20" s="133"/>
      <c r="C20" s="134"/>
      <c r="D20" s="134"/>
      <c r="E20" s="134"/>
      <c r="F20" s="134"/>
      <c r="G20" s="134"/>
      <c r="H20" s="134"/>
      <c r="I20" s="134"/>
      <c r="J20" s="134"/>
      <c r="K20" s="134"/>
      <c r="L20" s="134"/>
      <c r="M20" s="134"/>
      <c r="N20" s="134"/>
      <c r="O20" s="134"/>
      <c r="P20" s="134"/>
      <c r="Q20" s="134"/>
      <c r="R20" s="134"/>
      <c r="S20" s="134"/>
      <c r="T20" s="134"/>
      <c r="U20" s="135"/>
    </row>
    <row r="21" spans="2:21" x14ac:dyDescent="0.3">
      <c r="S21" s="827" t="s">
        <v>479</v>
      </c>
    </row>
    <row r="22" spans="2:21" ht="10.95" customHeight="1" thickBot="1" x14ac:dyDescent="0.35"/>
    <row r="23" spans="2:21" ht="12" customHeight="1" x14ac:dyDescent="0.3">
      <c r="B23" s="123"/>
      <c r="C23" s="124"/>
      <c r="D23" s="124"/>
      <c r="E23" s="124"/>
      <c r="F23" s="124"/>
      <c r="G23" s="124"/>
      <c r="H23" s="124"/>
      <c r="I23" s="124"/>
      <c r="J23" s="124"/>
      <c r="K23" s="124"/>
      <c r="L23" s="124"/>
      <c r="M23" s="124"/>
      <c r="N23" s="124"/>
      <c r="O23" s="124"/>
      <c r="P23" s="124"/>
      <c r="Q23" s="124"/>
      <c r="R23" s="124"/>
      <c r="S23" s="825"/>
      <c r="T23" s="124"/>
      <c r="U23" s="125"/>
    </row>
    <row r="24" spans="2:21" ht="14.4" customHeight="1" x14ac:dyDescent="0.35">
      <c r="B24" s="126"/>
      <c r="C24" s="824" t="s">
        <v>478</v>
      </c>
      <c r="D24" s="826"/>
      <c r="E24" s="826"/>
      <c r="F24" s="826"/>
      <c r="G24" s="826"/>
      <c r="H24" s="826"/>
      <c r="I24" s="826"/>
      <c r="J24" s="826"/>
      <c r="K24" s="826"/>
      <c r="L24" s="826"/>
      <c r="M24" s="826"/>
      <c r="N24" s="826"/>
      <c r="O24" s="826"/>
      <c r="P24" s="826"/>
      <c r="Q24" s="826"/>
      <c r="R24" s="826"/>
      <c r="S24" s="826"/>
      <c r="T24" s="826"/>
      <c r="U24" s="129"/>
    </row>
    <row r="25" spans="2:21" ht="14.4" customHeight="1" x14ac:dyDescent="0.3">
      <c r="B25" s="126"/>
      <c r="C25" s="896" t="s">
        <v>472</v>
      </c>
      <c r="D25" s="896"/>
      <c r="E25" s="896"/>
      <c r="F25" s="896"/>
      <c r="G25" s="896"/>
      <c r="H25" s="896"/>
      <c r="I25" s="896"/>
      <c r="J25" s="826"/>
      <c r="K25" s="826"/>
      <c r="L25" s="826"/>
      <c r="M25" s="826"/>
      <c r="N25" s="826"/>
      <c r="O25" s="826"/>
      <c r="P25" s="826"/>
      <c r="Q25" s="826"/>
      <c r="R25" s="826"/>
      <c r="S25" s="826"/>
      <c r="T25" s="826"/>
      <c r="U25" s="129"/>
    </row>
    <row r="26" spans="2:21" ht="14.4" customHeight="1" x14ac:dyDescent="0.3">
      <c r="B26" s="126"/>
      <c r="C26" s="896"/>
      <c r="D26" s="896"/>
      <c r="E26" s="896"/>
      <c r="F26" s="896"/>
      <c r="G26" s="896"/>
      <c r="H26" s="896"/>
      <c r="I26" s="896"/>
      <c r="J26" s="13"/>
      <c r="K26" s="13"/>
      <c r="L26" s="13"/>
      <c r="M26" s="13"/>
      <c r="N26" s="13"/>
      <c r="O26" s="13"/>
      <c r="P26" s="13"/>
      <c r="Q26" s="13"/>
      <c r="R26" s="13"/>
      <c r="S26" s="13"/>
      <c r="T26" s="13"/>
      <c r="U26" s="129"/>
    </row>
    <row r="27" spans="2:21" ht="14.4" customHeight="1" x14ac:dyDescent="0.3">
      <c r="B27" s="126"/>
      <c r="C27" s="896"/>
      <c r="D27" s="896"/>
      <c r="E27" s="896"/>
      <c r="F27" s="896"/>
      <c r="G27" s="896"/>
      <c r="H27" s="896"/>
      <c r="I27" s="896"/>
      <c r="J27" s="13"/>
      <c r="K27" s="13"/>
      <c r="L27" s="13"/>
      <c r="M27" s="13"/>
      <c r="N27" s="13"/>
      <c r="O27" s="13"/>
      <c r="P27" s="13"/>
      <c r="Q27" s="13"/>
      <c r="R27" s="13"/>
      <c r="S27" s="13"/>
      <c r="T27" s="13"/>
      <c r="U27" s="129"/>
    </row>
    <row r="28" spans="2:21" ht="14.4" customHeight="1" x14ac:dyDescent="0.3">
      <c r="B28" s="126"/>
      <c r="C28" s="896"/>
      <c r="D28" s="896"/>
      <c r="E28" s="896"/>
      <c r="F28" s="896"/>
      <c r="G28" s="896"/>
      <c r="H28" s="896"/>
      <c r="I28" s="896"/>
      <c r="J28" s="13"/>
      <c r="K28" s="13"/>
      <c r="L28" s="13"/>
      <c r="M28" s="13"/>
      <c r="N28" s="13"/>
      <c r="O28" s="13"/>
      <c r="P28" s="13"/>
      <c r="Q28" s="13"/>
      <c r="R28" s="13"/>
      <c r="S28" s="13"/>
      <c r="T28" s="13"/>
      <c r="U28" s="129"/>
    </row>
    <row r="29" spans="2:21" ht="14.4" customHeight="1" x14ac:dyDescent="0.3">
      <c r="B29" s="126"/>
      <c r="C29" s="896"/>
      <c r="D29" s="896"/>
      <c r="E29" s="896"/>
      <c r="F29" s="896"/>
      <c r="G29" s="896"/>
      <c r="H29" s="896"/>
      <c r="I29" s="896"/>
      <c r="J29" s="13"/>
      <c r="K29" s="13"/>
      <c r="L29" s="13"/>
      <c r="M29" s="13"/>
      <c r="N29" s="13"/>
      <c r="O29" s="13"/>
      <c r="P29" s="13"/>
      <c r="Q29" s="13"/>
      <c r="R29" s="13"/>
      <c r="S29" s="13"/>
      <c r="T29" s="13"/>
      <c r="U29" s="129"/>
    </row>
    <row r="30" spans="2:21" x14ac:dyDescent="0.3">
      <c r="B30" s="126"/>
      <c r="C30" s="13"/>
      <c r="D30" s="13"/>
      <c r="E30" s="13"/>
      <c r="F30" s="13"/>
      <c r="G30" s="13"/>
      <c r="H30" s="13"/>
      <c r="I30" s="13"/>
      <c r="J30" s="13"/>
      <c r="K30" s="13"/>
      <c r="L30" s="13"/>
      <c r="M30" s="13"/>
      <c r="N30" s="13"/>
      <c r="O30" s="13"/>
      <c r="P30" s="13"/>
      <c r="Q30" s="13"/>
      <c r="R30" s="13"/>
      <c r="S30" s="13"/>
      <c r="T30" s="13"/>
      <c r="U30" s="129"/>
    </row>
    <row r="31" spans="2:21" x14ac:dyDescent="0.3">
      <c r="B31" s="126"/>
      <c r="C31" s="896" t="s">
        <v>471</v>
      </c>
      <c r="D31" s="896"/>
      <c r="E31" s="896"/>
      <c r="F31" s="896"/>
      <c r="G31" s="896"/>
      <c r="H31" s="896"/>
      <c r="I31" s="896"/>
      <c r="J31" s="13"/>
      <c r="K31" s="13"/>
      <c r="L31" s="13"/>
      <c r="M31" s="13"/>
      <c r="N31" s="13"/>
      <c r="O31" s="13"/>
      <c r="P31" s="13"/>
      <c r="Q31" s="13"/>
      <c r="R31" s="13"/>
      <c r="S31" s="13"/>
      <c r="T31" s="13"/>
      <c r="U31" s="129"/>
    </row>
    <row r="32" spans="2:21" x14ac:dyDescent="0.3">
      <c r="B32" s="126"/>
      <c r="C32" s="896"/>
      <c r="D32" s="896"/>
      <c r="E32" s="896"/>
      <c r="F32" s="896"/>
      <c r="G32" s="896"/>
      <c r="H32" s="896"/>
      <c r="I32" s="896"/>
      <c r="J32" s="13"/>
      <c r="K32" s="13"/>
      <c r="L32" s="13"/>
      <c r="M32" s="13"/>
      <c r="N32" s="13"/>
      <c r="O32" s="13"/>
      <c r="P32" s="13"/>
      <c r="Q32" s="13"/>
      <c r="R32" s="13"/>
      <c r="S32" s="13"/>
      <c r="T32" s="13"/>
      <c r="U32" s="129"/>
    </row>
    <row r="33" spans="2:21" x14ac:dyDescent="0.3">
      <c r="B33" s="126"/>
      <c r="C33" s="896"/>
      <c r="D33" s="896"/>
      <c r="E33" s="896"/>
      <c r="F33" s="896"/>
      <c r="G33" s="896"/>
      <c r="H33" s="896"/>
      <c r="I33" s="896"/>
      <c r="J33" s="13"/>
      <c r="K33" s="13"/>
      <c r="L33" s="13"/>
      <c r="M33" s="13"/>
      <c r="N33" s="13"/>
      <c r="O33" s="13"/>
      <c r="P33" s="13"/>
      <c r="Q33" s="13"/>
      <c r="R33" s="13"/>
      <c r="S33" s="13"/>
      <c r="T33" s="13"/>
      <c r="U33" s="129"/>
    </row>
    <row r="34" spans="2:21" x14ac:dyDescent="0.3">
      <c r="B34" s="126"/>
      <c r="C34" s="896"/>
      <c r="D34" s="896"/>
      <c r="E34" s="896"/>
      <c r="F34" s="896"/>
      <c r="G34" s="896"/>
      <c r="H34" s="896"/>
      <c r="I34" s="896"/>
      <c r="J34" s="13"/>
      <c r="K34" s="13"/>
      <c r="L34" s="13"/>
      <c r="M34" s="13"/>
      <c r="N34" s="13"/>
      <c r="O34" s="13"/>
      <c r="P34" s="13"/>
      <c r="Q34" s="13"/>
      <c r="R34" s="13"/>
      <c r="S34" s="13"/>
      <c r="T34" s="13"/>
      <c r="U34" s="129"/>
    </row>
    <row r="35" spans="2:21" x14ac:dyDescent="0.3">
      <c r="B35" s="126"/>
      <c r="C35" s="896"/>
      <c r="D35" s="896"/>
      <c r="E35" s="896"/>
      <c r="F35" s="896"/>
      <c r="G35" s="896"/>
      <c r="H35" s="896"/>
      <c r="I35" s="896"/>
      <c r="J35" s="13"/>
      <c r="K35" s="13"/>
      <c r="L35" s="13"/>
      <c r="M35" s="13"/>
      <c r="N35" s="13"/>
      <c r="O35" s="13"/>
      <c r="P35" s="13"/>
      <c r="Q35" s="13"/>
      <c r="R35" s="13"/>
      <c r="S35" s="13"/>
      <c r="T35" s="13"/>
      <c r="U35" s="129"/>
    </row>
    <row r="36" spans="2:21" x14ac:dyDescent="0.3">
      <c r="B36" s="126"/>
      <c r="C36" s="13"/>
      <c r="D36" s="13"/>
      <c r="E36" s="13"/>
      <c r="F36" s="13"/>
      <c r="G36" s="13"/>
      <c r="H36" s="13"/>
      <c r="I36" s="13"/>
      <c r="J36" s="13"/>
      <c r="K36" s="13"/>
      <c r="L36" s="13"/>
      <c r="M36" s="13"/>
      <c r="N36" s="13"/>
      <c r="O36" s="13"/>
      <c r="P36" s="13"/>
      <c r="Q36" s="13"/>
      <c r="R36" s="13"/>
      <c r="S36" s="13"/>
      <c r="T36" s="13"/>
      <c r="U36" s="129"/>
    </row>
    <row r="37" spans="2:21" ht="14.4" customHeight="1" x14ac:dyDescent="0.3">
      <c r="B37" s="126"/>
      <c r="C37" s="896" t="s">
        <v>485</v>
      </c>
      <c r="D37" s="896"/>
      <c r="E37" s="896"/>
      <c r="F37" s="896"/>
      <c r="G37" s="896"/>
      <c r="H37" s="896"/>
      <c r="I37" s="896"/>
      <c r="J37" s="13"/>
      <c r="K37" s="13"/>
      <c r="L37" s="13"/>
      <c r="M37" s="13"/>
      <c r="N37" s="13"/>
      <c r="O37" s="13"/>
      <c r="P37" s="13"/>
      <c r="Q37" s="13"/>
      <c r="R37" s="13"/>
      <c r="S37" s="13"/>
      <c r="T37" s="13"/>
      <c r="U37" s="129"/>
    </row>
    <row r="38" spans="2:21" ht="14.4" customHeight="1" x14ac:dyDescent="0.3">
      <c r="B38" s="126"/>
      <c r="C38" s="896"/>
      <c r="D38" s="896"/>
      <c r="E38" s="896"/>
      <c r="F38" s="896"/>
      <c r="G38" s="896"/>
      <c r="H38" s="896"/>
      <c r="I38" s="896"/>
      <c r="J38" s="13"/>
      <c r="K38" s="13"/>
      <c r="L38" s="13"/>
      <c r="M38" s="13"/>
      <c r="N38" s="13"/>
      <c r="O38" s="13"/>
      <c r="P38" s="13"/>
      <c r="Q38" s="13"/>
      <c r="R38" s="13"/>
      <c r="S38" s="13"/>
      <c r="T38" s="13"/>
      <c r="U38" s="129"/>
    </row>
    <row r="39" spans="2:21" ht="19.95" customHeight="1" x14ac:dyDescent="0.3">
      <c r="B39" s="126"/>
      <c r="C39" s="896"/>
      <c r="D39" s="896"/>
      <c r="E39" s="896"/>
      <c r="F39" s="896"/>
      <c r="G39" s="896"/>
      <c r="H39" s="896"/>
      <c r="I39" s="896"/>
      <c r="J39" s="13"/>
      <c r="K39" s="13"/>
      <c r="L39" s="13"/>
      <c r="M39" s="13"/>
      <c r="N39" s="13"/>
      <c r="O39" s="13"/>
      <c r="P39" s="13"/>
      <c r="Q39" s="13"/>
      <c r="R39" s="13"/>
      <c r="S39" s="13"/>
      <c r="T39" s="13"/>
      <c r="U39" s="129"/>
    </row>
    <row r="40" spans="2:21" ht="14.4" customHeight="1" x14ac:dyDescent="0.3">
      <c r="B40" s="126"/>
      <c r="C40" s="919" t="s">
        <v>486</v>
      </c>
      <c r="D40" s="920"/>
      <c r="E40" s="920"/>
      <c r="F40" s="920"/>
      <c r="G40" s="920"/>
      <c r="H40" s="920"/>
      <c r="I40" s="920"/>
      <c r="J40" s="920"/>
      <c r="K40" s="920"/>
      <c r="L40" s="920"/>
      <c r="M40" s="920"/>
      <c r="N40" s="920"/>
      <c r="O40" s="920"/>
      <c r="P40" s="920"/>
      <c r="Q40" s="920"/>
      <c r="R40" s="920"/>
      <c r="S40" s="920"/>
      <c r="T40" s="920"/>
      <c r="U40" s="129"/>
    </row>
    <row r="41" spans="2:21" x14ac:dyDescent="0.3">
      <c r="B41" s="126"/>
      <c r="C41" s="919" t="s">
        <v>528</v>
      </c>
      <c r="D41" s="919"/>
      <c r="E41" s="919"/>
      <c r="F41" s="919"/>
      <c r="G41" s="919"/>
      <c r="H41" s="919"/>
      <c r="I41" s="919"/>
      <c r="J41" s="919"/>
      <c r="K41" s="919"/>
      <c r="L41" s="919"/>
      <c r="M41" s="919"/>
      <c r="N41" s="919"/>
      <c r="O41" s="919"/>
      <c r="P41" s="919"/>
      <c r="Q41" s="919"/>
      <c r="R41" s="919"/>
      <c r="S41" s="919"/>
      <c r="T41" s="919"/>
      <c r="U41" s="129"/>
    </row>
    <row r="42" spans="2:21" ht="17.399999999999999" customHeight="1" x14ac:dyDescent="0.3">
      <c r="B42" s="126"/>
      <c r="C42" s="919"/>
      <c r="D42" s="919"/>
      <c r="E42" s="919"/>
      <c r="F42" s="919"/>
      <c r="G42" s="919"/>
      <c r="H42" s="919"/>
      <c r="I42" s="919"/>
      <c r="J42" s="919"/>
      <c r="K42" s="919"/>
      <c r="L42" s="919"/>
      <c r="M42" s="919"/>
      <c r="N42" s="919"/>
      <c r="O42" s="919"/>
      <c r="P42" s="919"/>
      <c r="Q42" s="919"/>
      <c r="R42" s="919"/>
      <c r="S42" s="919"/>
      <c r="T42" s="919"/>
      <c r="U42" s="129"/>
    </row>
    <row r="43" spans="2:21" ht="15.6" customHeight="1" x14ac:dyDescent="0.3">
      <c r="B43" s="126"/>
      <c r="C43" s="919" t="s">
        <v>527</v>
      </c>
      <c r="D43" s="919"/>
      <c r="E43" s="919"/>
      <c r="F43" s="919"/>
      <c r="G43" s="919"/>
      <c r="H43" s="919"/>
      <c r="I43" s="919"/>
      <c r="J43" s="919"/>
      <c r="K43" s="919"/>
      <c r="L43" s="919"/>
      <c r="M43" s="919"/>
      <c r="N43" s="919"/>
      <c r="O43" s="919"/>
      <c r="P43" s="919"/>
      <c r="Q43" s="919"/>
      <c r="R43" s="919"/>
      <c r="S43" s="919"/>
      <c r="T43" s="919"/>
      <c r="U43" s="129"/>
    </row>
    <row r="44" spans="2:21" ht="15" thickBot="1" x14ac:dyDescent="0.35">
      <c r="B44" s="133"/>
      <c r="C44" s="134"/>
      <c r="D44" s="134"/>
      <c r="E44" s="134"/>
      <c r="F44" s="134"/>
      <c r="G44" s="134"/>
      <c r="H44" s="134"/>
      <c r="I44" s="134"/>
      <c r="J44" s="134"/>
      <c r="K44" s="134"/>
      <c r="L44" s="134"/>
      <c r="M44" s="134"/>
      <c r="N44" s="134"/>
      <c r="O44" s="134"/>
      <c r="P44" s="134"/>
      <c r="Q44" s="134"/>
      <c r="R44" s="134"/>
      <c r="S44" s="134"/>
      <c r="T44" s="134"/>
      <c r="U44" s="135"/>
    </row>
    <row r="45" spans="2:21" x14ac:dyDescent="0.3">
      <c r="S45" s="827" t="s">
        <v>479</v>
      </c>
    </row>
    <row r="46" spans="2:21" ht="9.6" customHeight="1" thickBot="1" x14ac:dyDescent="0.35">
      <c r="R46" s="821"/>
    </row>
    <row r="47" spans="2:21" ht="11.4" customHeight="1" x14ac:dyDescent="0.3">
      <c r="B47" s="123"/>
      <c r="C47" s="124"/>
      <c r="D47" s="124"/>
      <c r="E47" s="124"/>
      <c r="F47" s="124"/>
      <c r="G47" s="124"/>
      <c r="H47" s="124"/>
      <c r="I47" s="124"/>
      <c r="J47" s="124"/>
      <c r="K47" s="124"/>
      <c r="L47" s="124"/>
      <c r="M47" s="124"/>
      <c r="N47" s="124"/>
      <c r="O47" s="124"/>
      <c r="P47" s="124"/>
      <c r="Q47" s="124"/>
      <c r="R47" s="825"/>
      <c r="S47" s="124"/>
      <c r="T47" s="124"/>
      <c r="U47" s="125"/>
    </row>
    <row r="48" spans="2:21" ht="18" x14ac:dyDescent="0.35">
      <c r="B48" s="126"/>
      <c r="C48" s="824" t="s">
        <v>474</v>
      </c>
      <c r="D48" s="13"/>
      <c r="E48" s="13"/>
      <c r="F48" s="13"/>
      <c r="G48" s="13"/>
      <c r="H48" s="13"/>
      <c r="I48" s="13"/>
      <c r="J48" s="13"/>
      <c r="K48" s="13"/>
      <c r="L48" s="13"/>
      <c r="M48" s="13"/>
      <c r="N48" s="13"/>
      <c r="O48" s="13"/>
      <c r="P48" s="13"/>
      <c r="Q48" s="13"/>
      <c r="R48" s="13"/>
      <c r="S48" s="13"/>
      <c r="T48" s="13"/>
      <c r="U48" s="129"/>
    </row>
    <row r="49" spans="2:21" ht="14.4" customHeight="1" x14ac:dyDescent="0.3">
      <c r="B49" s="126"/>
      <c r="C49" s="896" t="s">
        <v>473</v>
      </c>
      <c r="D49" s="896"/>
      <c r="E49" s="896"/>
      <c r="F49" s="896"/>
      <c r="G49" s="896"/>
      <c r="H49" s="896"/>
      <c r="I49" s="896"/>
      <c r="J49" s="896"/>
      <c r="K49" s="896"/>
      <c r="L49" s="896"/>
      <c r="M49" s="896"/>
      <c r="N49" s="896"/>
      <c r="O49" s="896"/>
      <c r="P49" s="896"/>
      <c r="Q49" s="896"/>
      <c r="R49" s="896"/>
      <c r="S49" s="896"/>
      <c r="T49" s="896"/>
      <c r="U49" s="129"/>
    </row>
    <row r="50" spans="2:21" ht="20.399999999999999" customHeight="1" x14ac:dyDescent="0.3">
      <c r="B50" s="126"/>
      <c r="C50" s="896"/>
      <c r="D50" s="896"/>
      <c r="E50" s="896"/>
      <c r="F50" s="896"/>
      <c r="G50" s="896"/>
      <c r="H50" s="896"/>
      <c r="I50" s="896"/>
      <c r="J50" s="896"/>
      <c r="K50" s="896"/>
      <c r="L50" s="896"/>
      <c r="M50" s="896"/>
      <c r="N50" s="896"/>
      <c r="O50" s="896"/>
      <c r="P50" s="896"/>
      <c r="Q50" s="896"/>
      <c r="R50" s="896"/>
      <c r="S50" s="896"/>
      <c r="T50" s="896"/>
      <c r="U50" s="129"/>
    </row>
    <row r="51" spans="2:21" x14ac:dyDescent="0.3">
      <c r="B51" s="126"/>
      <c r="C51" s="896"/>
      <c r="D51" s="896"/>
      <c r="E51" s="896"/>
      <c r="F51" s="896"/>
      <c r="G51" s="896"/>
      <c r="H51" s="896"/>
      <c r="I51" s="896"/>
      <c r="J51" s="896"/>
      <c r="K51" s="896"/>
      <c r="L51" s="896"/>
      <c r="M51" s="896"/>
      <c r="N51" s="896"/>
      <c r="O51" s="896"/>
      <c r="P51" s="896"/>
      <c r="Q51" s="896"/>
      <c r="R51" s="896"/>
      <c r="S51" s="896"/>
      <c r="T51" s="896"/>
      <c r="U51" s="129"/>
    </row>
    <row r="52" spans="2:21" x14ac:dyDescent="0.3">
      <c r="B52" s="126"/>
      <c r="C52" s="896"/>
      <c r="D52" s="896"/>
      <c r="E52" s="896"/>
      <c r="F52" s="896"/>
      <c r="G52" s="896"/>
      <c r="H52" s="896"/>
      <c r="I52" s="896"/>
      <c r="J52" s="896"/>
      <c r="K52" s="896"/>
      <c r="L52" s="896"/>
      <c r="M52" s="896"/>
      <c r="N52" s="896"/>
      <c r="O52" s="896"/>
      <c r="P52" s="896"/>
      <c r="Q52" s="896"/>
      <c r="R52" s="896"/>
      <c r="S52" s="896"/>
      <c r="T52" s="896"/>
      <c r="U52" s="129"/>
    </row>
    <row r="53" spans="2:21" ht="6.6" customHeight="1" thickBot="1" x14ac:dyDescent="0.35">
      <c r="B53" s="133"/>
      <c r="C53" s="918"/>
      <c r="D53" s="918"/>
      <c r="E53" s="918"/>
      <c r="F53" s="918"/>
      <c r="G53" s="918"/>
      <c r="H53" s="918"/>
      <c r="I53" s="918"/>
      <c r="J53" s="918"/>
      <c r="K53" s="918"/>
      <c r="L53" s="918"/>
      <c r="M53" s="918"/>
      <c r="N53" s="918"/>
      <c r="O53" s="918"/>
      <c r="P53" s="918"/>
      <c r="Q53" s="918"/>
      <c r="R53" s="918"/>
      <c r="S53" s="918"/>
      <c r="T53" s="918"/>
      <c r="U53" s="135"/>
    </row>
    <row r="54" spans="2:21" ht="15" thickBot="1" x14ac:dyDescent="0.35"/>
    <row r="55" spans="2:21" ht="10.95" customHeight="1" x14ac:dyDescent="0.3">
      <c r="B55" s="123"/>
      <c r="C55" s="124"/>
      <c r="D55" s="124"/>
      <c r="E55" s="124"/>
      <c r="F55" s="124"/>
      <c r="G55" s="124"/>
      <c r="H55" s="124"/>
      <c r="I55" s="124"/>
      <c r="J55" s="124"/>
      <c r="K55" s="124"/>
      <c r="L55" s="124"/>
      <c r="M55" s="124"/>
      <c r="N55" s="124"/>
      <c r="O55" s="124"/>
      <c r="P55" s="124"/>
      <c r="Q55" s="124"/>
      <c r="R55" s="124"/>
      <c r="S55" s="124"/>
      <c r="T55" s="124"/>
      <c r="U55" s="125"/>
    </row>
    <row r="56" spans="2:21" ht="18" x14ac:dyDescent="0.35">
      <c r="B56" s="126"/>
      <c r="C56" s="824" t="s">
        <v>532</v>
      </c>
      <c r="D56" s="13"/>
      <c r="E56" s="13"/>
      <c r="F56" s="13"/>
      <c r="G56" s="13"/>
      <c r="H56" s="13"/>
      <c r="I56" s="13"/>
      <c r="J56" s="13"/>
      <c r="K56" s="13"/>
      <c r="L56" s="13"/>
      <c r="M56" s="13"/>
      <c r="N56" s="13"/>
      <c r="O56" s="13"/>
      <c r="P56" s="13"/>
      <c r="Q56" s="13"/>
      <c r="R56" s="13"/>
      <c r="S56" s="13"/>
      <c r="T56" s="13"/>
      <c r="U56" s="129"/>
    </row>
    <row r="57" spans="2:21" s="812" customFormat="1" ht="15.6" x14ac:dyDescent="0.3">
      <c r="B57" s="1160"/>
      <c r="C57" s="1163" t="s">
        <v>499</v>
      </c>
      <c r="D57" s="1163"/>
      <c r="E57" s="1163"/>
      <c r="F57" s="1163"/>
      <c r="G57" s="1163"/>
      <c r="H57" s="1163"/>
      <c r="I57" s="1163"/>
      <c r="J57" s="1163"/>
      <c r="K57" s="1163"/>
      <c r="L57" s="1163"/>
      <c r="M57" s="1163"/>
      <c r="N57" s="1163"/>
      <c r="O57" s="1163"/>
      <c r="P57" s="1163"/>
      <c r="Q57" s="1163"/>
      <c r="R57" s="1163"/>
      <c r="S57" s="1163"/>
      <c r="T57" s="1163"/>
      <c r="U57" s="1161"/>
    </row>
    <row r="58" spans="2:21" s="812" customFormat="1" ht="15.6" x14ac:dyDescent="0.3">
      <c r="B58" s="1160"/>
      <c r="C58" s="1163"/>
      <c r="D58" s="1163"/>
      <c r="E58" s="1163"/>
      <c r="F58" s="1163"/>
      <c r="G58" s="1163"/>
      <c r="H58" s="1163"/>
      <c r="I58" s="1163"/>
      <c r="J58" s="1163"/>
      <c r="K58" s="1163"/>
      <c r="L58" s="1163"/>
      <c r="M58" s="1163"/>
      <c r="N58" s="1163"/>
      <c r="O58" s="1163"/>
      <c r="P58" s="1163"/>
      <c r="Q58" s="1163"/>
      <c r="R58" s="1163"/>
      <c r="S58" s="1163"/>
      <c r="T58" s="1163"/>
      <c r="U58" s="1161"/>
    </row>
    <row r="59" spans="2:21" s="812" customFormat="1" ht="15.6" x14ac:dyDescent="0.3">
      <c r="B59" s="1160"/>
      <c r="C59" s="896" t="s">
        <v>529</v>
      </c>
      <c r="D59" s="896"/>
      <c r="E59" s="896"/>
      <c r="F59" s="896"/>
      <c r="G59" s="896"/>
      <c r="H59" s="896"/>
      <c r="I59" s="896"/>
      <c r="J59" s="896"/>
      <c r="K59" s="896"/>
      <c r="L59" s="896"/>
      <c r="M59" s="896"/>
      <c r="N59" s="896"/>
      <c r="O59" s="896"/>
      <c r="P59" s="896"/>
      <c r="Q59" s="896"/>
      <c r="R59" s="896"/>
      <c r="S59" s="896"/>
      <c r="T59" s="896"/>
      <c r="U59" s="1161"/>
    </row>
    <row r="60" spans="2:21" s="812" customFormat="1" ht="15.6" x14ac:dyDescent="0.3">
      <c r="B60" s="1160"/>
      <c r="C60" s="1159" t="s">
        <v>530</v>
      </c>
      <c r="D60" s="1159"/>
      <c r="E60" s="1159"/>
      <c r="F60" s="1159"/>
      <c r="G60" s="1159"/>
      <c r="H60" s="1159"/>
      <c r="I60" s="1159"/>
      <c r="J60" s="1159"/>
      <c r="K60" s="1159"/>
      <c r="L60" s="1159"/>
      <c r="M60" s="1159"/>
      <c r="N60" s="1159"/>
      <c r="O60" s="1159"/>
      <c r="P60" s="1159"/>
      <c r="Q60" s="1159"/>
      <c r="R60" s="1159"/>
      <c r="S60" s="1159"/>
      <c r="T60" s="1159"/>
      <c r="U60" s="1161"/>
    </row>
    <row r="61" spans="2:21" s="812" customFormat="1" ht="15.6" x14ac:dyDescent="0.3">
      <c r="B61" s="1160"/>
      <c r="C61" s="1159"/>
      <c r="D61" s="1159"/>
      <c r="E61" s="1159"/>
      <c r="F61" s="1159"/>
      <c r="G61" s="1159"/>
      <c r="H61" s="1159"/>
      <c r="I61" s="1159"/>
      <c r="J61" s="1159"/>
      <c r="K61" s="1159"/>
      <c r="L61" s="1159"/>
      <c r="M61" s="1159"/>
      <c r="N61" s="1159"/>
      <c r="O61" s="1159"/>
      <c r="P61" s="1159"/>
      <c r="Q61" s="1159"/>
      <c r="R61" s="1159"/>
      <c r="S61" s="1159"/>
      <c r="T61" s="1159"/>
      <c r="U61" s="1161"/>
    </row>
    <row r="62" spans="2:21" s="812" customFormat="1" ht="15.6" x14ac:dyDescent="0.3">
      <c r="B62" s="1160"/>
      <c r="C62" s="1162" t="s">
        <v>531</v>
      </c>
      <c r="D62" s="326"/>
      <c r="E62" s="326"/>
      <c r="F62" s="326"/>
      <c r="G62" s="326"/>
      <c r="H62" s="326"/>
      <c r="I62" s="326"/>
      <c r="J62" s="326"/>
      <c r="K62" s="326"/>
      <c r="L62" s="326"/>
      <c r="M62" s="326"/>
      <c r="N62" s="326"/>
      <c r="O62" s="326"/>
      <c r="P62" s="326"/>
      <c r="Q62" s="326"/>
      <c r="R62" s="326"/>
      <c r="S62" s="326"/>
      <c r="T62" s="326"/>
      <c r="U62" s="1161"/>
    </row>
    <row r="63" spans="2:21" s="812" customFormat="1" ht="15.6" x14ac:dyDescent="0.3">
      <c r="B63" s="1160"/>
      <c r="C63" s="1162" t="s">
        <v>476</v>
      </c>
      <c r="D63" s="326"/>
      <c r="E63" s="326"/>
      <c r="F63" s="326"/>
      <c r="G63" s="326"/>
      <c r="H63" s="326"/>
      <c r="I63" s="326"/>
      <c r="J63" s="326"/>
      <c r="K63" s="326"/>
      <c r="L63" s="326"/>
      <c r="M63" s="326"/>
      <c r="N63" s="326"/>
      <c r="O63" s="326"/>
      <c r="P63" s="326"/>
      <c r="Q63" s="326"/>
      <c r="R63" s="326"/>
      <c r="S63" s="326"/>
      <c r="T63" s="326"/>
      <c r="U63" s="1161"/>
    </row>
    <row r="64" spans="2:21" s="812" customFormat="1" ht="15.6" x14ac:dyDescent="0.3">
      <c r="B64" s="1160"/>
      <c r="C64" s="1162" t="s">
        <v>477</v>
      </c>
      <c r="D64" s="326"/>
      <c r="E64" s="326"/>
      <c r="F64" s="326"/>
      <c r="G64" s="326"/>
      <c r="H64" s="326"/>
      <c r="I64" s="326"/>
      <c r="J64" s="326"/>
      <c r="K64" s="326"/>
      <c r="L64" s="326"/>
      <c r="M64" s="326"/>
      <c r="N64" s="326"/>
      <c r="O64" s="326"/>
      <c r="P64" s="326"/>
      <c r="Q64" s="326"/>
      <c r="R64" s="326"/>
      <c r="S64" s="326"/>
      <c r="T64" s="326"/>
      <c r="U64" s="1161"/>
    </row>
    <row r="65" spans="2:21" ht="12" customHeight="1" thickBot="1" x14ac:dyDescent="0.35">
      <c r="B65" s="133"/>
      <c r="C65" s="134"/>
      <c r="D65" s="134"/>
      <c r="E65" s="134"/>
      <c r="F65" s="134"/>
      <c r="G65" s="134"/>
      <c r="H65" s="134"/>
      <c r="I65" s="134"/>
      <c r="J65" s="134"/>
      <c r="K65" s="134"/>
      <c r="L65" s="134"/>
      <c r="M65" s="134"/>
      <c r="N65" s="134"/>
      <c r="O65" s="134"/>
      <c r="P65" s="134"/>
      <c r="Q65" s="134"/>
      <c r="R65" s="134"/>
      <c r="S65" s="134"/>
      <c r="T65" s="134"/>
      <c r="U65" s="135"/>
    </row>
    <row r="66" spans="2:21" x14ac:dyDescent="0.3">
      <c r="S66" s="827" t="s">
        <v>479</v>
      </c>
    </row>
  </sheetData>
  <sheetProtection algorithmName="SHA-256" hashValue="et3ORQRj+Ygvp5je+FptsNPmgnpWi/KpfBBo9rjCBuo=" saltValue="HKuz32uqfWwfJuNqU0v3MQ==" spinCount="100000" sheet="1" objects="1" scenarios="1"/>
  <mergeCells count="19">
    <mergeCell ref="C60:T61"/>
    <mergeCell ref="C57:T58"/>
    <mergeCell ref="C59:T59"/>
    <mergeCell ref="C31:I35"/>
    <mergeCell ref="C25:I29"/>
    <mergeCell ref="C49:T53"/>
    <mergeCell ref="C37:I39"/>
    <mergeCell ref="C40:T40"/>
    <mergeCell ref="C43:T43"/>
    <mergeCell ref="C41:T42"/>
    <mergeCell ref="C15:T16"/>
    <mergeCell ref="C3:T4"/>
    <mergeCell ref="C18:T19"/>
    <mergeCell ref="J7:L9"/>
    <mergeCell ref="N7:P9"/>
    <mergeCell ref="C7:F7"/>
    <mergeCell ref="C8:F8"/>
    <mergeCell ref="C9:F9"/>
    <mergeCell ref="C10:F10"/>
  </mergeCells>
  <hyperlinks>
    <hyperlink ref="C7" location="Introduction!B36" display="Tool Purpose"/>
    <hyperlink ref="C8" location="Introduction!B48" display="Using the Tool"/>
    <hyperlink ref="C9" location="Introduction!B72" display="Results"/>
    <hyperlink ref="J7:K8" location="HOMEPAGE!A1" display="HOMEPAGE!A1"/>
    <hyperlink ref="N7:P9" location="'Input 1_Population'!A1" display="'Input 1_Population'!A1"/>
    <hyperlink ref="S45" location="Introduction!A1" display="Back to top"/>
    <hyperlink ref="S66" location="Introduction!A1" display="Back to top"/>
    <hyperlink ref="S21" location="Introduction!A1" display="Back to top"/>
    <hyperlink ref="C10" location="Introduction!B80" display="Advanced Use: accessing calculations"/>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CG75"/>
  <sheetViews>
    <sheetView workbookViewId="0">
      <pane xSplit="4" topLeftCell="M1" activePane="topRight" state="frozen"/>
      <selection activeCell="H53" sqref="H53"/>
      <selection pane="topRight" activeCell="H53" sqref="H53"/>
    </sheetView>
  </sheetViews>
  <sheetFormatPr defaultRowHeight="14.4" x14ac:dyDescent="0.3"/>
  <cols>
    <col min="1" max="1" width="2.88671875" customWidth="1"/>
    <col min="2" max="2" width="12.5546875" style="24" customWidth="1"/>
    <col min="3" max="3" width="9.109375" style="24"/>
    <col min="4" max="4" width="3.44140625" customWidth="1"/>
    <col min="5" max="10" width="7.109375" style="27" bestFit="1" customWidth="1"/>
    <col min="11" max="16" width="9" style="39" customWidth="1"/>
    <col min="17" max="17" width="6.6640625" customWidth="1"/>
    <col min="18" max="18" width="2.88671875" customWidth="1"/>
    <col min="19" max="30" width="9.109375" customWidth="1"/>
    <col min="31" max="31" width="3.6640625" customWidth="1"/>
    <col min="45" max="53" width="9.6640625" customWidth="1"/>
    <col min="54" max="55" width="10.44140625" bestFit="1" customWidth="1"/>
    <col min="56" max="58" width="7.33203125" customWidth="1"/>
    <col min="59" max="59" width="10.88671875" customWidth="1"/>
    <col min="60" max="60" width="10.109375" customWidth="1"/>
    <col min="61" max="61" width="1.88671875" customWidth="1"/>
    <col min="62" max="62" width="10" customWidth="1"/>
    <col min="63" max="63" width="10.44140625" customWidth="1"/>
    <col min="64" max="64" width="7.109375" customWidth="1"/>
    <col min="65" max="65" width="7.33203125" customWidth="1"/>
    <col min="66" max="66" width="5.88671875" customWidth="1"/>
    <col min="67" max="71" width="9.6640625" customWidth="1"/>
    <col min="72" max="72" width="10.44140625" bestFit="1" customWidth="1"/>
    <col min="73" max="78" width="9.6640625" customWidth="1"/>
    <col min="79" max="79" width="4.5546875" customWidth="1"/>
    <col min="80" max="80" width="7.33203125" customWidth="1"/>
    <col min="81" max="81" width="10" customWidth="1"/>
    <col min="82" max="82" width="10.44140625" customWidth="1"/>
    <col min="84" max="84" width="13.21875" bestFit="1" customWidth="1"/>
  </cols>
  <sheetData>
    <row r="1" spans="2:85" ht="15.75" customHeight="1" thickBot="1" x14ac:dyDescent="0.35">
      <c r="AS1" s="1142" t="s">
        <v>330</v>
      </c>
      <c r="AT1" s="1142"/>
      <c r="AU1" s="1142"/>
      <c r="AV1" s="1142"/>
      <c r="AW1" s="1142"/>
      <c r="AX1" s="1142"/>
      <c r="AY1" s="1142"/>
      <c r="AZ1" s="1142"/>
      <c r="BA1" s="1142"/>
      <c r="BB1" s="1142"/>
      <c r="BC1" s="1142"/>
      <c r="BD1" s="1142"/>
      <c r="BE1" s="1142"/>
      <c r="BF1" s="1142"/>
      <c r="BG1" s="1142"/>
      <c r="BH1" s="1142"/>
      <c r="BI1" s="1142"/>
      <c r="BJ1" s="1142"/>
      <c r="BK1" s="1142"/>
      <c r="BL1" s="1142"/>
      <c r="BM1" s="1142"/>
      <c r="CB1" s="22"/>
      <c r="CC1" s="22"/>
      <c r="CD1" s="22"/>
    </row>
    <row r="2" spans="2:85" ht="18.600000000000001" thickBot="1" x14ac:dyDescent="0.4">
      <c r="B2" s="1130" t="s">
        <v>168</v>
      </c>
      <c r="C2" s="1131"/>
      <c r="E2" s="1132" t="s">
        <v>523</v>
      </c>
      <c r="F2" s="1132"/>
      <c r="G2" s="1132"/>
      <c r="H2" s="1132"/>
      <c r="I2" s="1132"/>
      <c r="J2" s="1132"/>
      <c r="K2" s="1132"/>
      <c r="L2" s="1132"/>
      <c r="M2" s="1132"/>
      <c r="N2" s="1132"/>
      <c r="O2" s="1132"/>
      <c r="P2" s="1132"/>
      <c r="S2" s="1144" t="s">
        <v>525</v>
      </c>
      <c r="T2" s="1144"/>
      <c r="U2" s="1144"/>
      <c r="V2" s="1144"/>
      <c r="W2" s="1144"/>
      <c r="X2" s="1144"/>
      <c r="Y2" s="1144"/>
      <c r="Z2" s="1144"/>
      <c r="AA2" s="1144"/>
      <c r="AB2" s="1144"/>
      <c r="AC2" s="1144"/>
      <c r="AD2" s="1144"/>
      <c r="AE2" s="1144"/>
      <c r="AF2" s="1144"/>
      <c r="AG2" s="1144"/>
      <c r="AH2" s="1144"/>
      <c r="AI2" s="1144"/>
      <c r="AJ2" s="1144"/>
      <c r="AK2" s="1144"/>
      <c r="AL2" s="1144"/>
      <c r="AM2" s="1144"/>
      <c r="AN2" s="1144"/>
      <c r="AO2" s="1144"/>
      <c r="AP2" s="1144"/>
      <c r="AQ2" s="1144"/>
      <c r="AS2" s="932"/>
      <c r="AT2" s="932"/>
      <c r="AU2" s="932"/>
      <c r="AV2" s="932"/>
      <c r="AW2" s="932"/>
      <c r="AX2" s="932"/>
      <c r="AY2" s="932"/>
      <c r="AZ2" s="932"/>
      <c r="BA2" s="932"/>
      <c r="BB2" s="932"/>
      <c r="BC2" s="932"/>
      <c r="BD2" s="932"/>
      <c r="BE2" s="932"/>
      <c r="BF2" s="932"/>
      <c r="BG2" s="932"/>
      <c r="BH2" s="932"/>
      <c r="BI2" s="932"/>
      <c r="BJ2" s="932"/>
      <c r="BK2" s="932"/>
      <c r="BL2" s="932"/>
      <c r="BM2" s="932"/>
      <c r="BN2" s="543"/>
      <c r="BO2" s="543"/>
      <c r="BP2" s="543"/>
      <c r="BQ2" s="543"/>
      <c r="BR2" s="543"/>
      <c r="BS2" s="543"/>
      <c r="BT2" s="543"/>
      <c r="BU2" s="543"/>
      <c r="BV2" s="543"/>
      <c r="BW2" s="543"/>
      <c r="BX2" s="543"/>
      <c r="BY2" s="543"/>
      <c r="BZ2" s="543"/>
      <c r="CA2" s="543"/>
      <c r="CB2" s="579"/>
      <c r="CC2" s="579"/>
      <c r="CD2" s="579"/>
    </row>
    <row r="3" spans="2:85" ht="15" thickBot="1" x14ac:dyDescent="0.35">
      <c r="E3" s="1134" t="s">
        <v>18</v>
      </c>
      <c r="F3" s="1134"/>
      <c r="G3" s="1134"/>
      <c r="H3" s="1134"/>
      <c r="I3" s="1134"/>
      <c r="J3" s="1134"/>
      <c r="K3" s="1134"/>
      <c r="L3" s="1134"/>
      <c r="M3" s="1134"/>
      <c r="N3" s="1134"/>
      <c r="O3" s="1134"/>
      <c r="P3" s="1134"/>
      <c r="S3" s="1143" t="s">
        <v>20</v>
      </c>
      <c r="T3" s="1143"/>
      <c r="U3" s="1143"/>
      <c r="V3" s="1143"/>
      <c r="W3" s="1143"/>
      <c r="X3" s="1143"/>
      <c r="Y3" s="1143"/>
      <c r="Z3" s="1143"/>
      <c r="AA3" s="1143"/>
      <c r="AB3" s="1143"/>
      <c r="AC3" s="1143"/>
      <c r="AD3" s="1143"/>
      <c r="AF3" s="1143" t="s">
        <v>19</v>
      </c>
      <c r="AG3" s="1143"/>
      <c r="AH3" s="1143"/>
      <c r="AI3" s="1143"/>
      <c r="AJ3" s="1143"/>
      <c r="AK3" s="1143"/>
      <c r="AL3" s="1143"/>
      <c r="AM3" s="1143"/>
      <c r="AN3" s="1143"/>
      <c r="AO3" s="1143"/>
      <c r="AP3" s="1143"/>
      <c r="AQ3" s="1143"/>
      <c r="BF3" s="545"/>
      <c r="BG3" s="545"/>
      <c r="BH3" s="545"/>
      <c r="BI3" s="545"/>
      <c r="BJ3" s="545"/>
      <c r="BK3" s="545"/>
      <c r="BL3" s="545"/>
      <c r="CB3" s="545"/>
      <c r="CC3" s="545"/>
      <c r="CD3" s="545"/>
    </row>
    <row r="4" spans="2:85" x14ac:dyDescent="0.3">
      <c r="AS4" s="22"/>
      <c r="AT4" s="22"/>
      <c r="AU4" s="22"/>
      <c r="AV4" s="22"/>
      <c r="AW4" s="22"/>
      <c r="AX4" s="22"/>
      <c r="AY4" s="22"/>
      <c r="AZ4" s="22"/>
      <c r="BA4" s="22"/>
      <c r="BB4" s="22"/>
      <c r="BC4" s="22"/>
      <c r="BD4" s="22"/>
      <c r="BE4" t="s">
        <v>316</v>
      </c>
      <c r="BM4" s="22"/>
      <c r="CB4" t="s">
        <v>316</v>
      </c>
    </row>
    <row r="5" spans="2:85" x14ac:dyDescent="0.3">
      <c r="E5" s="1133" t="s">
        <v>17</v>
      </c>
      <c r="F5" s="1133"/>
      <c r="G5" s="1133"/>
      <c r="H5" s="1133"/>
      <c r="I5" s="1133"/>
      <c r="J5" s="1133"/>
      <c r="K5" s="1133"/>
      <c r="L5" s="1133"/>
      <c r="M5" s="1133"/>
      <c r="N5" s="1133"/>
      <c r="O5" s="1133"/>
      <c r="P5" s="1133"/>
      <c r="S5" s="1136" t="s">
        <v>17</v>
      </c>
      <c r="T5" s="1136"/>
      <c r="U5" s="1136"/>
      <c r="V5" s="1136"/>
      <c r="W5" s="1136"/>
      <c r="X5" s="1136"/>
      <c r="Y5" s="1136"/>
      <c r="Z5" s="1136"/>
      <c r="AA5" s="1136"/>
      <c r="AB5" s="1136"/>
      <c r="AC5" s="1136"/>
      <c r="AD5" s="1136"/>
      <c r="AF5" s="1136" t="s">
        <v>17</v>
      </c>
      <c r="AG5" s="1136"/>
      <c r="AH5" s="1136"/>
      <c r="AI5" s="1136"/>
      <c r="AJ5" s="1136"/>
      <c r="AK5" s="1136"/>
      <c r="AL5" s="1136"/>
      <c r="AM5" s="1136"/>
      <c r="AN5" s="1136"/>
      <c r="AO5" s="1136"/>
      <c r="AP5" s="1136"/>
      <c r="AQ5" s="1136"/>
      <c r="AS5" s="22"/>
      <c r="AT5" s="22"/>
      <c r="AU5" s="22"/>
      <c r="AV5" s="22"/>
      <c r="AW5" s="22"/>
      <c r="AX5" s="22" t="s">
        <v>24</v>
      </c>
      <c r="AY5" s="22"/>
      <c r="AZ5" s="552" t="s">
        <v>318</v>
      </c>
      <c r="BA5" s="22"/>
      <c r="BB5" s="49">
        <f>Antibody_Candidate!$C$48</f>
        <v>1972937.5</v>
      </c>
      <c r="BD5" s="22"/>
      <c r="BE5" s="22"/>
      <c r="BG5" s="1117" t="s">
        <v>311</v>
      </c>
      <c r="BH5" s="1117"/>
      <c r="BI5" s="1117"/>
      <c r="BJ5" s="1117"/>
      <c r="BK5" s="1117"/>
      <c r="BM5" s="22"/>
      <c r="CC5" s="1117"/>
      <c r="CD5" s="1117"/>
    </row>
    <row r="6" spans="2:85" x14ac:dyDescent="0.3">
      <c r="B6" s="1135" t="s">
        <v>108</v>
      </c>
      <c r="C6" s="1135"/>
      <c r="E6" s="41">
        <v>1</v>
      </c>
      <c r="F6" s="41">
        <v>2</v>
      </c>
      <c r="G6" s="41">
        <v>3</v>
      </c>
      <c r="H6" s="41">
        <v>4</v>
      </c>
      <c r="I6" s="41">
        <v>5</v>
      </c>
      <c r="J6" s="41">
        <v>6</v>
      </c>
      <c r="K6" s="41">
        <v>7</v>
      </c>
      <c r="L6" s="41">
        <v>8</v>
      </c>
      <c r="M6" s="41">
        <v>9</v>
      </c>
      <c r="N6" s="41">
        <v>10</v>
      </c>
      <c r="O6" s="272">
        <v>11</v>
      </c>
      <c r="P6" s="41">
        <v>12</v>
      </c>
      <c r="S6" s="1">
        <v>1</v>
      </c>
      <c r="T6" s="1">
        <v>2</v>
      </c>
      <c r="U6" s="1">
        <v>3</v>
      </c>
      <c r="V6" s="1">
        <v>4</v>
      </c>
      <c r="W6" s="1">
        <v>5</v>
      </c>
      <c r="X6" s="1">
        <v>6</v>
      </c>
      <c r="Y6" s="1">
        <v>7</v>
      </c>
      <c r="Z6" s="1">
        <v>8</v>
      </c>
      <c r="AA6" s="1">
        <v>9</v>
      </c>
      <c r="AB6" s="1">
        <v>10</v>
      </c>
      <c r="AC6" s="1">
        <v>11</v>
      </c>
      <c r="AD6" s="1">
        <v>12</v>
      </c>
      <c r="AF6" s="1">
        <v>1</v>
      </c>
      <c r="AG6" s="1">
        <v>2</v>
      </c>
      <c r="AH6" s="1">
        <v>3</v>
      </c>
      <c r="AI6" s="1">
        <v>4</v>
      </c>
      <c r="AJ6" s="1">
        <v>5</v>
      </c>
      <c r="AK6" s="1">
        <v>6</v>
      </c>
      <c r="AL6" s="1">
        <v>7</v>
      </c>
      <c r="AM6" s="1">
        <v>8</v>
      </c>
      <c r="AN6" s="1">
        <v>9</v>
      </c>
      <c r="AO6" s="1">
        <v>10</v>
      </c>
      <c r="AP6" s="1">
        <v>11</v>
      </c>
      <c r="AQ6" s="1">
        <v>12</v>
      </c>
      <c r="AS6" s="22"/>
      <c r="AT6" s="22"/>
      <c r="AU6" s="22"/>
      <c r="AV6" s="22"/>
      <c r="AX6" s="40" t="s">
        <v>156</v>
      </c>
      <c r="AY6" s="840">
        <f>Ratios!$N$2</f>
        <v>3945875</v>
      </c>
      <c r="AZ6" s="552" t="s">
        <v>319</v>
      </c>
      <c r="BA6" s="1"/>
      <c r="BB6" s="49">
        <f>Antibody_Candidate!$AD$48</f>
        <v>1972937.5</v>
      </c>
      <c r="BD6" s="1"/>
      <c r="BE6" s="1"/>
      <c r="BG6" s="1129" t="s">
        <v>117</v>
      </c>
      <c r="BH6" s="1129"/>
      <c r="BI6" s="57"/>
      <c r="BJ6" s="1122" t="s">
        <v>216</v>
      </c>
      <c r="BK6" s="1122"/>
      <c r="BM6" s="1"/>
      <c r="BO6" s="1"/>
      <c r="CC6" s="1122" t="s">
        <v>216</v>
      </c>
      <c r="CD6" s="1122"/>
      <c r="CF6" s="1122" t="s">
        <v>226</v>
      </c>
      <c r="CG6" s="1122"/>
    </row>
    <row r="7" spans="2:85" ht="16.2" thickBot="1" x14ac:dyDescent="0.35">
      <c r="B7" s="31" t="s">
        <v>14</v>
      </c>
      <c r="C7" s="31" t="s">
        <v>511</v>
      </c>
      <c r="D7" s="25"/>
      <c r="E7" s="247">
        <f>'Input 4_RSV Season'!E15</f>
        <v>7.9000000000000001E-2</v>
      </c>
      <c r="F7" s="247">
        <f>'Input 4_RSV Season'!E16</f>
        <v>0.22899999999999998</v>
      </c>
      <c r="G7" s="247">
        <f>'Input 4_RSV Season'!E17</f>
        <v>0.32600000000000001</v>
      </c>
      <c r="H7" s="247">
        <f>'Input 4_RSV Season'!E18</f>
        <v>0.218</v>
      </c>
      <c r="I7" s="247">
        <f>'Input 4_RSV Season'!E19</f>
        <v>0.11700000000000001</v>
      </c>
      <c r="J7" s="247">
        <f>'Input 4_RSV Season'!E20</f>
        <v>3.1E-2</v>
      </c>
      <c r="K7" s="247">
        <f>'Input 4_RSV Season'!E21</f>
        <v>0</v>
      </c>
      <c r="L7" s="247">
        <f>'Input 4_RSV Season'!E22</f>
        <v>0</v>
      </c>
      <c r="M7" s="247">
        <f>'Input 4_RSV Season'!E23</f>
        <v>0</v>
      </c>
      <c r="N7" s="271">
        <f>'Input 4_RSV Season'!E24</f>
        <v>0</v>
      </c>
      <c r="O7" s="247">
        <f>'Input 4_RSV Season'!E13</f>
        <v>0</v>
      </c>
      <c r="P7" s="247">
        <f>'Input 4_RSV Season'!E14</f>
        <v>0</v>
      </c>
      <c r="Q7" s="248">
        <f>SUM(E7:P7)</f>
        <v>1</v>
      </c>
      <c r="R7" s="23"/>
      <c r="BF7" s="561" t="s">
        <v>314</v>
      </c>
      <c r="BG7" s="1123" t="s">
        <v>312</v>
      </c>
      <c r="BH7" s="1126" t="s">
        <v>313</v>
      </c>
      <c r="BI7" s="57"/>
      <c r="BJ7" s="1123" t="s">
        <v>312</v>
      </c>
      <c r="BK7" s="1126" t="s">
        <v>313</v>
      </c>
      <c r="CB7" s="561" t="s">
        <v>314</v>
      </c>
      <c r="CC7" s="1123" t="s">
        <v>312</v>
      </c>
      <c r="CD7" s="1126" t="s">
        <v>313</v>
      </c>
      <c r="CF7" s="1140" t="s">
        <v>313</v>
      </c>
      <c r="CG7" s="1140"/>
    </row>
    <row r="8" spans="2:85" x14ac:dyDescent="0.3">
      <c r="B8" s="26">
        <v>0</v>
      </c>
      <c r="C8" s="293">
        <f>'Input 2_RSV Rates'!W10*'Input 3_Clinical Severity'!$S$9</f>
        <v>17.100000000000001</v>
      </c>
      <c r="E8" s="20">
        <f>($C8/(SUM($C$8:$C$19)))*E$7</f>
        <v>1.0088872292755789E-2</v>
      </c>
      <c r="F8" s="20">
        <f t="shared" ref="F8:P8" si="0">($C8/(SUM($C$8:$C$19)))*F$7</f>
        <v>2.9244958924570574E-2</v>
      </c>
      <c r="G8" s="20">
        <f t="shared" si="0"/>
        <v>4.1632561613144138E-2</v>
      </c>
      <c r="H8" s="20">
        <f t="shared" si="0"/>
        <v>2.7840179238237492E-2</v>
      </c>
      <c r="I8" s="20">
        <f t="shared" si="0"/>
        <v>1.4941747572815535E-2</v>
      </c>
      <c r="J8" s="20">
        <f t="shared" si="0"/>
        <v>3.9589245705750559E-3</v>
      </c>
      <c r="K8" s="20">
        <f t="shared" si="0"/>
        <v>0</v>
      </c>
      <c r="L8" s="20">
        <f t="shared" si="0"/>
        <v>0</v>
      </c>
      <c r="M8" s="20">
        <f t="shared" si="0"/>
        <v>0</v>
      </c>
      <c r="N8" s="20">
        <f t="shared" si="0"/>
        <v>0</v>
      </c>
      <c r="O8" s="86">
        <f t="shared" si="0"/>
        <v>0</v>
      </c>
      <c r="P8" s="20">
        <f t="shared" si="0"/>
        <v>0</v>
      </c>
      <c r="S8" s="852">
        <f>IF('Input 5_Product Uptake'!$M$9=0,E8*Ratios!$N$36,E8*Ratios!$N$36*Ratios!$Z$36)</f>
        <v>45.063365005250567</v>
      </c>
      <c r="T8" s="852">
        <f>IF('Input 5_Product Uptake'!$M$9=0,F8*Ratios!$N$36,F8*Ratios!$N$36*Ratios!$Z$36)</f>
        <v>130.62671628104277</v>
      </c>
      <c r="U8" s="852">
        <f>IF('Input 5_Product Uptake'!$M$9=0,G8*Ratios!$N$36,G8*Ratios!$N$36*Ratios!$Z$36)</f>
        <v>185.95768343938843</v>
      </c>
      <c r="V8" s="852">
        <f>IF('Input 5_Product Uptake'!$M$9=0,H8*Ratios!$N$36,H8*Ratios!$N$36*Ratios!$Z$36)</f>
        <v>124.35207052081803</v>
      </c>
      <c r="W8" s="852">
        <f>IF('Input 5_Product Uptake'!$M$9=0,I8*Ratios!$N$36,I8*Ratios!$N$36*Ratios!$Z$36)</f>
        <v>66.739413995117928</v>
      </c>
      <c r="X8" s="852">
        <f>IF('Input 5_Product Uptake'!$M$9=0,J8*Ratios!$N$36,J8*Ratios!$N$36*Ratios!$Z$36)</f>
        <v>17.683092596997056</v>
      </c>
      <c r="Y8" s="852">
        <f>IF('Input 5_Product Uptake'!$M$9=0,K8*Ratios!$N$36,K8*Ratios!$N$36*Ratios!$Z$36)</f>
        <v>0</v>
      </c>
      <c r="Z8" s="852">
        <f>IF('Input 5_Product Uptake'!$M$9=0,L8*Ratios!$N$36,L8*Ratios!$N$36*Ratios!$Z$36)</f>
        <v>0</v>
      </c>
      <c r="AA8" s="852">
        <f>IF('Input 5_Product Uptake'!$M$9=0,M8*Ratios!$N$36,M8*Ratios!$N$36*Ratios!$Z$36)</f>
        <v>0</v>
      </c>
      <c r="AB8" s="852">
        <f>IF('Input 5_Product Uptake'!$M$9=0,N8*Ratios!$N$36,N8*Ratios!$N$36*Ratios!$Z$36)</f>
        <v>0</v>
      </c>
      <c r="AC8" s="852">
        <f>IF('Input 5_Product Uptake'!$M$9=0,O8*Ratios!$N$36,O8*Ratios!$N$36*Ratios!$Z$36)</f>
        <v>0</v>
      </c>
      <c r="AD8" s="852">
        <f>IF('Input 5_Product Uptake'!$M$9=0,P8*Ratios!$N$36,P8*Ratios!$N$36*Ratios!$Z$36)</f>
        <v>0</v>
      </c>
      <c r="AE8" s="294"/>
      <c r="AF8" s="860">
        <f>Ratios!$P$36*E8</f>
        <v>414.9175637050368</v>
      </c>
      <c r="AG8" s="860">
        <f>Ratios!$P$36*F8</f>
        <v>1202.7357226386507</v>
      </c>
      <c r="AH8" s="860">
        <f>Ratios!$P$36*G8</f>
        <v>1712.1914654157213</v>
      </c>
      <c r="AI8" s="860">
        <f>Ratios!$P$36*H8</f>
        <v>1144.9623909835191</v>
      </c>
      <c r="AJ8" s="860">
        <f>Ratios!$P$36*I8</f>
        <v>614.49816396821905</v>
      </c>
      <c r="AK8" s="860">
        <f>Ratios!$P$36*J8</f>
        <v>162.81575284628025</v>
      </c>
      <c r="AL8" s="860">
        <f>Ratios!$P$36*K8</f>
        <v>0</v>
      </c>
      <c r="AM8" s="860">
        <f>Ratios!$P$36*L8</f>
        <v>0</v>
      </c>
      <c r="AN8" s="860">
        <f>Ratios!$P$36*M8</f>
        <v>0</v>
      </c>
      <c r="AO8" s="860">
        <f>Ratios!$P$36*N8</f>
        <v>0</v>
      </c>
      <c r="AP8" s="860">
        <f>Ratios!$P$36*O8</f>
        <v>0</v>
      </c>
      <c r="AQ8" s="860">
        <f>Ratios!$P$36*P8</f>
        <v>0</v>
      </c>
      <c r="AS8" s="275">
        <f>S8</f>
        <v>45.063365005250567</v>
      </c>
      <c r="AT8" s="275">
        <f t="shared" ref="AT8:BD19" si="1">T8</f>
        <v>130.62671628104277</v>
      </c>
      <c r="AU8" s="275">
        <f t="shared" si="1"/>
        <v>185.95768343938843</v>
      </c>
      <c r="AV8" s="275">
        <f t="shared" si="1"/>
        <v>124.35207052081803</v>
      </c>
      <c r="AW8" s="275">
        <f t="shared" si="1"/>
        <v>66.739413995117928</v>
      </c>
      <c r="AX8" s="275">
        <f t="shared" si="1"/>
        <v>17.683092596997056</v>
      </c>
      <c r="AY8" s="275">
        <f t="shared" si="1"/>
        <v>0</v>
      </c>
      <c r="AZ8" s="275">
        <f t="shared" si="1"/>
        <v>0</v>
      </c>
      <c r="BA8" s="275">
        <f t="shared" si="1"/>
        <v>0</v>
      </c>
      <c r="BB8" s="275">
        <f t="shared" si="1"/>
        <v>0</v>
      </c>
      <c r="BC8" s="275">
        <f t="shared" si="1"/>
        <v>0</v>
      </c>
      <c r="BD8" s="275">
        <f t="shared" si="1"/>
        <v>0</v>
      </c>
      <c r="BE8" s="275"/>
      <c r="BF8" s="573" t="s">
        <v>317</v>
      </c>
      <c r="BG8" s="1124"/>
      <c r="BH8" s="1127"/>
      <c r="BI8" s="57"/>
      <c r="BJ8" s="1124"/>
      <c r="BK8" s="1127"/>
      <c r="BM8" s="275"/>
      <c r="BO8" s="35">
        <f>AF8</f>
        <v>414.9175637050368</v>
      </c>
      <c r="BP8" s="35">
        <f t="shared" ref="BP8:BZ19" si="2">AG8</f>
        <v>1202.7357226386507</v>
      </c>
      <c r="BQ8" s="35">
        <f t="shared" si="2"/>
        <v>1712.1914654157213</v>
      </c>
      <c r="BR8" s="35">
        <f t="shared" si="2"/>
        <v>1144.9623909835191</v>
      </c>
      <c r="BS8" s="35">
        <f t="shared" si="2"/>
        <v>614.49816396821905</v>
      </c>
      <c r="BT8" s="35">
        <f t="shared" si="2"/>
        <v>162.81575284628025</v>
      </c>
      <c r="BU8" s="35">
        <f t="shared" si="2"/>
        <v>0</v>
      </c>
      <c r="BV8" s="35">
        <f t="shared" si="2"/>
        <v>0</v>
      </c>
      <c r="BW8" s="35">
        <f t="shared" si="2"/>
        <v>0</v>
      </c>
      <c r="BX8" s="35">
        <f t="shared" si="2"/>
        <v>0</v>
      </c>
      <c r="BY8" s="35">
        <f t="shared" si="2"/>
        <v>0</v>
      </c>
      <c r="BZ8" s="35">
        <f t="shared" si="2"/>
        <v>0</v>
      </c>
      <c r="CA8" s="35"/>
      <c r="CB8" s="573" t="s">
        <v>317</v>
      </c>
      <c r="CC8" s="1124"/>
      <c r="CD8" s="1127"/>
      <c r="CF8" s="1139"/>
      <c r="CG8" s="1139"/>
    </row>
    <row r="9" spans="2:85" x14ac:dyDescent="0.3">
      <c r="B9" s="26">
        <v>1</v>
      </c>
      <c r="C9" s="293">
        <f>'Input 2_RSV Rates'!W11*'Input 3_Clinical Severity'!$S$9</f>
        <v>30.8</v>
      </c>
      <c r="E9" s="20">
        <f t="shared" ref="E9:P19" si="3">($C9/(SUM($C$8:$C$19)))*E$7</f>
        <v>1.8171769977595221E-2</v>
      </c>
      <c r="F9" s="20">
        <f t="shared" si="3"/>
        <v>5.2675130694548163E-2</v>
      </c>
      <c r="G9" s="20">
        <f t="shared" si="3"/>
        <v>7.4987303958177751E-2</v>
      </c>
      <c r="H9" s="20">
        <f t="shared" si="3"/>
        <v>5.0144884241971617E-2</v>
      </c>
      <c r="I9" s="20">
        <f t="shared" si="3"/>
        <v>2.6912621359223302E-2</v>
      </c>
      <c r="J9" s="20">
        <f t="shared" si="3"/>
        <v>7.1306945481702765E-3</v>
      </c>
      <c r="K9" s="20">
        <f t="shared" si="3"/>
        <v>0</v>
      </c>
      <c r="L9" s="20">
        <f t="shared" si="3"/>
        <v>0</v>
      </c>
      <c r="M9" s="20">
        <f t="shared" si="3"/>
        <v>0</v>
      </c>
      <c r="N9" s="20">
        <f t="shared" si="3"/>
        <v>0</v>
      </c>
      <c r="O9" s="86">
        <f t="shared" si="3"/>
        <v>0</v>
      </c>
      <c r="P9" s="20">
        <f t="shared" si="3"/>
        <v>0</v>
      </c>
      <c r="S9" s="852">
        <f>IF('Input 5_Product Uptake'!$M$9=0,E9*Ratios!$N$36,E9*Ratios!$N$36*Ratios!$Z$36)</f>
        <v>81.166762699515644</v>
      </c>
      <c r="T9" s="852">
        <f>IF('Input 5_Product Uptake'!$M$9=0,F9*Ratios!$N$36,F9*Ratios!$N$36*Ratios!$Z$36)</f>
        <v>235.28086909100099</v>
      </c>
      <c r="U9" s="852">
        <f>IF('Input 5_Product Uptake'!$M$9=0,G9*Ratios!$N$36,G9*Ratios!$N$36*Ratios!$Z$36)</f>
        <v>334.94132455749497</v>
      </c>
      <c r="V9" s="852">
        <f>IF('Input 5_Product Uptake'!$M$9=0,H9*Ratios!$N$36,H9*Ratios!$N$36*Ratios!$Z$36)</f>
        <v>223.97916795562543</v>
      </c>
      <c r="W9" s="852">
        <f>IF('Input 5_Product Uptake'!$M$9=0,I9*Ratios!$N$36,I9*Ratios!$N$36*Ratios!$Z$36)</f>
        <v>120.20900298535861</v>
      </c>
      <c r="X9" s="852">
        <f>IF('Input 5_Product Uptake'!$M$9=0,J9*Ratios!$N$36,J9*Ratios!$N$36*Ratios!$Z$36)</f>
        <v>31.850248654240314</v>
      </c>
      <c r="Y9" s="852">
        <f>IF('Input 5_Product Uptake'!$M$9=0,K9*Ratios!$N$36,K9*Ratios!$N$36*Ratios!$Z$36)</f>
        <v>0</v>
      </c>
      <c r="Z9" s="852">
        <f>IF('Input 5_Product Uptake'!$M$9=0,L9*Ratios!$N$36,L9*Ratios!$N$36*Ratios!$Z$36)</f>
        <v>0</v>
      </c>
      <c r="AA9" s="852">
        <f>IF('Input 5_Product Uptake'!$M$9=0,M9*Ratios!$N$36,M9*Ratios!$N$36*Ratios!$Z$36)</f>
        <v>0</v>
      </c>
      <c r="AB9" s="852">
        <f>IF('Input 5_Product Uptake'!$M$9=0,N9*Ratios!$N$36,N9*Ratios!$N$36*Ratios!$Z$36)</f>
        <v>0</v>
      </c>
      <c r="AC9" s="852">
        <f>IF('Input 5_Product Uptake'!$M$9=0,O9*Ratios!$N$36,O9*Ratios!$N$36*Ratios!$Z$36)</f>
        <v>0</v>
      </c>
      <c r="AD9" s="852">
        <f>IF('Input 5_Product Uptake'!$M$9=0,P9*Ratios!$N$36,P9*Ratios!$N$36*Ratios!$Z$36)</f>
        <v>0</v>
      </c>
      <c r="AE9" s="294"/>
      <c r="AF9" s="860">
        <f>Ratios!$P$36*E9</f>
        <v>747.33689836930591</v>
      </c>
      <c r="AG9" s="860">
        <f>Ratios!$P$36*F9</f>
        <v>2166.3310091971016</v>
      </c>
      <c r="AH9" s="860">
        <f>Ratios!$P$36*G9</f>
        <v>3083.947200865744</v>
      </c>
      <c r="AI9" s="860">
        <f>Ratios!$P$36*H9</f>
        <v>2062.2714410697304</v>
      </c>
      <c r="AJ9" s="860">
        <f>Ratios!$P$36*I9</f>
        <v>1106.815406445681</v>
      </c>
      <c r="AK9" s="860">
        <f>Ratios!$P$36*J9</f>
        <v>293.25878290441119</v>
      </c>
      <c r="AL9" s="860">
        <f>Ratios!$P$36*K9</f>
        <v>0</v>
      </c>
      <c r="AM9" s="860">
        <f>Ratios!$P$36*L9</f>
        <v>0</v>
      </c>
      <c r="AN9" s="860">
        <f>Ratios!$P$36*M9</f>
        <v>0</v>
      </c>
      <c r="AO9" s="860">
        <f>Ratios!$P$36*N9</f>
        <v>0</v>
      </c>
      <c r="AP9" s="860">
        <f>Ratios!$P$36*O9</f>
        <v>0</v>
      </c>
      <c r="AQ9" s="860">
        <f>Ratios!$P$36*P9</f>
        <v>0</v>
      </c>
      <c r="AS9" s="275">
        <f t="shared" ref="AS9:AS19" si="4">S9</f>
        <v>81.166762699515644</v>
      </c>
      <c r="AT9" s="275">
        <f t="shared" si="1"/>
        <v>235.28086909100099</v>
      </c>
      <c r="AU9" s="275">
        <f t="shared" si="1"/>
        <v>334.94132455749497</v>
      </c>
      <c r="AV9" s="275">
        <f t="shared" si="1"/>
        <v>223.97916795562543</v>
      </c>
      <c r="AW9" s="275">
        <f t="shared" si="1"/>
        <v>120.20900298535861</v>
      </c>
      <c r="AX9" s="275">
        <f t="shared" si="1"/>
        <v>31.850248654240314</v>
      </c>
      <c r="AY9" s="275">
        <f t="shared" si="1"/>
        <v>0</v>
      </c>
      <c r="AZ9" s="275">
        <f t="shared" si="1"/>
        <v>0</v>
      </c>
      <c r="BA9" s="275">
        <f t="shared" si="1"/>
        <v>0</v>
      </c>
      <c r="BB9" s="275">
        <f t="shared" si="1"/>
        <v>0</v>
      </c>
      <c r="BC9" s="275">
        <f t="shared" si="1"/>
        <v>0</v>
      </c>
      <c r="BD9" s="275">
        <f t="shared" si="1"/>
        <v>0</v>
      </c>
      <c r="BE9" s="275"/>
      <c r="BF9" s="518"/>
      <c r="BG9" s="1125"/>
      <c r="BH9" s="1128"/>
      <c r="BI9" s="57"/>
      <c r="BJ9" s="1125"/>
      <c r="BK9" s="1128"/>
      <c r="BM9" s="275"/>
      <c r="BO9" s="35">
        <f t="shared" ref="BO9:BO19" si="5">AF9</f>
        <v>747.33689836930591</v>
      </c>
      <c r="BP9" s="35">
        <f t="shared" si="2"/>
        <v>2166.3310091971016</v>
      </c>
      <c r="BQ9" s="35">
        <f t="shared" si="2"/>
        <v>3083.947200865744</v>
      </c>
      <c r="BR9" s="35">
        <f t="shared" si="2"/>
        <v>2062.2714410697304</v>
      </c>
      <c r="BS9" s="35">
        <f t="shared" si="2"/>
        <v>1106.815406445681</v>
      </c>
      <c r="BT9" s="35">
        <f t="shared" si="2"/>
        <v>293.25878290441119</v>
      </c>
      <c r="BU9" s="35">
        <f t="shared" si="2"/>
        <v>0</v>
      </c>
      <c r="BV9" s="35">
        <f t="shared" si="2"/>
        <v>0</v>
      </c>
      <c r="BW9" s="35">
        <f t="shared" si="2"/>
        <v>0</v>
      </c>
      <c r="BX9" s="35">
        <f t="shared" si="2"/>
        <v>0</v>
      </c>
      <c r="BY9" s="35">
        <f t="shared" si="2"/>
        <v>0</v>
      </c>
      <c r="BZ9" s="35">
        <f t="shared" si="2"/>
        <v>0</v>
      </c>
      <c r="CA9" s="35"/>
      <c r="CB9" s="518"/>
      <c r="CC9" s="1125"/>
      <c r="CD9" s="1128"/>
      <c r="CF9" s="1139"/>
      <c r="CG9" s="1139"/>
    </row>
    <row r="10" spans="2:85" x14ac:dyDescent="0.3">
      <c r="B10" s="26">
        <v>2</v>
      </c>
      <c r="C10" s="293">
        <f>'Input 2_RSV Rates'!W12*'Input 3_Clinical Severity'!$S$9</f>
        <v>17.8</v>
      </c>
      <c r="E10" s="20">
        <f t="shared" si="3"/>
        <v>1.0501867064973863E-2</v>
      </c>
      <c r="F10" s="20">
        <f t="shared" si="3"/>
        <v>3.0442120985810308E-2</v>
      </c>
      <c r="G10" s="20">
        <f t="shared" si="3"/>
        <v>4.3336818521284549E-2</v>
      </c>
      <c r="H10" s="20">
        <f t="shared" si="3"/>
        <v>2.8979835698282302E-2</v>
      </c>
      <c r="I10" s="20">
        <f t="shared" si="3"/>
        <v>1.555339805825243E-2</v>
      </c>
      <c r="J10" s="20">
        <f t="shared" si="3"/>
        <v>4.1209858103061986E-3</v>
      </c>
      <c r="K10" s="20">
        <f t="shared" si="3"/>
        <v>0</v>
      </c>
      <c r="L10" s="20">
        <f t="shared" si="3"/>
        <v>0</v>
      </c>
      <c r="M10" s="20">
        <f t="shared" si="3"/>
        <v>0</v>
      </c>
      <c r="N10" s="20">
        <f t="shared" si="3"/>
        <v>0</v>
      </c>
      <c r="O10" s="86">
        <f t="shared" si="3"/>
        <v>0</v>
      </c>
      <c r="P10" s="20">
        <f t="shared" si="3"/>
        <v>0</v>
      </c>
      <c r="S10" s="852">
        <f>IF('Input 5_Product Uptake'!$M$9=0,E10*Ratios!$N$36,E10*Ratios!$N$36*Ratios!$Z$36)</f>
        <v>46.9080641575123</v>
      </c>
      <c r="T10" s="852">
        <f>IF('Input 5_Product Uptake'!$M$9=0,F10*Ratios!$N$36,F10*Ratios!$N$36*Ratios!$Z$36)</f>
        <v>135.97400876038373</v>
      </c>
      <c r="U10" s="852">
        <f>IF('Input 5_Product Uptake'!$M$9=0,G10*Ratios!$N$36,G10*Ratios!$N$36*Ratios!$Z$36)</f>
        <v>193.56998627024061</v>
      </c>
      <c r="V10" s="852">
        <f>IF('Input 5_Product Uptake'!$M$9=0,H10*Ratios!$N$36,H10*Ratios!$N$36*Ratios!$Z$36)</f>
        <v>129.44250615617315</v>
      </c>
      <c r="W10" s="852">
        <f>IF('Input 5_Product Uptake'!$M$9=0,I10*Ratios!$N$36,I10*Ratios!$N$36*Ratios!$Z$36)</f>
        <v>69.471436790239721</v>
      </c>
      <c r="X10" s="852">
        <f>IF('Input 5_Product Uptake'!$M$9=0,J10*Ratios!$N$36,J10*Ratios!$N$36*Ratios!$Z$36)</f>
        <v>18.406961884593429</v>
      </c>
      <c r="Y10" s="852">
        <f>IF('Input 5_Product Uptake'!$M$9=0,K10*Ratios!$N$36,K10*Ratios!$N$36*Ratios!$Z$36)</f>
        <v>0</v>
      </c>
      <c r="Z10" s="852">
        <f>IF('Input 5_Product Uptake'!$M$9=0,L10*Ratios!$N$36,L10*Ratios!$N$36*Ratios!$Z$36)</f>
        <v>0</v>
      </c>
      <c r="AA10" s="852">
        <f>IF('Input 5_Product Uptake'!$M$9=0,M10*Ratios!$N$36,M10*Ratios!$N$36*Ratios!$Z$36)</f>
        <v>0</v>
      </c>
      <c r="AB10" s="852">
        <f>IF('Input 5_Product Uptake'!$M$9=0,N10*Ratios!$N$36,N10*Ratios!$N$36*Ratios!$Z$36)</f>
        <v>0</v>
      </c>
      <c r="AC10" s="852">
        <f>IF('Input 5_Product Uptake'!$M$9=0,O10*Ratios!$N$36,O10*Ratios!$N$36*Ratios!$Z$36)</f>
        <v>0</v>
      </c>
      <c r="AD10" s="852">
        <f>IF('Input 5_Product Uptake'!$M$9=0,P10*Ratios!$N$36,P10*Ratios!$N$36*Ratios!$Z$36)</f>
        <v>0</v>
      </c>
      <c r="AE10" s="294"/>
      <c r="AF10" s="860">
        <f>Ratios!$P$36*E10</f>
        <v>431.90249321343015</v>
      </c>
      <c r="AG10" s="860">
        <f>Ratios!$P$36*F10</f>
        <v>1251.9705183022213</v>
      </c>
      <c r="AH10" s="860">
        <f>Ratios!$P$36*G10</f>
        <v>1782.2811745263066</v>
      </c>
      <c r="AI10" s="860">
        <f>Ratios!$P$36*H10</f>
        <v>1191.8321964623767</v>
      </c>
      <c r="AJ10" s="860">
        <f>Ratios!$P$36*I10</f>
        <v>639.65305956925727</v>
      </c>
      <c r="AK10" s="860">
        <f>Ratios!$P$36*J10</f>
        <v>169.48072518501687</v>
      </c>
      <c r="AL10" s="860">
        <f>Ratios!$P$36*K10</f>
        <v>0</v>
      </c>
      <c r="AM10" s="860">
        <f>Ratios!$P$36*L10</f>
        <v>0</v>
      </c>
      <c r="AN10" s="860">
        <f>Ratios!$P$36*M10</f>
        <v>0</v>
      </c>
      <c r="AO10" s="860">
        <f>Ratios!$P$36*N10</f>
        <v>0</v>
      </c>
      <c r="AP10" s="860">
        <f>Ratios!$P$36*O10</f>
        <v>0</v>
      </c>
      <c r="AQ10" s="860">
        <f>Ratios!$P$36*P10</f>
        <v>0</v>
      </c>
      <c r="AS10" s="275">
        <f t="shared" si="4"/>
        <v>46.9080641575123</v>
      </c>
      <c r="AT10" s="275">
        <f t="shared" si="1"/>
        <v>135.97400876038373</v>
      </c>
      <c r="AU10" s="275">
        <f t="shared" si="1"/>
        <v>193.56998627024061</v>
      </c>
      <c r="AV10" s="275">
        <f t="shared" si="1"/>
        <v>129.44250615617315</v>
      </c>
      <c r="AW10" s="275">
        <f t="shared" si="1"/>
        <v>69.471436790239721</v>
      </c>
      <c r="AX10" s="275">
        <f t="shared" si="1"/>
        <v>18.406961884593429</v>
      </c>
      <c r="AY10" s="275">
        <f t="shared" si="1"/>
        <v>0</v>
      </c>
      <c r="AZ10" s="275">
        <f t="shared" si="1"/>
        <v>0</v>
      </c>
      <c r="BA10" s="275">
        <f t="shared" si="1"/>
        <v>0</v>
      </c>
      <c r="BB10" s="275">
        <f t="shared" si="1"/>
        <v>0</v>
      </c>
      <c r="BC10" s="275">
        <f t="shared" si="1"/>
        <v>0</v>
      </c>
      <c r="BD10" s="275">
        <f t="shared" si="1"/>
        <v>0</v>
      </c>
      <c r="BE10" s="275"/>
      <c r="BF10" s="557">
        <f>IF($B8=0,1,IF(AND(BF9&gt;0,$B8&lt;='Input 4_RSV Season'!$AG$27-1),BF9+1,0))</f>
        <v>1</v>
      </c>
      <c r="BG10" s="549">
        <f>IF(AND($BF10&gt;0,$BF10&lt;='Input 6_Product Efficacy'!$Q$9/30),SUM($AS8:$BD8),0)</f>
        <v>570.42234183861478</v>
      </c>
      <c r="BH10" s="554">
        <f>IF(AND($BF10&gt;0,$BF10&gt;'Input 6_Product Efficacy'!$Q$9/30),SUM($AS8:$BD8),0)</f>
        <v>0</v>
      </c>
      <c r="BJ10" s="549">
        <f>IF(AND($BF10&gt;0,$BF10&lt;='Input 6_Product Efficacy'!$Q$12/30),SUM($AS8:$BD8),0)</f>
        <v>570.42234183861478</v>
      </c>
      <c r="BK10" s="554">
        <f>IF(AND($BF10&gt;0,$BF10&gt;'Input 6_Product Efficacy'!$Q$12/30),SUM($AS8:$BD8),0)</f>
        <v>0</v>
      </c>
      <c r="BM10" s="275"/>
      <c r="BO10" s="35">
        <f t="shared" si="5"/>
        <v>431.90249321343015</v>
      </c>
      <c r="BP10" s="35">
        <f t="shared" si="2"/>
        <v>1251.9705183022213</v>
      </c>
      <c r="BQ10" s="35">
        <f t="shared" si="2"/>
        <v>1782.2811745263066</v>
      </c>
      <c r="BR10" s="35">
        <f t="shared" si="2"/>
        <v>1191.8321964623767</v>
      </c>
      <c r="BS10" s="35">
        <f t="shared" si="2"/>
        <v>639.65305956925727</v>
      </c>
      <c r="BT10" s="35">
        <f t="shared" si="2"/>
        <v>169.48072518501687</v>
      </c>
      <c r="BU10" s="35">
        <f t="shared" si="2"/>
        <v>0</v>
      </c>
      <c r="BV10" s="35">
        <f t="shared" si="2"/>
        <v>0</v>
      </c>
      <c r="BW10" s="35">
        <f t="shared" si="2"/>
        <v>0</v>
      </c>
      <c r="BX10" s="35">
        <f t="shared" si="2"/>
        <v>0</v>
      </c>
      <c r="BY10" s="35">
        <f t="shared" si="2"/>
        <v>0</v>
      </c>
      <c r="BZ10" s="35">
        <f t="shared" si="2"/>
        <v>0</v>
      </c>
      <c r="CA10" s="35"/>
      <c r="CB10" s="557">
        <f>IF($B8=0,1,IF(AND(CB9&gt;0,$B8&lt;='Input 4_RSV Season'!$AG$27-1),CB9+1,0))</f>
        <v>1</v>
      </c>
      <c r="CC10" s="549">
        <f>IF(AND($CB10&gt;0,$CB10&lt;='Input 6_Product Efficacy'!$Q$12/30),SUM($BO8:$BZ8),0)</f>
        <v>5252.1210595574266</v>
      </c>
      <c r="CD10" s="554">
        <f>IF(AND($CB10&gt;0,$CB10&gt;'Input 6_Product Efficacy'!$Q$12/30),SUM($BO8:$BZ8),0)</f>
        <v>0</v>
      </c>
      <c r="CF10" s="564">
        <f>IF(AND($CB10&gt;0,$CB10&gt;'Input 6_Product Efficacy'!$Q$15/30),SUM($BO8:$BZ8),0)</f>
        <v>0</v>
      </c>
    </row>
    <row r="11" spans="2:85" x14ac:dyDescent="0.3">
      <c r="B11" s="26">
        <v>3</v>
      </c>
      <c r="C11" s="293">
        <f>'Input 2_RSV Rates'!W13*'Input 3_Clinical Severity'!$S$9</f>
        <v>13.5</v>
      </c>
      <c r="E11" s="20">
        <f t="shared" si="3"/>
        <v>7.9648991784914119E-3</v>
      </c>
      <c r="F11" s="20">
        <f t="shared" si="3"/>
        <v>2.3088125466766241E-2</v>
      </c>
      <c r="G11" s="20">
        <f t="shared" si="3"/>
        <v>3.2867811799850634E-2</v>
      </c>
      <c r="H11" s="20">
        <f t="shared" si="3"/>
        <v>2.1979088872292756E-2</v>
      </c>
      <c r="I11" s="20">
        <f t="shared" si="3"/>
        <v>1.1796116504854369E-2</v>
      </c>
      <c r="J11" s="20">
        <f t="shared" si="3"/>
        <v>3.1254667662434653E-3</v>
      </c>
      <c r="K11" s="20">
        <f t="shared" si="3"/>
        <v>0</v>
      </c>
      <c r="L11" s="20">
        <f t="shared" si="3"/>
        <v>0</v>
      </c>
      <c r="M11" s="20">
        <f t="shared" si="3"/>
        <v>0</v>
      </c>
      <c r="N11" s="20">
        <f t="shared" si="3"/>
        <v>0</v>
      </c>
      <c r="O11" s="86">
        <f t="shared" si="3"/>
        <v>0</v>
      </c>
      <c r="P11" s="20">
        <f t="shared" si="3"/>
        <v>0</v>
      </c>
      <c r="S11" s="852">
        <f>IF('Input 5_Product Uptake'!$M$9=0,E11*Ratios!$N$36,E11*Ratios!$N$36*Ratios!$Z$36)</f>
        <v>35.576340793618868</v>
      </c>
      <c r="T11" s="852">
        <f>IF('Input 5_Product Uptake'!$M$9=0,F11*Ratios!$N$36,F11*Ratios!$N$36*Ratios!$Z$36)</f>
        <v>103.12635495871798</v>
      </c>
      <c r="U11" s="852">
        <f>IF('Input 5_Product Uptake'!$M$9=0,G11*Ratios!$N$36,G11*Ratios!$N$36*Ratios!$Z$36)</f>
        <v>146.80869745214875</v>
      </c>
      <c r="V11" s="852">
        <f>IF('Input 5_Product Uptake'!$M$9=0,H11*Ratios!$N$36,H11*Ratios!$N$36*Ratios!$Z$36)</f>
        <v>98.172687253277388</v>
      </c>
      <c r="W11" s="852">
        <f>IF('Input 5_Product Uptake'!$M$9=0,I11*Ratios!$N$36,I11*Ratios!$N$36*Ratios!$Z$36)</f>
        <v>52.68901104877731</v>
      </c>
      <c r="X11" s="852">
        <f>IF('Input 5_Product Uptake'!$M$9=0,J11*Ratios!$N$36,J11*Ratios!$N$36*Ratios!$Z$36)</f>
        <v>13.960336260787152</v>
      </c>
      <c r="Y11" s="852">
        <f>IF('Input 5_Product Uptake'!$M$9=0,K11*Ratios!$N$36,K11*Ratios!$N$36*Ratios!$Z$36)</f>
        <v>0</v>
      </c>
      <c r="Z11" s="852">
        <f>IF('Input 5_Product Uptake'!$M$9=0,L11*Ratios!$N$36,L11*Ratios!$N$36*Ratios!$Z$36)</f>
        <v>0</v>
      </c>
      <c r="AA11" s="852">
        <f>IF('Input 5_Product Uptake'!$M$9=0,M11*Ratios!$N$36,M11*Ratios!$N$36*Ratios!$Z$36)</f>
        <v>0</v>
      </c>
      <c r="AB11" s="852">
        <f>IF('Input 5_Product Uptake'!$M$9=0,N11*Ratios!$N$36,N11*Ratios!$N$36*Ratios!$Z$36)</f>
        <v>0</v>
      </c>
      <c r="AC11" s="852">
        <f>IF('Input 5_Product Uptake'!$M$9=0,O11*Ratios!$N$36,O11*Ratios!$N$36*Ratios!$Z$36)</f>
        <v>0</v>
      </c>
      <c r="AD11" s="852">
        <f>IF('Input 5_Product Uptake'!$M$9=0,P11*Ratios!$N$36,P11*Ratios!$N$36*Ratios!$Z$36)</f>
        <v>0</v>
      </c>
      <c r="AE11" s="294"/>
      <c r="AF11" s="860">
        <f>Ratios!$P$36*E11</f>
        <v>327.56649766187115</v>
      </c>
      <c r="AG11" s="860">
        <f>Ratios!$P$36*F11</f>
        <v>949.52820208314529</v>
      </c>
      <c r="AH11" s="860">
        <f>Ratios!$P$36*G11</f>
        <v>1351.7301042755694</v>
      </c>
      <c r="AI11" s="860">
        <f>Ratios!$P$36*H11</f>
        <v>903.91767709225189</v>
      </c>
      <c r="AJ11" s="860">
        <f>Ratios!$P$36*I11</f>
        <v>485.13012944859395</v>
      </c>
      <c r="AK11" s="860">
        <f>Ratios!$P$36*J11</f>
        <v>128.53875224706334</v>
      </c>
      <c r="AL11" s="860">
        <f>Ratios!$P$36*K11</f>
        <v>0</v>
      </c>
      <c r="AM11" s="860">
        <f>Ratios!$P$36*L11</f>
        <v>0</v>
      </c>
      <c r="AN11" s="860">
        <f>Ratios!$P$36*M11</f>
        <v>0</v>
      </c>
      <c r="AO11" s="860">
        <f>Ratios!$P$36*N11</f>
        <v>0</v>
      </c>
      <c r="AP11" s="860">
        <f>Ratios!$P$36*O11</f>
        <v>0</v>
      </c>
      <c r="AQ11" s="860">
        <f>Ratios!$P$36*P11</f>
        <v>0</v>
      </c>
      <c r="AS11" s="275">
        <f t="shared" si="4"/>
        <v>35.576340793618868</v>
      </c>
      <c r="AT11" s="275">
        <f t="shared" si="1"/>
        <v>103.12635495871798</v>
      </c>
      <c r="AU11" s="275">
        <f t="shared" si="1"/>
        <v>146.80869745214875</v>
      </c>
      <c r="AV11" s="275">
        <f t="shared" si="1"/>
        <v>98.172687253277388</v>
      </c>
      <c r="AW11" s="275">
        <f t="shared" si="1"/>
        <v>52.68901104877731</v>
      </c>
      <c r="AX11" s="275">
        <f t="shared" si="1"/>
        <v>13.960336260787152</v>
      </c>
      <c r="AY11" s="275">
        <f t="shared" si="1"/>
        <v>0</v>
      </c>
      <c r="AZ11" s="275">
        <f t="shared" si="1"/>
        <v>0</v>
      </c>
      <c r="BA11" s="275">
        <f t="shared" si="1"/>
        <v>0</v>
      </c>
      <c r="BB11" s="275">
        <f t="shared" si="1"/>
        <v>0</v>
      </c>
      <c r="BC11" s="275">
        <f t="shared" si="1"/>
        <v>0</v>
      </c>
      <c r="BD11" s="275">
        <f t="shared" si="1"/>
        <v>0</v>
      </c>
      <c r="BE11" s="275"/>
      <c r="BF11" s="557">
        <f>IF($B9=0,1,IF(AND(BF10&gt;0,$B9&lt;='Input 4_RSV Season'!$AG$27-1),BF10+1,0))</f>
        <v>2</v>
      </c>
      <c r="BG11" s="549">
        <f>IF(AND($BF11&gt;0,$BF11&lt;='Input 6_Product Efficacy'!$Q$9/30),SUM($AS9:$BD9),0)</f>
        <v>1027.4273759432358</v>
      </c>
      <c r="BH11" s="554">
        <f>IF(AND($BF11&gt;0,$BF11&gt;'Input 6_Product Efficacy'!$Q$9/30),SUM($AS9:$BD9),0)</f>
        <v>0</v>
      </c>
      <c r="BJ11" s="549">
        <f>IF(AND($BF11&gt;0,$BF11&lt;='Input 6_Product Efficacy'!$Q$12/30),SUM($AS9:$BD9),0)</f>
        <v>1027.4273759432358</v>
      </c>
      <c r="BK11" s="554">
        <f>IF(AND($BF11&gt;0,$BF11&gt;'Input 6_Product Efficacy'!$Q$12/30),SUM($AS9:$BD9),0)</f>
        <v>0</v>
      </c>
      <c r="BM11" s="275"/>
      <c r="BO11" s="35">
        <f t="shared" si="5"/>
        <v>327.56649766187115</v>
      </c>
      <c r="BP11" s="35">
        <f t="shared" si="2"/>
        <v>949.52820208314529</v>
      </c>
      <c r="BQ11" s="35">
        <f t="shared" si="2"/>
        <v>1351.7301042755694</v>
      </c>
      <c r="BR11" s="35">
        <f t="shared" si="2"/>
        <v>903.91767709225189</v>
      </c>
      <c r="BS11" s="35">
        <f t="shared" si="2"/>
        <v>485.13012944859395</v>
      </c>
      <c r="BT11" s="35">
        <f t="shared" si="2"/>
        <v>128.53875224706334</v>
      </c>
      <c r="BU11" s="35">
        <f t="shared" si="2"/>
        <v>0</v>
      </c>
      <c r="BV11" s="35">
        <f t="shared" si="2"/>
        <v>0</v>
      </c>
      <c r="BW11" s="35">
        <f t="shared" si="2"/>
        <v>0</v>
      </c>
      <c r="BX11" s="35">
        <f t="shared" si="2"/>
        <v>0</v>
      </c>
      <c r="BY11" s="35">
        <f t="shared" si="2"/>
        <v>0</v>
      </c>
      <c r="BZ11" s="35">
        <f t="shared" si="2"/>
        <v>0</v>
      </c>
      <c r="CA11" s="35"/>
      <c r="CB11" s="557">
        <f>IF($B9=0,1,IF(AND(CB10&gt;0,$B9&lt;='Input 4_RSV Season'!$AG$27-1),CB10+1,0))</f>
        <v>2</v>
      </c>
      <c r="CC11" s="549">
        <f>IF(AND($CB11&gt;0,$CB11&lt;='Input 6_Product Efficacy'!$Q$12/30),SUM($BO9:$BZ9),0)</f>
        <v>9459.9607388519744</v>
      </c>
      <c r="CD11" s="554">
        <f>IF(AND($CB11&gt;0,$CB11&gt;'Input 6_Product Efficacy'!$Q$12/30),SUM($BO9:$BZ9),0)</f>
        <v>0</v>
      </c>
      <c r="CF11" s="565">
        <f>IF(AND($CB11&gt;0,$CB11&gt;'Input 6_Product Efficacy'!$Q$15/30),SUM($BO9:$BZ9),0)</f>
        <v>0</v>
      </c>
    </row>
    <row r="12" spans="2:85" x14ac:dyDescent="0.3">
      <c r="B12" s="26">
        <v>4</v>
      </c>
      <c r="C12" s="293">
        <f>'Input 2_RSV Rates'!W14*'Input 3_Clinical Severity'!$S$9</f>
        <v>11.8</v>
      </c>
      <c r="E12" s="20">
        <f t="shared" si="3"/>
        <v>6.9619118745332343E-3</v>
      </c>
      <c r="F12" s="20">
        <f t="shared" si="3"/>
        <v>2.0180731889469752E-2</v>
      </c>
      <c r="G12" s="20">
        <f t="shared" si="3"/>
        <v>2.8728902165795371E-2</v>
      </c>
      <c r="H12" s="20">
        <f t="shared" si="3"/>
        <v>1.9211351755041076E-2</v>
      </c>
      <c r="I12" s="20">
        <f t="shared" si="3"/>
        <v>1.0310679611650487E-2</v>
      </c>
      <c r="J12" s="20">
        <f t="shared" si="3"/>
        <v>2.7318894697535476E-3</v>
      </c>
      <c r="K12" s="20">
        <f t="shared" si="3"/>
        <v>0</v>
      </c>
      <c r="L12" s="20">
        <f t="shared" si="3"/>
        <v>0</v>
      </c>
      <c r="M12" s="20">
        <f t="shared" si="3"/>
        <v>0</v>
      </c>
      <c r="N12" s="20">
        <f t="shared" si="3"/>
        <v>0</v>
      </c>
      <c r="O12" s="86">
        <f t="shared" si="3"/>
        <v>0</v>
      </c>
      <c r="P12" s="20">
        <f t="shared" si="3"/>
        <v>0</v>
      </c>
      <c r="Q12" s="38"/>
      <c r="R12" s="38"/>
      <c r="S12" s="852">
        <f>IF('Input 5_Product Uptake'!$M$9=0,E12*Ratios!$N$36,E12*Ratios!$N$36*Ratios!$Z$36)</f>
        <v>31.096357138126123</v>
      </c>
      <c r="T12" s="852">
        <f>IF('Input 5_Product Uptake'!$M$9=0,F12*Ratios!$N$36,F12*Ratios!$N$36*Ratios!$Z$36)</f>
        <v>90.140073223175705</v>
      </c>
      <c r="U12" s="852">
        <f>IF('Input 5_Product Uptake'!$M$9=0,G12*Ratios!$N$36,G12*Ratios!$N$36*Ratios!$Z$36)</f>
        <v>128.3216762915078</v>
      </c>
      <c r="V12" s="852">
        <f>IF('Input 5_Product Uptake'!$M$9=0,H12*Ratios!$N$36,H12*Ratios!$N$36*Ratios!$Z$36)</f>
        <v>85.810200710272099</v>
      </c>
      <c r="W12" s="852">
        <f>IF('Input 5_Product Uptake'!$M$9=0,I12*Ratios!$N$36,I12*Ratios!$N$36*Ratios!$Z$36)</f>
        <v>46.054098546338693</v>
      </c>
      <c r="X12" s="852">
        <f>IF('Input 5_Product Uptake'!$M$9=0,J12*Ratios!$N$36,J12*Ratios!$N$36*Ratios!$Z$36)</f>
        <v>12.20236799091025</v>
      </c>
      <c r="Y12" s="852">
        <f>IF('Input 5_Product Uptake'!$M$9=0,K12*Ratios!$N$36,K12*Ratios!$N$36*Ratios!$Z$36)</f>
        <v>0</v>
      </c>
      <c r="Z12" s="852">
        <f>IF('Input 5_Product Uptake'!$M$9=0,L12*Ratios!$N$36,L12*Ratios!$N$36*Ratios!$Z$36)</f>
        <v>0</v>
      </c>
      <c r="AA12" s="852">
        <f>IF('Input 5_Product Uptake'!$M$9=0,M12*Ratios!$N$36,M12*Ratios!$N$36*Ratios!$Z$36)</f>
        <v>0</v>
      </c>
      <c r="AB12" s="852">
        <f>IF('Input 5_Product Uptake'!$M$9=0,N12*Ratios!$N$36,N12*Ratios!$N$36*Ratios!$Z$36)</f>
        <v>0</v>
      </c>
      <c r="AC12" s="852">
        <f>IF('Input 5_Product Uptake'!$M$9=0,O12*Ratios!$N$36,O12*Ratios!$N$36*Ratios!$Z$36)</f>
        <v>0</v>
      </c>
      <c r="AD12" s="852">
        <f>IF('Input 5_Product Uptake'!$M$9=0,P12*Ratios!$N$36,P12*Ratios!$N$36*Ratios!$Z$36)</f>
        <v>0</v>
      </c>
      <c r="AE12" s="294"/>
      <c r="AF12" s="860">
        <f>Ratios!$P$36*E12</f>
        <v>286.31738314148737</v>
      </c>
      <c r="AG12" s="860">
        <f>Ratios!$P$36*F12</f>
        <v>829.95798404304549</v>
      </c>
      <c r="AH12" s="860">
        <f>Ratios!$P$36*G12</f>
        <v>1181.5122392927199</v>
      </c>
      <c r="AI12" s="860">
        <f>Ratios!$P$36*H12</f>
        <v>790.09100664359801</v>
      </c>
      <c r="AJ12" s="860">
        <f>Ratios!$P$36*I12</f>
        <v>424.03966870321551</v>
      </c>
      <c r="AK12" s="860">
        <f>Ratios!$P$36*J12</f>
        <v>112.35239085298872</v>
      </c>
      <c r="AL12" s="860">
        <f>Ratios!$P$36*K12</f>
        <v>0</v>
      </c>
      <c r="AM12" s="860">
        <f>Ratios!$P$36*L12</f>
        <v>0</v>
      </c>
      <c r="AN12" s="860">
        <f>Ratios!$P$36*M12</f>
        <v>0</v>
      </c>
      <c r="AO12" s="860">
        <f>Ratios!$P$36*N12</f>
        <v>0</v>
      </c>
      <c r="AP12" s="860">
        <f>Ratios!$P$36*O12</f>
        <v>0</v>
      </c>
      <c r="AQ12" s="860">
        <f>Ratios!$P$36*P12</f>
        <v>0</v>
      </c>
      <c r="AS12" s="275">
        <f t="shared" si="4"/>
        <v>31.096357138126123</v>
      </c>
      <c r="AT12" s="275">
        <f t="shared" si="1"/>
        <v>90.140073223175705</v>
      </c>
      <c r="AU12" s="275">
        <f t="shared" si="1"/>
        <v>128.3216762915078</v>
      </c>
      <c r="AV12" s="275">
        <f t="shared" si="1"/>
        <v>85.810200710272099</v>
      </c>
      <c r="AW12" s="275">
        <f t="shared" si="1"/>
        <v>46.054098546338693</v>
      </c>
      <c r="AX12" s="275">
        <f t="shared" si="1"/>
        <v>12.20236799091025</v>
      </c>
      <c r="AY12" s="275">
        <f t="shared" si="1"/>
        <v>0</v>
      </c>
      <c r="AZ12" s="275">
        <f t="shared" si="1"/>
        <v>0</v>
      </c>
      <c r="BA12" s="275">
        <f t="shared" si="1"/>
        <v>0</v>
      </c>
      <c r="BB12" s="275">
        <f t="shared" si="1"/>
        <v>0</v>
      </c>
      <c r="BC12" s="275">
        <f t="shared" si="1"/>
        <v>0</v>
      </c>
      <c r="BD12" s="275">
        <f t="shared" si="1"/>
        <v>0</v>
      </c>
      <c r="BE12" s="275"/>
      <c r="BF12" s="557">
        <f>IF($B10=0,1,IF(AND(BF11&gt;0,$B10&lt;='Input 4_RSV Season'!$AG$27-1),BF11+1,0))</f>
        <v>3</v>
      </c>
      <c r="BG12" s="549">
        <f>IF(AND($BF12&gt;0,$BF12&lt;='Input 6_Product Efficacy'!$Q$9/30),SUM($AS10:$BD10),0)</f>
        <v>593.77296401914305</v>
      </c>
      <c r="BH12" s="554">
        <f>IF(AND($BF12&gt;0,$BF12&gt;'Input 6_Product Efficacy'!$Q$9/30),SUM($AS10:$BD10),0)</f>
        <v>0</v>
      </c>
      <c r="BJ12" s="549">
        <f>IF(AND($BF12&gt;0,$BF12&lt;='Input 6_Product Efficacy'!$Q$12/30),SUM($AS10:$BD10),0)</f>
        <v>593.77296401914305</v>
      </c>
      <c r="BK12" s="554">
        <f>IF(AND($BF12&gt;0,$BF12&gt;'Input 6_Product Efficacy'!$Q$12/30),SUM($AS10:$BD10),0)</f>
        <v>0</v>
      </c>
      <c r="BM12" s="275"/>
      <c r="BO12" s="35">
        <f t="shared" si="5"/>
        <v>286.31738314148737</v>
      </c>
      <c r="BP12" s="35">
        <f t="shared" si="2"/>
        <v>829.95798404304549</v>
      </c>
      <c r="BQ12" s="35">
        <f t="shared" si="2"/>
        <v>1181.5122392927199</v>
      </c>
      <c r="BR12" s="35">
        <f t="shared" si="2"/>
        <v>790.09100664359801</v>
      </c>
      <c r="BS12" s="35">
        <f t="shared" si="2"/>
        <v>424.03966870321551</v>
      </c>
      <c r="BT12" s="35">
        <f t="shared" si="2"/>
        <v>112.35239085298872</v>
      </c>
      <c r="BU12" s="35">
        <f t="shared" si="2"/>
        <v>0</v>
      </c>
      <c r="BV12" s="35">
        <f t="shared" si="2"/>
        <v>0</v>
      </c>
      <c r="BW12" s="35">
        <f t="shared" si="2"/>
        <v>0</v>
      </c>
      <c r="BX12" s="35">
        <f t="shared" si="2"/>
        <v>0</v>
      </c>
      <c r="BY12" s="35">
        <f t="shared" si="2"/>
        <v>0</v>
      </c>
      <c r="BZ12" s="35">
        <f t="shared" si="2"/>
        <v>0</v>
      </c>
      <c r="CA12" s="35"/>
      <c r="CB12" s="557">
        <f>IF($B10=0,1,IF(AND(CB11&gt;0,$B10&lt;='Input 4_RSV Season'!$AG$27-1),CB11+1,0))</f>
        <v>3</v>
      </c>
      <c r="CC12" s="549">
        <f>IF(AND($CB12&gt;0,$CB12&lt;='Input 6_Product Efficacy'!$Q$12/30),SUM($BO10:$BZ10),0)</f>
        <v>5467.1201672586094</v>
      </c>
      <c r="CD12" s="554">
        <f>IF(AND($CB12&gt;0,$CB12&gt;'Input 6_Product Efficacy'!$Q$12/30),SUM($BO10:$BZ10),0)</f>
        <v>0</v>
      </c>
      <c r="CF12" s="565">
        <f>IF(AND($CB12&gt;0,$CB12&gt;'Input 6_Product Efficacy'!$Q$15/30),SUM($BO10:$BZ10),0)</f>
        <v>0</v>
      </c>
    </row>
    <row r="13" spans="2:85" ht="15" thickBot="1" x14ac:dyDescent="0.35">
      <c r="B13" s="804">
        <v>5</v>
      </c>
      <c r="C13" s="806">
        <f>'Input 2_RSV Rates'!W15*'Input 3_Clinical Severity'!$S$9</f>
        <v>7</v>
      </c>
      <c r="E13" s="20">
        <f t="shared" si="3"/>
        <v>4.129947722180732E-3</v>
      </c>
      <c r="F13" s="20">
        <f t="shared" si="3"/>
        <v>1.197162061239731E-2</v>
      </c>
      <c r="G13" s="20">
        <f t="shared" si="3"/>
        <v>1.7042569081404033E-2</v>
      </c>
      <c r="H13" s="20">
        <f t="shared" si="3"/>
        <v>1.1396564600448095E-2</v>
      </c>
      <c r="I13" s="20">
        <f t="shared" si="3"/>
        <v>6.1165048543689324E-3</v>
      </c>
      <c r="J13" s="20">
        <f t="shared" si="3"/>
        <v>1.6206123973114264E-3</v>
      </c>
      <c r="K13" s="20">
        <f t="shared" si="3"/>
        <v>0</v>
      </c>
      <c r="L13" s="20">
        <f t="shared" si="3"/>
        <v>0</v>
      </c>
      <c r="M13" s="20">
        <f t="shared" si="3"/>
        <v>0</v>
      </c>
      <c r="N13" s="20">
        <f t="shared" si="3"/>
        <v>0</v>
      </c>
      <c r="O13" s="86">
        <f t="shared" si="3"/>
        <v>0</v>
      </c>
      <c r="P13" s="20">
        <f t="shared" si="3"/>
        <v>0</v>
      </c>
      <c r="S13" s="852">
        <f>IF('Input 5_Product Uptake'!$M$9=0,E13*Ratios!$N$36,E13*Ratios!$N$36*Ratios!$Z$36)</f>
        <v>18.446991522617193</v>
      </c>
      <c r="T13" s="852">
        <f>IF('Input 5_Product Uptake'!$M$9=0,F13*Ratios!$N$36,F13*Ratios!$N$36*Ratios!$Z$36)</f>
        <v>53.472924793409319</v>
      </c>
      <c r="U13" s="852">
        <f>IF('Input 5_Product Uptake'!$M$9=0,G13*Ratios!$N$36,G13*Ratios!$N$36*Ratios!$Z$36)</f>
        <v>76.123028308521583</v>
      </c>
      <c r="V13" s="852">
        <f>IF('Input 5_Product Uptake'!$M$9=0,H13*Ratios!$N$36,H13*Ratios!$N$36*Ratios!$Z$36)</f>
        <v>50.904356353551243</v>
      </c>
      <c r="W13" s="852">
        <f>IF('Input 5_Product Uptake'!$M$9=0,I13*Ratios!$N$36,I13*Ratios!$N$36*Ratios!$Z$36)</f>
        <v>27.320227951217866</v>
      </c>
      <c r="X13" s="852">
        <f>IF('Input 5_Product Uptake'!$M$9=0,J13*Ratios!$N$36,J13*Ratios!$N$36*Ratios!$Z$36)</f>
        <v>7.2386928759637081</v>
      </c>
      <c r="Y13" s="852">
        <f>IF('Input 5_Product Uptake'!$M$9=0,K13*Ratios!$N$36,K13*Ratios!$N$36*Ratios!$Z$36)</f>
        <v>0</v>
      </c>
      <c r="Z13" s="852">
        <f>IF('Input 5_Product Uptake'!$M$9=0,L13*Ratios!$N$36,L13*Ratios!$N$36*Ratios!$Z$36)</f>
        <v>0</v>
      </c>
      <c r="AA13" s="852">
        <f>IF('Input 5_Product Uptake'!$M$9=0,M13*Ratios!$N$36,M13*Ratios!$N$36*Ratios!$Z$36)</f>
        <v>0</v>
      </c>
      <c r="AB13" s="852">
        <f>IF('Input 5_Product Uptake'!$M$9=0,N13*Ratios!$N$36,N13*Ratios!$N$36*Ratios!$Z$36)</f>
        <v>0</v>
      </c>
      <c r="AC13" s="852">
        <f>IF('Input 5_Product Uptake'!$M$9=0,O13*Ratios!$N$36,O13*Ratios!$N$36*Ratios!$Z$36)</f>
        <v>0</v>
      </c>
      <c r="AD13" s="852">
        <f>IF('Input 5_Product Uptake'!$M$9=0,P13*Ratios!$N$36,P13*Ratios!$N$36*Ratios!$Z$36)</f>
        <v>0</v>
      </c>
      <c r="AE13" s="294"/>
      <c r="AF13" s="860">
        <f>Ratios!$P$36*E13</f>
        <v>169.84929508393319</v>
      </c>
      <c r="AG13" s="860">
        <f>Ratios!$P$36*F13</f>
        <v>492.34795663570497</v>
      </c>
      <c r="AH13" s="860">
        <f>Ratios!$P$36*G13</f>
        <v>700.89709110585079</v>
      </c>
      <c r="AI13" s="860">
        <f>Ratios!$P$36*H13</f>
        <v>468.69805478857506</v>
      </c>
      <c r="AJ13" s="860">
        <f>Ratios!$P$36*I13</f>
        <v>251.54895601038206</v>
      </c>
      <c r="AK13" s="860">
        <f>Ratios!$P$36*J13</f>
        <v>66.64972338736618</v>
      </c>
      <c r="AL13" s="860">
        <f>Ratios!$P$36*K13</f>
        <v>0</v>
      </c>
      <c r="AM13" s="860">
        <f>Ratios!$P$36*L13</f>
        <v>0</v>
      </c>
      <c r="AN13" s="860">
        <f>Ratios!$P$36*M13</f>
        <v>0</v>
      </c>
      <c r="AO13" s="860">
        <f>Ratios!$P$36*N13</f>
        <v>0</v>
      </c>
      <c r="AP13" s="860">
        <f>Ratios!$P$36*O13</f>
        <v>0</v>
      </c>
      <c r="AQ13" s="860">
        <f>Ratios!$P$36*P13</f>
        <v>0</v>
      </c>
      <c r="AS13" s="275">
        <f t="shared" si="4"/>
        <v>18.446991522617193</v>
      </c>
      <c r="AT13" s="275">
        <f t="shared" si="1"/>
        <v>53.472924793409319</v>
      </c>
      <c r="AU13" s="275">
        <f t="shared" si="1"/>
        <v>76.123028308521583</v>
      </c>
      <c r="AV13" s="275">
        <f t="shared" si="1"/>
        <v>50.904356353551243</v>
      </c>
      <c r="AW13" s="275">
        <f t="shared" si="1"/>
        <v>27.320227951217866</v>
      </c>
      <c r="AX13" s="275">
        <f t="shared" si="1"/>
        <v>7.2386928759637081</v>
      </c>
      <c r="AY13" s="275">
        <f t="shared" si="1"/>
        <v>0</v>
      </c>
      <c r="AZ13" s="275">
        <f t="shared" si="1"/>
        <v>0</v>
      </c>
      <c r="BA13" s="275">
        <f t="shared" si="1"/>
        <v>0</v>
      </c>
      <c r="BB13" s="275">
        <f t="shared" si="1"/>
        <v>0</v>
      </c>
      <c r="BC13" s="275">
        <f t="shared" si="1"/>
        <v>0</v>
      </c>
      <c r="BD13" s="275">
        <f t="shared" si="1"/>
        <v>0</v>
      </c>
      <c r="BE13" s="276"/>
      <c r="BF13" s="557">
        <f>IF($B11=0,1,IF(AND(BF12&gt;0,$B11&lt;='Input 4_RSV Season'!$AG$27-1),BF12+1,0))</f>
        <v>4</v>
      </c>
      <c r="BG13" s="549">
        <f>IF(AND($BF13&gt;0,$BF13&lt;='Input 6_Product Efficacy'!$Q$9/30),SUM($AS11:$BD11),0)</f>
        <v>450.33342776732746</v>
      </c>
      <c r="BH13" s="554">
        <f>IF(AND($BF13&gt;0,$BF13&gt;'Input 6_Product Efficacy'!$Q$9/30),SUM($AS11:$BD11),0)</f>
        <v>0</v>
      </c>
      <c r="BJ13" s="549">
        <f>IF(AND($BF13&gt;0,$BF13&lt;='Input 6_Product Efficacy'!$Q$12/30),SUM($AS11:$BD11),0)</f>
        <v>450.33342776732746</v>
      </c>
      <c r="BK13" s="554">
        <f>IF(AND($BF13&gt;0,$BF13&gt;'Input 6_Product Efficacy'!$Q$12/30),SUM($AS11:$BD11),0)</f>
        <v>0</v>
      </c>
      <c r="BM13" s="276"/>
      <c r="BN13" s="13"/>
      <c r="BO13" s="35">
        <f t="shared" si="5"/>
        <v>169.84929508393319</v>
      </c>
      <c r="BP13" s="244">
        <f t="shared" si="2"/>
        <v>492.34795663570497</v>
      </c>
      <c r="BQ13" s="244">
        <f t="shared" si="2"/>
        <v>700.89709110585079</v>
      </c>
      <c r="BR13" s="244">
        <f t="shared" si="2"/>
        <v>468.69805478857506</v>
      </c>
      <c r="BS13" s="244">
        <f t="shared" si="2"/>
        <v>251.54895601038206</v>
      </c>
      <c r="BT13" s="244">
        <f t="shared" si="2"/>
        <v>66.64972338736618</v>
      </c>
      <c r="BU13" s="244">
        <f t="shared" si="2"/>
        <v>0</v>
      </c>
      <c r="BV13" s="244">
        <f t="shared" si="2"/>
        <v>0</v>
      </c>
      <c r="BW13" s="244">
        <f t="shared" si="2"/>
        <v>0</v>
      </c>
      <c r="BX13" s="244">
        <f t="shared" si="2"/>
        <v>0</v>
      </c>
      <c r="BY13" s="244">
        <f t="shared" si="2"/>
        <v>0</v>
      </c>
      <c r="BZ13" s="244">
        <f t="shared" si="2"/>
        <v>0</v>
      </c>
      <c r="CA13" s="35"/>
      <c r="CB13" s="557">
        <f>IF($B11=0,1,IF(AND(CB12&gt;0,$B11&lt;='Input 4_RSV Season'!$AG$27-1),CB12+1,0))</f>
        <v>4</v>
      </c>
      <c r="CC13" s="549">
        <f>IF(AND($CB13&gt;0,$CB13&lt;='Input 6_Product Efficacy'!$Q$12/30),SUM($BO11:$BZ11),0)</f>
        <v>4146.4113628084951</v>
      </c>
      <c r="CD13" s="554">
        <f>IF(AND($CB13&gt;0,$CB13&gt;'Input 6_Product Efficacy'!$Q$12/30),SUM($BO11:$BZ11),0)</f>
        <v>0</v>
      </c>
      <c r="CF13" s="565">
        <f>IF(AND($CB13&gt;0,$CB13&gt;'Input 6_Product Efficacy'!$Q$15/30),SUM($BO11:$BZ11),0)</f>
        <v>4146.4113628084951</v>
      </c>
    </row>
    <row r="14" spans="2:85" ht="15" thickTop="1" x14ac:dyDescent="0.3">
      <c r="B14" s="26">
        <v>6</v>
      </c>
      <c r="C14" s="293">
        <f>'Input 2_RSV Rates'!W16*'Input 3_Clinical Severity'!$S$11</f>
        <v>6.2</v>
      </c>
      <c r="E14" s="20">
        <f t="shared" si="3"/>
        <v>3.6579536967886483E-3</v>
      </c>
      <c r="F14" s="20">
        <f t="shared" si="3"/>
        <v>1.0603435399551903E-2</v>
      </c>
      <c r="G14" s="20">
        <f t="shared" si="3"/>
        <v>1.5094846900672143E-2</v>
      </c>
      <c r="H14" s="20">
        <f t="shared" si="3"/>
        <v>1.0094100074682599E-2</v>
      </c>
      <c r="I14" s="20">
        <f t="shared" si="3"/>
        <v>5.4174757281553396E-3</v>
      </c>
      <c r="J14" s="20">
        <f t="shared" si="3"/>
        <v>1.4353995519044063E-3</v>
      </c>
      <c r="K14" s="20">
        <f t="shared" si="3"/>
        <v>0</v>
      </c>
      <c r="L14" s="20">
        <f t="shared" si="3"/>
        <v>0</v>
      </c>
      <c r="M14" s="20">
        <f t="shared" si="3"/>
        <v>0</v>
      </c>
      <c r="N14" s="20">
        <f t="shared" si="3"/>
        <v>0</v>
      </c>
      <c r="O14" s="86">
        <f t="shared" si="3"/>
        <v>0</v>
      </c>
      <c r="P14" s="20">
        <f t="shared" si="3"/>
        <v>0</v>
      </c>
      <c r="S14" s="852">
        <f>IF('Input 5_Product Uptake'!$M$9=0,E14*Ratios!$N$36,E14*Ratios!$N$36*Ratios!$Z$36)</f>
        <v>16.33876392003237</v>
      </c>
      <c r="T14" s="852">
        <f>IF('Input 5_Product Uptake'!$M$9=0,F14*Ratios!$N$36,F14*Ratios!$N$36*Ratios!$Z$36)</f>
        <v>47.361733388448258</v>
      </c>
      <c r="U14" s="852">
        <f>IF('Input 5_Product Uptake'!$M$9=0,G14*Ratios!$N$36,G14*Ratios!$N$36*Ratios!$Z$36)</f>
        <v>67.423253644690533</v>
      </c>
      <c r="V14" s="852">
        <f>IF('Input 5_Product Uptake'!$M$9=0,H14*Ratios!$N$36,H14*Ratios!$N$36*Ratios!$Z$36)</f>
        <v>45.086715627431097</v>
      </c>
      <c r="W14" s="852">
        <f>IF('Input 5_Product Uptake'!$M$9=0,I14*Ratios!$N$36,I14*Ratios!$N$36*Ratios!$Z$36)</f>
        <v>24.197916185364395</v>
      </c>
      <c r="X14" s="852">
        <f>IF('Input 5_Product Uptake'!$M$9=0,J14*Ratios!$N$36,J14*Ratios!$N$36*Ratios!$Z$36)</f>
        <v>6.411413690139284</v>
      </c>
      <c r="Y14" s="852">
        <f>IF('Input 5_Product Uptake'!$M$9=0,K14*Ratios!$N$36,K14*Ratios!$N$36*Ratios!$Z$36)</f>
        <v>0</v>
      </c>
      <c r="Z14" s="852">
        <f>IF('Input 5_Product Uptake'!$M$9=0,L14*Ratios!$N$36,L14*Ratios!$N$36*Ratios!$Z$36)</f>
        <v>0</v>
      </c>
      <c r="AA14" s="852">
        <f>IF('Input 5_Product Uptake'!$M$9=0,M14*Ratios!$N$36,M14*Ratios!$N$36*Ratios!$Z$36)</f>
        <v>0</v>
      </c>
      <c r="AB14" s="852">
        <f>IF('Input 5_Product Uptake'!$M$9=0,N14*Ratios!$N$36,N14*Ratios!$N$36*Ratios!$Z$36)</f>
        <v>0</v>
      </c>
      <c r="AC14" s="852">
        <f>IF('Input 5_Product Uptake'!$M$9=0,O14*Ratios!$N$36,O14*Ratios!$N$36*Ratios!$Z$36)</f>
        <v>0</v>
      </c>
      <c r="AD14" s="852">
        <f>IF('Input 5_Product Uptake'!$M$9=0,P14*Ratios!$N$36,P14*Ratios!$N$36*Ratios!$Z$36)</f>
        <v>0</v>
      </c>
      <c r="AE14" s="294"/>
      <c r="AF14" s="860">
        <f>Ratios!$P$36*E14</f>
        <v>150.4379470743408</v>
      </c>
      <c r="AG14" s="860">
        <f>Ratios!$P$36*F14</f>
        <v>436.07961873448153</v>
      </c>
      <c r="AH14" s="860">
        <f>Ratios!$P$36*G14</f>
        <v>620.79456640803926</v>
      </c>
      <c r="AI14" s="860">
        <f>Ratios!$P$36*H14</f>
        <v>415.13256281273789</v>
      </c>
      <c r="AJ14" s="860">
        <f>Ratios!$P$36*I14</f>
        <v>222.80050389490978</v>
      </c>
      <c r="AK14" s="860">
        <f>Ratios!$P$36*J14</f>
        <v>59.032612143095761</v>
      </c>
      <c r="AL14" s="860">
        <f>Ratios!$P$36*K14</f>
        <v>0</v>
      </c>
      <c r="AM14" s="860">
        <f>Ratios!$P$36*L14</f>
        <v>0</v>
      </c>
      <c r="AN14" s="860">
        <f>Ratios!$P$36*M14</f>
        <v>0</v>
      </c>
      <c r="AO14" s="860">
        <f>Ratios!$P$36*N14</f>
        <v>0</v>
      </c>
      <c r="AP14" s="860">
        <f>Ratios!$P$36*O14</f>
        <v>0</v>
      </c>
      <c r="AQ14" s="860">
        <f>Ratios!$P$36*P14</f>
        <v>0</v>
      </c>
      <c r="AS14" s="275">
        <f t="shared" si="4"/>
        <v>16.33876392003237</v>
      </c>
      <c r="AT14" s="275">
        <f t="shared" si="1"/>
        <v>47.361733388448258</v>
      </c>
      <c r="AU14" s="275">
        <f t="shared" si="1"/>
        <v>67.423253644690533</v>
      </c>
      <c r="AV14" s="275">
        <f t="shared" si="1"/>
        <v>45.086715627431097</v>
      </c>
      <c r="AW14" s="275">
        <f t="shared" si="1"/>
        <v>24.197916185364395</v>
      </c>
      <c r="AX14" s="275">
        <f t="shared" si="1"/>
        <v>6.411413690139284</v>
      </c>
      <c r="AY14" s="275">
        <f t="shared" si="1"/>
        <v>0</v>
      </c>
      <c r="AZ14" s="275">
        <f t="shared" si="1"/>
        <v>0</v>
      </c>
      <c r="BA14" s="275">
        <f t="shared" si="1"/>
        <v>0</v>
      </c>
      <c r="BB14" s="275">
        <f t="shared" si="1"/>
        <v>0</v>
      </c>
      <c r="BC14" s="275">
        <f t="shared" si="1"/>
        <v>0</v>
      </c>
      <c r="BD14" s="275">
        <f t="shared" si="1"/>
        <v>0</v>
      </c>
      <c r="BE14" s="276"/>
      <c r="BF14" s="557">
        <f>IF($B12=0,1,IF(AND(BF13&gt;0,$B12&lt;='Input 4_RSV Season'!$AG$27-1),BF13+1,0))</f>
        <v>5</v>
      </c>
      <c r="BG14" s="549">
        <f>IF(AND($BF14&gt;0,$BF14&lt;='Input 6_Product Efficacy'!$Q$9/30),SUM($AS12:$BD12),0)</f>
        <v>393.62477390033069</v>
      </c>
      <c r="BH14" s="554">
        <f>IF(AND($BF14&gt;0,$BF14&gt;'Input 6_Product Efficacy'!$Q$9/30),SUM($AS12:$BD12),0)</f>
        <v>0</v>
      </c>
      <c r="BJ14" s="549">
        <f>IF(AND($BF14&gt;0,$BF14&lt;='Input 6_Product Efficacy'!$Q$12/30),SUM($AS12:$BD12),0)</f>
        <v>393.62477390033069</v>
      </c>
      <c r="BK14" s="554">
        <f>IF(AND($BF14&gt;0,$BF14&gt;'Input 6_Product Efficacy'!$Q$12/30),SUM($AS12:$BD12),0)</f>
        <v>0</v>
      </c>
      <c r="BM14" s="276"/>
      <c r="BN14" s="13"/>
      <c r="BO14" s="35">
        <f t="shared" si="5"/>
        <v>150.4379470743408</v>
      </c>
      <c r="BP14" s="244">
        <f t="shared" si="2"/>
        <v>436.07961873448153</v>
      </c>
      <c r="BQ14" s="244">
        <f t="shared" si="2"/>
        <v>620.79456640803926</v>
      </c>
      <c r="BR14" s="244">
        <f t="shared" si="2"/>
        <v>415.13256281273789</v>
      </c>
      <c r="BS14" s="244">
        <f t="shared" si="2"/>
        <v>222.80050389490978</v>
      </c>
      <c r="BT14" s="244">
        <f t="shared" si="2"/>
        <v>59.032612143095761</v>
      </c>
      <c r="BU14" s="244">
        <f t="shared" si="2"/>
        <v>0</v>
      </c>
      <c r="BV14" s="244">
        <f t="shared" si="2"/>
        <v>0</v>
      </c>
      <c r="BW14" s="244">
        <f t="shared" si="2"/>
        <v>0</v>
      </c>
      <c r="BX14" s="244">
        <f t="shared" si="2"/>
        <v>0</v>
      </c>
      <c r="BY14" s="244">
        <f t="shared" si="2"/>
        <v>0</v>
      </c>
      <c r="BZ14" s="244">
        <f t="shared" si="2"/>
        <v>0</v>
      </c>
      <c r="CA14" s="244"/>
      <c r="CB14" s="557">
        <f>IF($B12=0,1,IF(AND(CB13&gt;0,$B12&lt;='Input 4_RSV Season'!$AG$27-1),CB13+1,0))</f>
        <v>5</v>
      </c>
      <c r="CC14" s="549">
        <f>IF(AND($CB14&gt;0,$CB14&lt;='Input 6_Product Efficacy'!$Q$12/30),SUM($BO12:$BZ12),0)</f>
        <v>3624.2706726770548</v>
      </c>
      <c r="CD14" s="554">
        <f>IF(AND($CB14&gt;0,$CB14&gt;'Input 6_Product Efficacy'!$Q$12/30),SUM($BO12:$BZ12),0)</f>
        <v>0</v>
      </c>
      <c r="CF14" s="565">
        <f>IF(AND($CB14&gt;0,$CB14&gt;'Input 6_Product Efficacy'!$Q$15/30),SUM($BO12:$BZ12),0)</f>
        <v>3624.2706726770548</v>
      </c>
    </row>
    <row r="15" spans="2:85" x14ac:dyDescent="0.3">
      <c r="B15" s="26">
        <v>7</v>
      </c>
      <c r="C15" s="293">
        <f>'Input 2_RSV Rates'!W17*'Input 3_Clinical Severity'!$S$11</f>
        <v>8</v>
      </c>
      <c r="E15" s="20">
        <f t="shared" si="3"/>
        <v>4.7199402539208363E-3</v>
      </c>
      <c r="F15" s="20">
        <f t="shared" si="3"/>
        <v>1.368185212845407E-2</v>
      </c>
      <c r="G15" s="20">
        <f t="shared" si="3"/>
        <v>1.9477221807318895E-2</v>
      </c>
      <c r="H15" s="20">
        <f t="shared" si="3"/>
        <v>1.3024645257654966E-2</v>
      </c>
      <c r="I15" s="20">
        <f t="shared" si="3"/>
        <v>6.9902912621359224E-3</v>
      </c>
      <c r="J15" s="20">
        <f t="shared" si="3"/>
        <v>1.8521284540702016E-3</v>
      </c>
      <c r="K15" s="20">
        <f t="shared" si="3"/>
        <v>0</v>
      </c>
      <c r="L15" s="20">
        <f t="shared" si="3"/>
        <v>0</v>
      </c>
      <c r="M15" s="20">
        <f t="shared" si="3"/>
        <v>0</v>
      </c>
      <c r="N15" s="20">
        <f t="shared" si="3"/>
        <v>0</v>
      </c>
      <c r="O15" s="86">
        <f t="shared" si="3"/>
        <v>0</v>
      </c>
      <c r="P15" s="20">
        <f t="shared" si="3"/>
        <v>0</v>
      </c>
      <c r="S15" s="852">
        <f>IF('Input 5_Product Uptake'!$M$9=0,E15*Ratios!$N$36,E15*Ratios!$N$36*Ratios!$Z$36)</f>
        <v>21.082276025848216</v>
      </c>
      <c r="T15" s="852">
        <f>IF('Input 5_Product Uptake'!$M$9=0,F15*Ratios!$N$36,F15*Ratios!$N$36*Ratios!$Z$36)</f>
        <v>61.111914049610661</v>
      </c>
      <c r="U15" s="852">
        <f>IF('Input 5_Product Uptake'!$M$9=0,G15*Ratios!$N$36,G15*Ratios!$N$36*Ratios!$Z$36)</f>
        <v>86.997746638310375</v>
      </c>
      <c r="V15" s="852">
        <f>IF('Input 5_Product Uptake'!$M$9=0,H15*Ratios!$N$36,H15*Ratios!$N$36*Ratios!$Z$36)</f>
        <v>58.176407261201419</v>
      </c>
      <c r="W15" s="852">
        <f>IF('Input 5_Product Uptake'!$M$9=0,I15*Ratios!$N$36,I15*Ratios!$N$36*Ratios!$Z$36)</f>
        <v>31.223117658534708</v>
      </c>
      <c r="X15" s="852">
        <f>IF('Input 5_Product Uptake'!$M$9=0,J15*Ratios!$N$36,J15*Ratios!$N$36*Ratios!$Z$36)</f>
        <v>8.2727918582442364</v>
      </c>
      <c r="Y15" s="852">
        <f>IF('Input 5_Product Uptake'!$M$9=0,K15*Ratios!$N$36,K15*Ratios!$N$36*Ratios!$Z$36)</f>
        <v>0</v>
      </c>
      <c r="Z15" s="852">
        <f>IF('Input 5_Product Uptake'!$M$9=0,L15*Ratios!$N$36,L15*Ratios!$N$36*Ratios!$Z$36)</f>
        <v>0</v>
      </c>
      <c r="AA15" s="852">
        <f>IF('Input 5_Product Uptake'!$M$9=0,M15*Ratios!$N$36,M15*Ratios!$N$36*Ratios!$Z$36)</f>
        <v>0</v>
      </c>
      <c r="AB15" s="852">
        <f>IF('Input 5_Product Uptake'!$M$9=0,N15*Ratios!$N$36,N15*Ratios!$N$36*Ratios!$Z$36)</f>
        <v>0</v>
      </c>
      <c r="AC15" s="852">
        <f>IF('Input 5_Product Uptake'!$M$9=0,O15*Ratios!$N$36,O15*Ratios!$N$36*Ratios!$Z$36)</f>
        <v>0</v>
      </c>
      <c r="AD15" s="852">
        <f>IF('Input 5_Product Uptake'!$M$9=0,P15*Ratios!$N$36,P15*Ratios!$N$36*Ratios!$Z$36)</f>
        <v>0</v>
      </c>
      <c r="AE15" s="294"/>
      <c r="AF15" s="860">
        <f>Ratios!$P$36*E15</f>
        <v>194.11348009592362</v>
      </c>
      <c r="AG15" s="860">
        <f>Ratios!$P$36*F15</f>
        <v>562.68337901223424</v>
      </c>
      <c r="AH15" s="860">
        <f>Ratios!$P$36*G15</f>
        <v>801.02524697811521</v>
      </c>
      <c r="AI15" s="860">
        <f>Ratios!$P$36*H15</f>
        <v>535.65491975837153</v>
      </c>
      <c r="AJ15" s="860">
        <f>Ratios!$P$36*I15</f>
        <v>287.4845211547223</v>
      </c>
      <c r="AK15" s="860">
        <f>Ratios!$P$36*J15</f>
        <v>76.171112442704199</v>
      </c>
      <c r="AL15" s="860">
        <f>Ratios!$P$36*K15</f>
        <v>0</v>
      </c>
      <c r="AM15" s="860">
        <f>Ratios!$P$36*L15</f>
        <v>0</v>
      </c>
      <c r="AN15" s="860">
        <f>Ratios!$P$36*M15</f>
        <v>0</v>
      </c>
      <c r="AO15" s="860">
        <f>Ratios!$P$36*N15</f>
        <v>0</v>
      </c>
      <c r="AP15" s="860">
        <f>Ratios!$P$36*O15</f>
        <v>0</v>
      </c>
      <c r="AQ15" s="860">
        <f>Ratios!$P$36*P15</f>
        <v>0</v>
      </c>
      <c r="AS15" s="275">
        <f t="shared" si="4"/>
        <v>21.082276025848216</v>
      </c>
      <c r="AT15" s="275">
        <f t="shared" si="1"/>
        <v>61.111914049610661</v>
      </c>
      <c r="AU15" s="275">
        <f t="shared" si="1"/>
        <v>86.997746638310375</v>
      </c>
      <c r="AV15" s="275">
        <f t="shared" si="1"/>
        <v>58.176407261201419</v>
      </c>
      <c r="AW15" s="275">
        <f t="shared" si="1"/>
        <v>31.223117658534708</v>
      </c>
      <c r="AX15" s="275">
        <f t="shared" si="1"/>
        <v>8.2727918582442364</v>
      </c>
      <c r="AY15" s="275">
        <f t="shared" si="1"/>
        <v>0</v>
      </c>
      <c r="AZ15" s="275">
        <f t="shared" si="1"/>
        <v>0</v>
      </c>
      <c r="BA15" s="275">
        <f t="shared" si="1"/>
        <v>0</v>
      </c>
      <c r="BB15" s="275">
        <f t="shared" si="1"/>
        <v>0</v>
      </c>
      <c r="BC15" s="275">
        <f t="shared" si="1"/>
        <v>0</v>
      </c>
      <c r="BD15" s="275">
        <f t="shared" si="1"/>
        <v>0</v>
      </c>
      <c r="BE15" s="276"/>
      <c r="BF15" s="557">
        <f>IF($B13=0,1,IF(AND(BF14&gt;0,$B13&lt;='Input 4_RSV Season'!$AG$27-1),BF14+1,0))</f>
        <v>6</v>
      </c>
      <c r="BG15" s="549">
        <f>IF(AND($BF15&gt;0,$BF15&lt;='Input 6_Product Efficacy'!$Q$9/30),SUM($AS13:$BD13),0)</f>
        <v>0</v>
      </c>
      <c r="BH15" s="554">
        <f>IF(AND($BF15&gt;0,$BF15&gt;'Input 6_Product Efficacy'!$Q$9/30),SUM($AS13:$BD13),0)</f>
        <v>233.50622180528094</v>
      </c>
      <c r="BJ15" s="549">
        <f>IF(AND($BF15&gt;0,$BF15&lt;='Input 6_Product Efficacy'!$Q$12/30),SUM($AS13:$BD13),0)</f>
        <v>0</v>
      </c>
      <c r="BK15" s="554">
        <f>IF(AND($BF15&gt;0,$BF15&gt;'Input 6_Product Efficacy'!$Q$12/30),SUM($AS13:$BD13),0)</f>
        <v>233.50622180528094</v>
      </c>
      <c r="BM15" s="276"/>
      <c r="BN15" s="13"/>
      <c r="BO15" s="35">
        <f t="shared" si="5"/>
        <v>194.11348009592362</v>
      </c>
      <c r="BP15" s="244">
        <f t="shared" si="2"/>
        <v>562.68337901223424</v>
      </c>
      <c r="BQ15" s="244">
        <f t="shared" si="2"/>
        <v>801.02524697811521</v>
      </c>
      <c r="BR15" s="244">
        <f t="shared" si="2"/>
        <v>535.65491975837153</v>
      </c>
      <c r="BS15" s="244">
        <f t="shared" si="2"/>
        <v>287.4845211547223</v>
      </c>
      <c r="BT15" s="244">
        <f t="shared" si="2"/>
        <v>76.171112442704199</v>
      </c>
      <c r="BU15" s="244">
        <f t="shared" si="2"/>
        <v>0</v>
      </c>
      <c r="BV15" s="244">
        <f t="shared" si="2"/>
        <v>0</v>
      </c>
      <c r="BW15" s="244">
        <f t="shared" si="2"/>
        <v>0</v>
      </c>
      <c r="BX15" s="244">
        <f t="shared" si="2"/>
        <v>0</v>
      </c>
      <c r="BY15" s="244">
        <f t="shared" si="2"/>
        <v>0</v>
      </c>
      <c r="BZ15" s="244">
        <f t="shared" si="2"/>
        <v>0</v>
      </c>
      <c r="CA15" s="35"/>
      <c r="CB15" s="557">
        <f>IF($B13=0,1,IF(AND(CB14&gt;0,$B13&lt;='Input 4_RSV Season'!$AG$27-1),CB14+1,0))</f>
        <v>6</v>
      </c>
      <c r="CC15" s="549">
        <f>IF(AND($CB15&gt;0,$CB15&lt;='Input 6_Product Efficacy'!$Q$12/30),SUM($BO13:$BZ13),0)</f>
        <v>0</v>
      </c>
      <c r="CD15" s="554">
        <f>IF(AND($CB15&gt;0,$CB15&gt;'Input 6_Product Efficacy'!$Q$12/30),SUM($BO13:$BZ13),0)</f>
        <v>2149.9910770118122</v>
      </c>
      <c r="CF15" s="565">
        <f>IF(AND($CB15&gt;0,$CB15&gt;'Input 6_Product Efficacy'!$Q$15/30),SUM($BO13:$BZ13),0)</f>
        <v>2149.9910770118122</v>
      </c>
    </row>
    <row r="16" spans="2:85" x14ac:dyDescent="0.3">
      <c r="B16" s="26">
        <v>8</v>
      </c>
      <c r="C16" s="293">
        <f>'Input 2_RSV Rates'!W18*'Input 3_Clinical Severity'!$S$11</f>
        <v>5.2</v>
      </c>
      <c r="E16" s="20">
        <f t="shared" si="3"/>
        <v>3.0679611650485435E-3</v>
      </c>
      <c r="F16" s="20">
        <f t="shared" si="3"/>
        <v>8.8932038834951439E-3</v>
      </c>
      <c r="G16" s="20">
        <f t="shared" si="3"/>
        <v>1.2660194174757281E-2</v>
      </c>
      <c r="H16" s="20">
        <f t="shared" si="3"/>
        <v>8.4660194174757276E-3</v>
      </c>
      <c r="I16" s="20">
        <f t="shared" si="3"/>
        <v>4.5436893203883496E-3</v>
      </c>
      <c r="J16" s="20">
        <f t="shared" si="3"/>
        <v>1.2038834951456309E-3</v>
      </c>
      <c r="K16" s="20">
        <f t="shared" si="3"/>
        <v>0</v>
      </c>
      <c r="L16" s="20">
        <f t="shared" si="3"/>
        <v>0</v>
      </c>
      <c r="M16" s="20">
        <f t="shared" si="3"/>
        <v>0</v>
      </c>
      <c r="N16" s="20">
        <f t="shared" si="3"/>
        <v>0</v>
      </c>
      <c r="O16" s="86">
        <f t="shared" si="3"/>
        <v>0</v>
      </c>
      <c r="P16" s="20">
        <f t="shared" si="3"/>
        <v>0</v>
      </c>
      <c r="S16" s="852">
        <f>IF('Input 5_Product Uptake'!$M$9=0,E16*Ratios!$N$36,E16*Ratios!$N$36*Ratios!$Z$36)</f>
        <v>13.703479416801342</v>
      </c>
      <c r="T16" s="852">
        <f>IF('Input 5_Product Uptake'!$M$9=0,F16*Ratios!$N$36,F16*Ratios!$N$36*Ratios!$Z$36)</f>
        <v>39.722744132246916</v>
      </c>
      <c r="U16" s="852">
        <f>IF('Input 5_Product Uptake'!$M$9=0,G16*Ratios!$N$36,G16*Ratios!$N$36*Ratios!$Z$36)</f>
        <v>56.548535314901741</v>
      </c>
      <c r="V16" s="852">
        <f>IF('Input 5_Product Uptake'!$M$9=0,H16*Ratios!$N$36,H16*Ratios!$N$36*Ratios!$Z$36)</f>
        <v>37.814664719780914</v>
      </c>
      <c r="W16" s="852">
        <f>IF('Input 5_Product Uptake'!$M$9=0,I16*Ratios!$N$36,I16*Ratios!$N$36*Ratios!$Z$36)</f>
        <v>20.295026478047557</v>
      </c>
      <c r="X16" s="852">
        <f>IF('Input 5_Product Uptake'!$M$9=0,J16*Ratios!$N$36,J16*Ratios!$N$36*Ratios!$Z$36)</f>
        <v>5.377314707858754</v>
      </c>
      <c r="Y16" s="852">
        <f>IF('Input 5_Product Uptake'!$M$9=0,K16*Ratios!$N$36,K16*Ratios!$N$36*Ratios!$Z$36)</f>
        <v>0</v>
      </c>
      <c r="Z16" s="852">
        <f>IF('Input 5_Product Uptake'!$M$9=0,L16*Ratios!$N$36,L16*Ratios!$N$36*Ratios!$Z$36)</f>
        <v>0</v>
      </c>
      <c r="AA16" s="852">
        <f>IF('Input 5_Product Uptake'!$M$9=0,M16*Ratios!$N$36,M16*Ratios!$N$36*Ratios!$Z$36)</f>
        <v>0</v>
      </c>
      <c r="AB16" s="852">
        <f>IF('Input 5_Product Uptake'!$M$9=0,N16*Ratios!$N$36,N16*Ratios!$N$36*Ratios!$Z$36)</f>
        <v>0</v>
      </c>
      <c r="AC16" s="852">
        <f>IF('Input 5_Product Uptake'!$M$9=0,O16*Ratios!$N$36,O16*Ratios!$N$36*Ratios!$Z$36)</f>
        <v>0</v>
      </c>
      <c r="AD16" s="852">
        <f>IF('Input 5_Product Uptake'!$M$9=0,P16*Ratios!$N$36,P16*Ratios!$N$36*Ratios!$Z$36)</f>
        <v>0</v>
      </c>
      <c r="AE16" s="294"/>
      <c r="AF16" s="860">
        <f>Ratios!$P$36*E16</f>
        <v>126.17376206235035</v>
      </c>
      <c r="AG16" s="860">
        <f>Ratios!$P$36*F16</f>
        <v>365.74419635795221</v>
      </c>
      <c r="AH16" s="860">
        <f>Ratios!$P$36*G16</f>
        <v>520.66641053577484</v>
      </c>
      <c r="AI16" s="860">
        <f>Ratios!$P$36*H16</f>
        <v>348.17569784294147</v>
      </c>
      <c r="AJ16" s="860">
        <f>Ratios!$P$36*I16</f>
        <v>186.86493875056951</v>
      </c>
      <c r="AK16" s="860">
        <f>Ratios!$P$36*J16</f>
        <v>49.511223087757728</v>
      </c>
      <c r="AL16" s="860">
        <f>Ratios!$P$36*K16</f>
        <v>0</v>
      </c>
      <c r="AM16" s="860">
        <f>Ratios!$P$36*L16</f>
        <v>0</v>
      </c>
      <c r="AN16" s="860">
        <f>Ratios!$P$36*M16</f>
        <v>0</v>
      </c>
      <c r="AO16" s="860">
        <f>Ratios!$P$36*N16</f>
        <v>0</v>
      </c>
      <c r="AP16" s="860">
        <f>Ratios!$P$36*O16</f>
        <v>0</v>
      </c>
      <c r="AQ16" s="860">
        <f>Ratios!$P$36*P16</f>
        <v>0</v>
      </c>
      <c r="AS16" s="275">
        <f t="shared" si="4"/>
        <v>13.703479416801342</v>
      </c>
      <c r="AT16" s="275">
        <f t="shared" si="1"/>
        <v>39.722744132246916</v>
      </c>
      <c r="AU16" s="275">
        <f t="shared" si="1"/>
        <v>56.548535314901741</v>
      </c>
      <c r="AV16" s="275">
        <f t="shared" si="1"/>
        <v>37.814664719780914</v>
      </c>
      <c r="AW16" s="275">
        <f t="shared" si="1"/>
        <v>20.295026478047557</v>
      </c>
      <c r="AX16" s="275">
        <f t="shared" si="1"/>
        <v>5.377314707858754</v>
      </c>
      <c r="AY16" s="275">
        <f t="shared" si="1"/>
        <v>0</v>
      </c>
      <c r="AZ16" s="275">
        <f t="shared" si="1"/>
        <v>0</v>
      </c>
      <c r="BA16" s="275">
        <f t="shared" si="1"/>
        <v>0</v>
      </c>
      <c r="BB16" s="275">
        <f t="shared" si="1"/>
        <v>0</v>
      </c>
      <c r="BC16" s="275">
        <f t="shared" si="1"/>
        <v>0</v>
      </c>
      <c r="BD16" s="275">
        <f t="shared" si="1"/>
        <v>0</v>
      </c>
      <c r="BE16" s="276"/>
      <c r="BF16" s="557">
        <f>IF($B14=0,1,IF(AND(BF15&gt;0,$B14&lt;='Input 4_RSV Season'!$AG$27-1),BF15+1,0))</f>
        <v>0</v>
      </c>
      <c r="BG16" s="549">
        <f>IF(AND($BF16&gt;0,$BF16&lt;='Input 6_Product Efficacy'!$Q$9/30),SUM($AS14:$BD14),0)</f>
        <v>0</v>
      </c>
      <c r="BH16" s="554">
        <f>IF(AND($BF16&gt;0,$BF16&gt;'Input 6_Product Efficacy'!$Q$9/30),SUM($AS14:$BD14),0)</f>
        <v>0</v>
      </c>
      <c r="BJ16" s="549">
        <f>IF(AND($BF16&gt;0,$BF16&lt;='Input 6_Product Efficacy'!$Q$12/30),SUM($AS14:$BD14),0)</f>
        <v>0</v>
      </c>
      <c r="BK16" s="554">
        <f>IF(AND($BF16&gt;0,$BF16&gt;'Input 6_Product Efficacy'!$Q$12/30),SUM($AS14:$BD14),0)</f>
        <v>0</v>
      </c>
      <c r="BM16" s="276"/>
      <c r="BN16" s="13"/>
      <c r="BO16" s="35">
        <f t="shared" si="5"/>
        <v>126.17376206235035</v>
      </c>
      <c r="BP16" s="244">
        <f t="shared" si="2"/>
        <v>365.74419635795221</v>
      </c>
      <c r="BQ16" s="244">
        <f t="shared" si="2"/>
        <v>520.66641053577484</v>
      </c>
      <c r="BR16" s="244">
        <f t="shared" si="2"/>
        <v>348.17569784294147</v>
      </c>
      <c r="BS16" s="244">
        <f t="shared" si="2"/>
        <v>186.86493875056951</v>
      </c>
      <c r="BT16" s="244">
        <f t="shared" si="2"/>
        <v>49.511223087757728</v>
      </c>
      <c r="BU16" s="244">
        <f t="shared" si="2"/>
        <v>0</v>
      </c>
      <c r="BV16" s="244">
        <f t="shared" si="2"/>
        <v>0</v>
      </c>
      <c r="BW16" s="244">
        <f t="shared" si="2"/>
        <v>0</v>
      </c>
      <c r="BX16" s="244">
        <f t="shared" si="2"/>
        <v>0</v>
      </c>
      <c r="BY16" s="244">
        <f t="shared" si="2"/>
        <v>0</v>
      </c>
      <c r="BZ16" s="244">
        <f t="shared" si="2"/>
        <v>0</v>
      </c>
      <c r="CA16" s="35"/>
      <c r="CB16" s="557">
        <f>IF($B14=0,1,IF(AND(CB15&gt;0,$B14&lt;='Input 4_RSV Season'!$AG$27-1),CB15+1,0))</f>
        <v>0</v>
      </c>
      <c r="CC16" s="549">
        <f>IF(AND($CB16&gt;0,$CB16&lt;='Input 6_Product Efficacy'!$Q$12/30),SUM($BO14:$BZ14),0)</f>
        <v>0</v>
      </c>
      <c r="CD16" s="554">
        <f>IF(AND($CB16&gt;0,$CB16&gt;'Input 6_Product Efficacy'!$Q$12/30),SUM($BO14:$BZ14),0)</f>
        <v>0</v>
      </c>
      <c r="CF16" s="565">
        <f>IF(AND($CB16&gt;0,$CB16&gt;'Input 6_Product Efficacy'!$Q$15/30),SUM($BO14:$BZ14),0)</f>
        <v>0</v>
      </c>
    </row>
    <row r="17" spans="2:85" x14ac:dyDescent="0.3">
      <c r="B17" s="26">
        <v>9</v>
      </c>
      <c r="C17" s="293">
        <f>'Input 2_RSV Rates'!W19*'Input 3_Clinical Severity'!$S$11</f>
        <v>6</v>
      </c>
      <c r="E17" s="20">
        <f t="shared" si="3"/>
        <v>3.5399551904406273E-3</v>
      </c>
      <c r="F17" s="20">
        <f t="shared" si="3"/>
        <v>1.0261389096340551E-2</v>
      </c>
      <c r="G17" s="20">
        <f t="shared" si="3"/>
        <v>1.4607916355489171E-2</v>
      </c>
      <c r="H17" s="20">
        <f t="shared" si="3"/>
        <v>9.7684839432412244E-3</v>
      </c>
      <c r="I17" s="20">
        <f t="shared" si="3"/>
        <v>5.2427184466019416E-3</v>
      </c>
      <c r="J17" s="20">
        <f t="shared" si="3"/>
        <v>1.3890963405526512E-3</v>
      </c>
      <c r="K17" s="20">
        <f t="shared" si="3"/>
        <v>0</v>
      </c>
      <c r="L17" s="20">
        <f t="shared" si="3"/>
        <v>0</v>
      </c>
      <c r="M17" s="20">
        <f t="shared" si="3"/>
        <v>0</v>
      </c>
      <c r="N17" s="20">
        <f t="shared" si="3"/>
        <v>0</v>
      </c>
      <c r="O17" s="86">
        <f t="shared" si="3"/>
        <v>0</v>
      </c>
      <c r="P17" s="20">
        <f t="shared" si="3"/>
        <v>0</v>
      </c>
      <c r="S17" s="852">
        <f>IF('Input 5_Product Uptake'!$M$9=0,E17*Ratios!$N$36,E17*Ratios!$N$36*Ratios!$Z$36)</f>
        <v>15.811707019386164</v>
      </c>
      <c r="T17" s="852">
        <f>IF('Input 5_Product Uptake'!$M$9=0,F17*Ratios!$N$36,F17*Ratios!$N$36*Ratios!$Z$36)</f>
        <v>45.833935537207985</v>
      </c>
      <c r="U17" s="852">
        <f>IF('Input 5_Product Uptake'!$M$9=0,G17*Ratios!$N$36,G17*Ratios!$N$36*Ratios!$Z$36)</f>
        <v>65.248309978732777</v>
      </c>
      <c r="V17" s="852">
        <f>IF('Input 5_Product Uptake'!$M$9=0,H17*Ratios!$N$36,H17*Ratios!$N$36*Ratios!$Z$36)</f>
        <v>43.632305445901061</v>
      </c>
      <c r="W17" s="852">
        <f>IF('Input 5_Product Uptake'!$M$9=0,I17*Ratios!$N$36,I17*Ratios!$N$36*Ratios!$Z$36)</f>
        <v>23.417338243901028</v>
      </c>
      <c r="X17" s="852">
        <f>IF('Input 5_Product Uptake'!$M$9=0,J17*Ratios!$N$36,J17*Ratios!$N$36*Ratios!$Z$36)</f>
        <v>6.204593893683179</v>
      </c>
      <c r="Y17" s="852">
        <f>IF('Input 5_Product Uptake'!$M$9=0,K17*Ratios!$N$36,K17*Ratios!$N$36*Ratios!$Z$36)</f>
        <v>0</v>
      </c>
      <c r="Z17" s="852">
        <f>IF('Input 5_Product Uptake'!$M$9=0,L17*Ratios!$N$36,L17*Ratios!$N$36*Ratios!$Z$36)</f>
        <v>0</v>
      </c>
      <c r="AA17" s="852">
        <f>IF('Input 5_Product Uptake'!$M$9=0,M17*Ratios!$N$36,M17*Ratios!$N$36*Ratios!$Z$36)</f>
        <v>0</v>
      </c>
      <c r="AB17" s="852">
        <f>IF('Input 5_Product Uptake'!$M$9=0,N17*Ratios!$N$36,N17*Ratios!$N$36*Ratios!$Z$36)</f>
        <v>0</v>
      </c>
      <c r="AC17" s="852">
        <f>IF('Input 5_Product Uptake'!$M$9=0,O17*Ratios!$N$36,O17*Ratios!$N$36*Ratios!$Z$36)</f>
        <v>0</v>
      </c>
      <c r="AD17" s="852">
        <f>IF('Input 5_Product Uptake'!$M$9=0,P17*Ratios!$N$36,P17*Ratios!$N$36*Ratios!$Z$36)</f>
        <v>0</v>
      </c>
      <c r="AE17" s="294"/>
      <c r="AF17" s="860">
        <f>Ratios!$P$36*E17</f>
        <v>145.58511007194272</v>
      </c>
      <c r="AG17" s="860">
        <f>Ratios!$P$36*F17</f>
        <v>422.01253425917565</v>
      </c>
      <c r="AH17" s="860">
        <f>Ratios!$P$36*G17</f>
        <v>600.76893523358638</v>
      </c>
      <c r="AI17" s="860">
        <f>Ratios!$P$36*H17</f>
        <v>401.74118981877859</v>
      </c>
      <c r="AJ17" s="860">
        <f>Ratios!$P$36*I17</f>
        <v>215.61339086604173</v>
      </c>
      <c r="AK17" s="860">
        <f>Ratios!$P$36*J17</f>
        <v>57.128334332028153</v>
      </c>
      <c r="AL17" s="860">
        <f>Ratios!$P$36*K17</f>
        <v>0</v>
      </c>
      <c r="AM17" s="860">
        <f>Ratios!$P$36*L17</f>
        <v>0</v>
      </c>
      <c r="AN17" s="860">
        <f>Ratios!$P$36*M17</f>
        <v>0</v>
      </c>
      <c r="AO17" s="860">
        <f>Ratios!$P$36*N17</f>
        <v>0</v>
      </c>
      <c r="AP17" s="860">
        <f>Ratios!$P$36*O17</f>
        <v>0</v>
      </c>
      <c r="AQ17" s="860">
        <f>Ratios!$P$36*P17</f>
        <v>0</v>
      </c>
      <c r="AS17" s="275">
        <f t="shared" si="4"/>
        <v>15.811707019386164</v>
      </c>
      <c r="AT17" s="275">
        <f t="shared" si="1"/>
        <v>45.833935537207985</v>
      </c>
      <c r="AU17" s="275">
        <f t="shared" si="1"/>
        <v>65.248309978732777</v>
      </c>
      <c r="AV17" s="275">
        <f t="shared" si="1"/>
        <v>43.632305445901061</v>
      </c>
      <c r="AW17" s="275">
        <f t="shared" si="1"/>
        <v>23.417338243901028</v>
      </c>
      <c r="AX17" s="275">
        <f t="shared" si="1"/>
        <v>6.204593893683179</v>
      </c>
      <c r="AY17" s="275">
        <f t="shared" si="1"/>
        <v>0</v>
      </c>
      <c r="AZ17" s="275">
        <f t="shared" si="1"/>
        <v>0</v>
      </c>
      <c r="BA17" s="275">
        <f t="shared" si="1"/>
        <v>0</v>
      </c>
      <c r="BB17" s="275">
        <f t="shared" si="1"/>
        <v>0</v>
      </c>
      <c r="BC17" s="275">
        <f t="shared" si="1"/>
        <v>0</v>
      </c>
      <c r="BD17" s="275">
        <f t="shared" si="1"/>
        <v>0</v>
      </c>
      <c r="BE17" s="276"/>
      <c r="BF17" s="557">
        <f>IF($B15=0,1,IF(AND(BF16&gt;0,$B15&lt;='Input 4_RSV Season'!$AG$27-1),BF16+1,0))</f>
        <v>0</v>
      </c>
      <c r="BG17" s="549">
        <f>IF(AND($BF17&gt;0,$BF17&lt;='Input 6_Product Efficacy'!$Q$9/30),SUM($AS15:$BD15),0)</f>
        <v>0</v>
      </c>
      <c r="BH17" s="554">
        <f>IF(AND($BF17&gt;0,$BF17&gt;'Input 6_Product Efficacy'!$Q$9/30),SUM($AS15:$BD15),0)</f>
        <v>0</v>
      </c>
      <c r="BJ17" s="549">
        <f>IF(AND($BF17&gt;0,$BF17&lt;='Input 6_Product Efficacy'!$Q$12/30),SUM($AS15:$BD15),0)</f>
        <v>0</v>
      </c>
      <c r="BK17" s="554">
        <f>IF(AND($BF17&gt;0,$BF17&gt;'Input 6_Product Efficacy'!$Q$12/30),SUM($AS15:$BD15),0)</f>
        <v>0</v>
      </c>
      <c r="BM17" s="276"/>
      <c r="BN17" s="13"/>
      <c r="BO17" s="35">
        <f t="shared" si="5"/>
        <v>145.58511007194272</v>
      </c>
      <c r="BP17" s="244">
        <f t="shared" si="2"/>
        <v>422.01253425917565</v>
      </c>
      <c r="BQ17" s="244">
        <f t="shared" si="2"/>
        <v>600.76893523358638</v>
      </c>
      <c r="BR17" s="244">
        <f t="shared" si="2"/>
        <v>401.74118981877859</v>
      </c>
      <c r="BS17" s="244">
        <f t="shared" si="2"/>
        <v>215.61339086604173</v>
      </c>
      <c r="BT17" s="244">
        <f t="shared" si="2"/>
        <v>57.128334332028153</v>
      </c>
      <c r="BU17" s="244">
        <f t="shared" si="2"/>
        <v>0</v>
      </c>
      <c r="BV17" s="244">
        <f t="shared" si="2"/>
        <v>0</v>
      </c>
      <c r="BW17" s="244">
        <f t="shared" si="2"/>
        <v>0</v>
      </c>
      <c r="BX17" s="244">
        <f t="shared" si="2"/>
        <v>0</v>
      </c>
      <c r="BY17" s="244">
        <f t="shared" si="2"/>
        <v>0</v>
      </c>
      <c r="BZ17" s="244">
        <f t="shared" si="2"/>
        <v>0</v>
      </c>
      <c r="CA17" s="35"/>
      <c r="CB17" s="557">
        <f>IF($B15=0,1,IF(AND(CB16&gt;0,$B15&lt;='Input 4_RSV Season'!$AG$27-1),CB16+1,0))</f>
        <v>0</v>
      </c>
      <c r="CC17" s="549">
        <f>IF(AND($CB17&gt;0,$CB17&lt;='Input 6_Product Efficacy'!$Q$12/30),SUM($BO15:$BZ15),0)</f>
        <v>0</v>
      </c>
      <c r="CD17" s="554">
        <f>IF(AND($CB17&gt;0,$CB17&gt;'Input 6_Product Efficacy'!$Q$12/30),SUM($BO15:$BZ15),0)</f>
        <v>0</v>
      </c>
      <c r="CF17" s="565">
        <f>IF(AND($CB17&gt;0,$CB17&gt;'Input 6_Product Efficacy'!$Q$15/30),SUM($BO15:$BZ15),0)</f>
        <v>0</v>
      </c>
    </row>
    <row r="18" spans="2:85" x14ac:dyDescent="0.3">
      <c r="B18" s="26">
        <v>10</v>
      </c>
      <c r="C18" s="293">
        <f>'Input 2_RSV Rates'!W20*'Input 3_Clinical Severity'!$S$11</f>
        <v>5.7</v>
      </c>
      <c r="E18" s="20">
        <f t="shared" si="3"/>
        <v>3.3629574309185957E-3</v>
      </c>
      <c r="F18" s="20">
        <f t="shared" si="3"/>
        <v>9.7483196415235236E-3</v>
      </c>
      <c r="G18" s="20">
        <f t="shared" si="3"/>
        <v>1.3877520537714712E-2</v>
      </c>
      <c r="H18" s="20">
        <f t="shared" si="3"/>
        <v>9.2800597460791622E-3</v>
      </c>
      <c r="I18" s="20">
        <f t="shared" si="3"/>
        <v>4.9805825242718446E-3</v>
      </c>
      <c r="J18" s="20">
        <f t="shared" si="3"/>
        <v>1.3196415235250186E-3</v>
      </c>
      <c r="K18" s="20">
        <f t="shared" si="3"/>
        <v>0</v>
      </c>
      <c r="L18" s="20">
        <f t="shared" si="3"/>
        <v>0</v>
      </c>
      <c r="M18" s="20">
        <f t="shared" si="3"/>
        <v>0</v>
      </c>
      <c r="N18" s="20">
        <f t="shared" si="3"/>
        <v>0</v>
      </c>
      <c r="O18" s="86">
        <f t="shared" si="3"/>
        <v>0</v>
      </c>
      <c r="P18" s="20">
        <f t="shared" si="3"/>
        <v>0</v>
      </c>
      <c r="S18" s="852">
        <f>IF('Input 5_Product Uptake'!$M$9=0,E18*Ratios!$N$36,E18*Ratios!$N$36*Ratios!$Z$36)</f>
        <v>15.021121668416853</v>
      </c>
      <c r="T18" s="852">
        <f>IF('Input 5_Product Uptake'!$M$9=0,F18*Ratios!$N$36,F18*Ratios!$N$36*Ratios!$Z$36)</f>
        <v>43.542238760347587</v>
      </c>
      <c r="U18" s="852">
        <f>IF('Input 5_Product Uptake'!$M$9=0,G18*Ratios!$N$36,G18*Ratios!$N$36*Ratios!$Z$36)</f>
        <v>61.985894479796137</v>
      </c>
      <c r="V18" s="852">
        <f>IF('Input 5_Product Uptake'!$M$9=0,H18*Ratios!$N$36,H18*Ratios!$N$36*Ratios!$Z$36)</f>
        <v>41.450690173606006</v>
      </c>
      <c r="W18" s="852">
        <f>IF('Input 5_Product Uptake'!$M$9=0,I18*Ratios!$N$36,I18*Ratios!$N$36*Ratios!$Z$36)</f>
        <v>22.24647133170598</v>
      </c>
      <c r="X18" s="852">
        <f>IF('Input 5_Product Uptake'!$M$9=0,J18*Ratios!$N$36,J18*Ratios!$N$36*Ratios!$Z$36)</f>
        <v>5.8943641989990194</v>
      </c>
      <c r="Y18" s="852">
        <f>IF('Input 5_Product Uptake'!$M$9=0,K18*Ratios!$N$36,K18*Ratios!$N$36*Ratios!$Z$36)</f>
        <v>0</v>
      </c>
      <c r="Z18" s="852">
        <f>IF('Input 5_Product Uptake'!$M$9=0,L18*Ratios!$N$36,L18*Ratios!$N$36*Ratios!$Z$36)</f>
        <v>0</v>
      </c>
      <c r="AA18" s="852">
        <f>IF('Input 5_Product Uptake'!$M$9=0,M18*Ratios!$N$36,M18*Ratios!$N$36*Ratios!$Z$36)</f>
        <v>0</v>
      </c>
      <c r="AB18" s="852">
        <f>IF('Input 5_Product Uptake'!$M$9=0,N18*Ratios!$N$36,N18*Ratios!$N$36*Ratios!$Z$36)</f>
        <v>0</v>
      </c>
      <c r="AC18" s="852">
        <f>IF('Input 5_Product Uptake'!$M$9=0,O18*Ratios!$N$36,O18*Ratios!$N$36*Ratios!$Z$36)</f>
        <v>0</v>
      </c>
      <c r="AD18" s="852">
        <f>IF('Input 5_Product Uptake'!$M$9=0,P18*Ratios!$N$36,P18*Ratios!$N$36*Ratios!$Z$36)</f>
        <v>0</v>
      </c>
      <c r="AE18" s="294"/>
      <c r="AF18" s="860">
        <f>Ratios!$P$36*E18</f>
        <v>138.30585456834558</v>
      </c>
      <c r="AG18" s="860">
        <f>Ratios!$P$36*F18</f>
        <v>400.91190754621687</v>
      </c>
      <c r="AH18" s="860">
        <f>Ratios!$P$36*G18</f>
        <v>570.73048847190705</v>
      </c>
      <c r="AI18" s="860">
        <f>Ratios!$P$36*H18</f>
        <v>381.65413032783965</v>
      </c>
      <c r="AJ18" s="860">
        <f>Ratios!$P$36*I18</f>
        <v>204.83272132273964</v>
      </c>
      <c r="AK18" s="860">
        <f>Ratios!$P$36*J18</f>
        <v>54.271917615426744</v>
      </c>
      <c r="AL18" s="860">
        <f>Ratios!$P$36*K18</f>
        <v>0</v>
      </c>
      <c r="AM18" s="860">
        <f>Ratios!$P$36*L18</f>
        <v>0</v>
      </c>
      <c r="AN18" s="860">
        <f>Ratios!$P$36*M18</f>
        <v>0</v>
      </c>
      <c r="AO18" s="860">
        <f>Ratios!$P$36*N18</f>
        <v>0</v>
      </c>
      <c r="AP18" s="860">
        <f>Ratios!$P$36*O18</f>
        <v>0</v>
      </c>
      <c r="AQ18" s="860">
        <f>Ratios!$P$36*P18</f>
        <v>0</v>
      </c>
      <c r="AS18" s="276">
        <f t="shared" si="4"/>
        <v>15.021121668416853</v>
      </c>
      <c r="AT18" s="276">
        <f t="shared" si="1"/>
        <v>43.542238760347587</v>
      </c>
      <c r="AU18" s="276">
        <f t="shared" si="1"/>
        <v>61.985894479796137</v>
      </c>
      <c r="AV18" s="276">
        <f t="shared" si="1"/>
        <v>41.450690173606006</v>
      </c>
      <c r="AW18" s="276">
        <f t="shared" si="1"/>
        <v>22.24647133170598</v>
      </c>
      <c r="AX18" s="276">
        <f t="shared" si="1"/>
        <v>5.8943641989990194</v>
      </c>
      <c r="AY18" s="276">
        <f t="shared" si="1"/>
        <v>0</v>
      </c>
      <c r="AZ18" s="276">
        <f t="shared" si="1"/>
        <v>0</v>
      </c>
      <c r="BA18" s="276">
        <f t="shared" si="1"/>
        <v>0</v>
      </c>
      <c r="BB18" s="276">
        <f t="shared" si="1"/>
        <v>0</v>
      </c>
      <c r="BC18" s="276">
        <f t="shared" si="1"/>
        <v>0</v>
      </c>
      <c r="BD18" s="276">
        <f t="shared" si="1"/>
        <v>0</v>
      </c>
      <c r="BE18" s="276"/>
      <c r="BF18" s="557">
        <f>IF($B16=0,1,IF(AND(BF17&gt;0,$B16&lt;='Input 4_RSV Season'!$AG$27-1),BF17+1,0))</f>
        <v>0</v>
      </c>
      <c r="BG18" s="549">
        <f>IF(AND($BF18&gt;0,$BF18&lt;='Input 6_Product Efficacy'!$Q$9/30),SUM($AS16:$BD16),0)</f>
        <v>0</v>
      </c>
      <c r="BH18" s="554">
        <f>IF(AND($BF18&gt;0,$BF18&gt;'Input 6_Product Efficacy'!$Q$9/30),SUM($AS16:$BD16),0)</f>
        <v>0</v>
      </c>
      <c r="BJ18" s="549">
        <f>IF(AND($BF18&gt;0,$BF18&lt;='Input 6_Product Efficacy'!$Q$12/30),SUM($AS16:$BD16),0)</f>
        <v>0</v>
      </c>
      <c r="BK18" s="554">
        <f>IF(AND($BF18&gt;0,$BF18&gt;'Input 6_Product Efficacy'!$Q$12/30),SUM($AS16:$BD16),0)</f>
        <v>0</v>
      </c>
      <c r="BM18" s="276"/>
      <c r="BN18" s="13"/>
      <c r="BO18" s="35">
        <f t="shared" si="5"/>
        <v>138.30585456834558</v>
      </c>
      <c r="BP18" s="244">
        <f t="shared" si="2"/>
        <v>400.91190754621687</v>
      </c>
      <c r="BQ18" s="244">
        <f t="shared" si="2"/>
        <v>570.73048847190705</v>
      </c>
      <c r="BR18" s="244">
        <f t="shared" si="2"/>
        <v>381.65413032783965</v>
      </c>
      <c r="BS18" s="244">
        <f t="shared" si="2"/>
        <v>204.83272132273964</v>
      </c>
      <c r="BT18" s="244">
        <f t="shared" si="2"/>
        <v>54.271917615426744</v>
      </c>
      <c r="BU18" s="244">
        <f t="shared" si="2"/>
        <v>0</v>
      </c>
      <c r="BV18" s="244">
        <f t="shared" si="2"/>
        <v>0</v>
      </c>
      <c r="BW18" s="244">
        <f t="shared" si="2"/>
        <v>0</v>
      </c>
      <c r="BX18" s="244">
        <f t="shared" si="2"/>
        <v>0</v>
      </c>
      <c r="BY18" s="244">
        <f t="shared" si="2"/>
        <v>0</v>
      </c>
      <c r="BZ18" s="244">
        <f t="shared" si="2"/>
        <v>0</v>
      </c>
      <c r="CA18" s="35"/>
      <c r="CB18" s="557">
        <f>IF($B16=0,1,IF(AND(CB17&gt;0,$B16&lt;='Input 4_RSV Season'!$AG$27-1),CB17+1,0))</f>
        <v>0</v>
      </c>
      <c r="CC18" s="549">
        <f>IF(AND($CB18&gt;0,$CB18&lt;='Input 6_Product Efficacy'!$Q$12/30),SUM($BO16:$BZ16),0)</f>
        <v>0</v>
      </c>
      <c r="CD18" s="554">
        <f>IF(AND($CB18&gt;0,$CB18&gt;'Input 6_Product Efficacy'!$Q$12/30),SUM($BO16:$BZ16),0)</f>
        <v>0</v>
      </c>
      <c r="CF18" s="565">
        <f>IF(AND($CB18&gt;0,$CB18&gt;'Input 6_Product Efficacy'!$Q$15/30),SUM($BO16:$BZ16),0)</f>
        <v>0</v>
      </c>
    </row>
    <row r="19" spans="2:85" x14ac:dyDescent="0.3">
      <c r="B19" s="26">
        <v>11</v>
      </c>
      <c r="C19" s="293">
        <f>'Input 2_RSV Rates'!W21*'Input 3_Clinical Severity'!$S$11</f>
        <v>4.8</v>
      </c>
      <c r="E19" s="20">
        <f t="shared" si="3"/>
        <v>2.8319641523525019E-3</v>
      </c>
      <c r="F19" s="20">
        <f t="shared" si="3"/>
        <v>8.2091112770724412E-3</v>
      </c>
      <c r="G19" s="20">
        <f t="shared" si="3"/>
        <v>1.1686333084391336E-2</v>
      </c>
      <c r="H19" s="20">
        <f t="shared" si="3"/>
        <v>7.8147871545929792E-3</v>
      </c>
      <c r="I19" s="20">
        <f t="shared" si="3"/>
        <v>4.1941747572815536E-3</v>
      </c>
      <c r="J19" s="20">
        <f t="shared" si="3"/>
        <v>1.111277072442121E-3</v>
      </c>
      <c r="K19" s="20">
        <f t="shared" si="3"/>
        <v>0</v>
      </c>
      <c r="L19" s="20">
        <f t="shared" si="3"/>
        <v>0</v>
      </c>
      <c r="M19" s="20">
        <f t="shared" si="3"/>
        <v>0</v>
      </c>
      <c r="N19" s="20">
        <f t="shared" si="3"/>
        <v>0</v>
      </c>
      <c r="O19" s="86">
        <f t="shared" si="3"/>
        <v>0</v>
      </c>
      <c r="P19" s="20">
        <f t="shared" si="3"/>
        <v>0</v>
      </c>
      <c r="S19" s="852">
        <f>IF('Input 5_Product Uptake'!$M$9=0,E19*Ratios!$N$36,E19*Ratios!$N$36*Ratios!$Z$36)</f>
        <v>12.649365615508932</v>
      </c>
      <c r="T19" s="852">
        <f>IF('Input 5_Product Uptake'!$M$9=0,F19*Ratios!$N$36,F19*Ratios!$N$36*Ratios!$Z$36)</f>
        <v>36.667148429766392</v>
      </c>
      <c r="U19" s="852">
        <f>IF('Input 5_Product Uptake'!$M$9=0,G19*Ratios!$N$36,G19*Ratios!$N$36*Ratios!$Z$36)</f>
        <v>52.198647982986216</v>
      </c>
      <c r="V19" s="852">
        <f>IF('Input 5_Product Uptake'!$M$9=0,H19*Ratios!$N$36,H19*Ratios!$N$36*Ratios!$Z$36)</f>
        <v>34.905844356720841</v>
      </c>
      <c r="W19" s="852">
        <f>IF('Input 5_Product Uptake'!$M$9=0,I19*Ratios!$N$36,I19*Ratios!$N$36*Ratios!$Z$36)</f>
        <v>18.733870595120823</v>
      </c>
      <c r="X19" s="852">
        <f>IF('Input 5_Product Uptake'!$M$9=0,J19*Ratios!$N$36,J19*Ratios!$N$36*Ratios!$Z$36)</f>
        <v>4.9636751149465423</v>
      </c>
      <c r="Y19" s="852">
        <f>IF('Input 5_Product Uptake'!$M$9=0,K19*Ratios!$N$36,K19*Ratios!$N$36*Ratios!$Z$36)</f>
        <v>0</v>
      </c>
      <c r="Z19" s="852">
        <f>IF('Input 5_Product Uptake'!$M$9=0,L19*Ratios!$N$36,L19*Ratios!$N$36*Ratios!$Z$36)</f>
        <v>0</v>
      </c>
      <c r="AA19" s="852">
        <f>IF('Input 5_Product Uptake'!$M$9=0,M19*Ratios!$N$36,M19*Ratios!$N$36*Ratios!$Z$36)</f>
        <v>0</v>
      </c>
      <c r="AB19" s="852">
        <f>IF('Input 5_Product Uptake'!$M$9=0,N19*Ratios!$N$36,N19*Ratios!$N$36*Ratios!$Z$36)</f>
        <v>0</v>
      </c>
      <c r="AC19" s="852">
        <f>IF('Input 5_Product Uptake'!$M$9=0,O19*Ratios!$N$36,O19*Ratios!$N$36*Ratios!$Z$36)</f>
        <v>0</v>
      </c>
      <c r="AD19" s="852">
        <f>IF('Input 5_Product Uptake'!$M$9=0,P19*Ratios!$N$36,P19*Ratios!$N$36*Ratios!$Z$36)</f>
        <v>0</v>
      </c>
      <c r="AE19" s="294"/>
      <c r="AF19" s="860">
        <f>Ratios!$P$36*E19</f>
        <v>116.46808805755417</v>
      </c>
      <c r="AG19" s="860">
        <f>Ratios!$P$36*F19</f>
        <v>337.61002740734057</v>
      </c>
      <c r="AH19" s="860">
        <f>Ratios!$P$36*G19</f>
        <v>480.61514818686908</v>
      </c>
      <c r="AI19" s="860">
        <f>Ratios!$P$36*H19</f>
        <v>321.39295185502289</v>
      </c>
      <c r="AJ19" s="860">
        <f>Ratios!$P$36*I19</f>
        <v>172.4907126928334</v>
      </c>
      <c r="AK19" s="860">
        <f>Ratios!$P$36*J19</f>
        <v>45.702667465622525</v>
      </c>
      <c r="AL19" s="860">
        <f>Ratios!$P$36*K19</f>
        <v>0</v>
      </c>
      <c r="AM19" s="860">
        <f>Ratios!$P$36*L19</f>
        <v>0</v>
      </c>
      <c r="AN19" s="860">
        <f>Ratios!$P$36*M19</f>
        <v>0</v>
      </c>
      <c r="AO19" s="860">
        <f>Ratios!$P$36*N19</f>
        <v>0</v>
      </c>
      <c r="AP19" s="860">
        <f>Ratios!$P$36*O19</f>
        <v>0</v>
      </c>
      <c r="AQ19" s="860">
        <f>Ratios!$P$36*P19</f>
        <v>0</v>
      </c>
      <c r="AS19" s="280">
        <f t="shared" si="4"/>
        <v>12.649365615508932</v>
      </c>
      <c r="AT19" s="280">
        <f t="shared" si="1"/>
        <v>36.667148429766392</v>
      </c>
      <c r="AU19" s="280">
        <f t="shared" si="1"/>
        <v>52.198647982986216</v>
      </c>
      <c r="AV19" s="280">
        <f t="shared" si="1"/>
        <v>34.905844356720841</v>
      </c>
      <c r="AW19" s="280">
        <f t="shared" si="1"/>
        <v>18.733870595120823</v>
      </c>
      <c r="AX19" s="280">
        <f t="shared" si="1"/>
        <v>4.9636751149465423</v>
      </c>
      <c r="AY19" s="280">
        <f t="shared" si="1"/>
        <v>0</v>
      </c>
      <c r="AZ19" s="280">
        <f t="shared" si="1"/>
        <v>0</v>
      </c>
      <c r="BA19" s="280">
        <f t="shared" si="1"/>
        <v>0</v>
      </c>
      <c r="BB19" s="280">
        <f t="shared" si="1"/>
        <v>0</v>
      </c>
      <c r="BC19" s="280">
        <f t="shared" si="1"/>
        <v>0</v>
      </c>
      <c r="BD19" s="280">
        <f t="shared" si="1"/>
        <v>0</v>
      </c>
      <c r="BE19" s="280"/>
      <c r="BF19" s="557">
        <f>IF($B17=0,1,IF(AND(BF18&gt;0,$B17&lt;='Input 4_RSV Season'!$AG$27-1),BF18+1,0))</f>
        <v>0</v>
      </c>
      <c r="BG19" s="549">
        <f>IF(AND($BF19&gt;0,$BF19&lt;='Input 6_Product Efficacy'!$Q$9/30),SUM($AS17:$BD17),0)</f>
        <v>0</v>
      </c>
      <c r="BH19" s="554">
        <f>IF(AND($BF19&gt;0,$BF19&gt;'Input 6_Product Efficacy'!$Q$9/30),SUM($AS17:$BD17),0)</f>
        <v>0</v>
      </c>
      <c r="BJ19" s="549">
        <f>IF(AND($BF19&gt;0,$BF19&lt;='Input 6_Product Efficacy'!$Q$12/30),SUM($AS17:$BD17),0)</f>
        <v>0</v>
      </c>
      <c r="BK19" s="554">
        <f>IF(AND($BF19&gt;0,$BF19&gt;'Input 6_Product Efficacy'!$Q$12/30),SUM($AS17:$BD17),0)</f>
        <v>0</v>
      </c>
      <c r="BM19" s="280"/>
      <c r="BN19" s="10"/>
      <c r="BO19" s="35">
        <f t="shared" si="5"/>
        <v>116.46808805755417</v>
      </c>
      <c r="BP19" s="46">
        <f t="shared" si="2"/>
        <v>337.61002740734057</v>
      </c>
      <c r="BQ19" s="46">
        <f t="shared" si="2"/>
        <v>480.61514818686908</v>
      </c>
      <c r="BR19" s="46">
        <f t="shared" si="2"/>
        <v>321.39295185502289</v>
      </c>
      <c r="BS19" s="46">
        <f t="shared" si="2"/>
        <v>172.4907126928334</v>
      </c>
      <c r="BT19" s="46">
        <f t="shared" si="2"/>
        <v>45.702667465622525</v>
      </c>
      <c r="BU19" s="46">
        <f t="shared" si="2"/>
        <v>0</v>
      </c>
      <c r="BV19" s="46">
        <f t="shared" si="2"/>
        <v>0</v>
      </c>
      <c r="BW19" s="46">
        <f t="shared" si="2"/>
        <v>0</v>
      </c>
      <c r="BX19" s="46">
        <f t="shared" si="2"/>
        <v>0</v>
      </c>
      <c r="BY19" s="46">
        <f t="shared" si="2"/>
        <v>0</v>
      </c>
      <c r="BZ19" s="46">
        <f t="shared" si="2"/>
        <v>0</v>
      </c>
      <c r="CA19" s="46"/>
      <c r="CB19" s="557">
        <f>IF($B17=0,1,IF(AND(CB18&gt;0,$B17&lt;='Input 4_RSV Season'!$AG$27-1),CB18+1,0))</f>
        <v>0</v>
      </c>
      <c r="CC19" s="549">
        <f>IF(AND($CB19&gt;0,$CB19&lt;='Input 6_Product Efficacy'!$Q$12/30),SUM($BO17:$BZ17),0)</f>
        <v>0</v>
      </c>
      <c r="CD19" s="554">
        <f>IF(AND($CB19&gt;0,$CB19&gt;'Input 6_Product Efficacy'!$Q$12/30),SUM($BO17:$BZ17),0)</f>
        <v>0</v>
      </c>
      <c r="CF19" s="565">
        <f>IF(AND($CB19&gt;0,$CB19&gt;'Input 6_Product Efficacy'!$Q$15/30),SUM($BO17:$BZ17),0)</f>
        <v>0</v>
      </c>
    </row>
    <row r="20" spans="2:85" ht="15" thickBot="1" x14ac:dyDescent="0.35">
      <c r="B20" s="113"/>
      <c r="S20" s="294"/>
      <c r="T20" s="294"/>
      <c r="U20" s="294"/>
      <c r="V20" s="294"/>
      <c r="W20" s="294"/>
      <c r="X20" s="295"/>
      <c r="Y20" s="295"/>
      <c r="Z20" s="295"/>
      <c r="AA20" s="295"/>
      <c r="AB20" s="295"/>
      <c r="AC20" s="295"/>
      <c r="AD20" s="295"/>
      <c r="AE20" s="294"/>
      <c r="AF20" s="294"/>
      <c r="AG20" s="294"/>
      <c r="AH20" s="294"/>
      <c r="AI20" s="294"/>
      <c r="AJ20" s="294"/>
      <c r="AK20" s="294"/>
      <c r="AL20" s="294"/>
      <c r="AM20" s="294"/>
      <c r="AN20" s="294"/>
      <c r="AO20" s="294"/>
      <c r="AP20" s="294"/>
      <c r="AQ20" s="294"/>
      <c r="AS20" s="2" t="s">
        <v>31</v>
      </c>
      <c r="AT20" s="70">
        <f>BG25</f>
        <v>0.16907799505290311</v>
      </c>
      <c r="AW20" s="2" t="s">
        <v>22</v>
      </c>
      <c r="AX20" s="36">
        <f>SUM(AS8:BD19)</f>
        <v>4466.6404428181586</v>
      </c>
      <c r="AY20" s="36"/>
      <c r="AZ20" s="36"/>
      <c r="BA20" s="36"/>
      <c r="BB20" s="36"/>
      <c r="BC20" s="36"/>
      <c r="BD20" s="36"/>
      <c r="BE20" s="36"/>
      <c r="BF20" s="557">
        <f>IF($B18=0,1,IF(AND(BF19&gt;0,$B18&lt;='Input 4_RSV Season'!$AG$27-1),BF19+1,0))</f>
        <v>0</v>
      </c>
      <c r="BG20" s="549">
        <f>IF(AND($BF20&gt;0,$BF20&lt;='Input 6_Product Efficacy'!$Q$9/30),SUM($AS18:$BD18),0)</f>
        <v>0</v>
      </c>
      <c r="BH20" s="554">
        <f>IF(AND($BF20&gt;0,$BF20&gt;'Input 6_Product Efficacy'!$Q$9/30),SUM($AS18:$BD18),0)</f>
        <v>0</v>
      </c>
      <c r="BJ20" s="549">
        <f>IF(AND($BF20&gt;0,$BF20&lt;='Input 6_Product Efficacy'!$Q$12/30),SUM($AS18:$BD18),0)</f>
        <v>0</v>
      </c>
      <c r="BK20" s="554">
        <f>IF(AND($BF20&gt;0,$BF20&gt;'Input 6_Product Efficacy'!$Q$12/30),SUM($AS18:$BD18),0)</f>
        <v>0</v>
      </c>
      <c r="BM20" s="36"/>
      <c r="BO20" s="2" t="s">
        <v>35</v>
      </c>
      <c r="BP20" s="70">
        <f>SUM(BT21:BT22)</f>
        <v>1.540736757047545E-2</v>
      </c>
      <c r="BS20" s="2" t="s">
        <v>23</v>
      </c>
      <c r="BT20" s="36">
        <f>SUM(BO8:BZ19)</f>
        <v>41126.257887411652</v>
      </c>
      <c r="BU20" s="36"/>
      <c r="BV20" s="36"/>
      <c r="BW20" s="510" t="s">
        <v>278</v>
      </c>
      <c r="BX20" s="510" t="s">
        <v>279</v>
      </c>
      <c r="BY20" s="510" t="s">
        <v>280</v>
      </c>
      <c r="BZ20" s="36"/>
      <c r="CA20" s="36"/>
      <c r="CB20" s="557">
        <f>IF($B18=0,1,IF(AND(CB19&gt;0,$B18&lt;='Input 4_RSV Season'!$AG$27-1),CB19+1,0))</f>
        <v>0</v>
      </c>
      <c r="CC20" s="549">
        <f>IF(AND($CB20&gt;0,$CB20&lt;='Input 6_Product Efficacy'!$Q$12/30),SUM($BO18:$BZ18),0)</f>
        <v>0</v>
      </c>
      <c r="CD20" s="554">
        <f>IF(AND($CB20&gt;0,$CB20&gt;'Input 6_Product Efficacy'!$Q$12/30),SUM($BO18:$BZ18),0)</f>
        <v>0</v>
      </c>
      <c r="CF20" s="565">
        <f>IF(AND($CB20&gt;0,$CB20&gt;'Input 6_Product Efficacy'!$Q$15/30),SUM($BO18:$BZ18),0)</f>
        <v>0</v>
      </c>
    </row>
    <row r="21" spans="2:85" x14ac:dyDescent="0.3">
      <c r="B21" s="115" t="s">
        <v>247</v>
      </c>
      <c r="C21" s="115" t="s">
        <v>250</v>
      </c>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S21" s="512" t="s">
        <v>117</v>
      </c>
      <c r="AV21" s="2" t="s">
        <v>291</v>
      </c>
      <c r="AW21" s="70">
        <f>BG24</f>
        <v>0.15700099540626716</v>
      </c>
      <c r="BC21" s="70"/>
      <c r="BD21" s="70"/>
      <c r="BE21" s="70"/>
      <c r="BF21" s="557">
        <f>IF($B19=0,1,IF(AND(BF20&gt;0,$B19&lt;='Input 4_RSV Season'!$AG$27-1),BF20+1,0))</f>
        <v>0</v>
      </c>
      <c r="BG21" s="550">
        <f>IF(AND($BF21&gt;0,$BF21&lt;='Input 6_Product Efficacy'!$Q$9/30),SUM($AS19:$BD19),0)</f>
        <v>0</v>
      </c>
      <c r="BH21" s="555">
        <f>IF(AND($BF21&gt;0,$BF21&gt;'Input 6_Product Efficacy'!$Q$9/30),SUM($AS19:$BD19),0)</f>
        <v>0</v>
      </c>
      <c r="BI21" s="13"/>
      <c r="BJ21" s="550">
        <f>IF(AND($BF21&gt;0,$BF21&lt;='Input 6_Product Efficacy'!$Q$12/30),SUM($AS19:$BD19),0)</f>
        <v>0</v>
      </c>
      <c r="BK21" s="555">
        <f>IF(AND($BF21&gt;0,$BF21&gt;'Input 6_Product Efficacy'!$Q$12/30),SUM($AS19:$BD19),0)</f>
        <v>0</v>
      </c>
      <c r="BM21" s="70"/>
      <c r="BP21" s="512" t="s">
        <v>277</v>
      </c>
      <c r="BS21" s="2" t="s">
        <v>286</v>
      </c>
      <c r="BT21" s="617">
        <f>IF('Input 6_Product Efficacy'!$Q$15=120,'WiS percent RSV_high'!BY21,IF('Input 6_Product Efficacy'!$Q$15=60,'WiS percent RSV_high'!BX21,'WiS percent RSV_high'!BW21))</f>
        <v>1.0329224993675888E-2</v>
      </c>
      <c r="BV21" s="510" t="s">
        <v>281</v>
      </c>
      <c r="BW21" s="70">
        <f>SUM(BO8:BZ10)/((1-'Input 1_Population'!$G$24)*'WiS percent RSV_base'!$BB$5)</f>
        <v>1.0329224993675888E-2</v>
      </c>
      <c r="BX21" s="70">
        <f>SUM(BO8:BZ9)/((1-'Input 1_Population'!$G$24)*'WiS percent RSV_base'!$BB$5)</f>
        <v>7.5307439451609594E-3</v>
      </c>
      <c r="BY21" s="70">
        <f>SUM(BO8:BZ11)/((1-'Input 1_Population'!$G$24)*'WiS percent RSV_base'!$BB$5)</f>
        <v>1.2451668485527097E-2</v>
      </c>
      <c r="BZ21" s="70"/>
      <c r="CB21" s="557">
        <f>IF($B19=0,1,IF(AND(CB20&gt;0,$B19&lt;='Input 4_RSV Season'!$AG$27-1),CB20+1,0))</f>
        <v>0</v>
      </c>
      <c r="CC21" s="550">
        <f>IF(AND($CB21&gt;0,$CB21&lt;='Input 6_Product Efficacy'!$Q$12/30),SUM($BO19:$BZ19),0)</f>
        <v>0</v>
      </c>
      <c r="CD21" s="555">
        <f>IF(AND($CB21&gt;0,$CB21&gt;'Input 6_Product Efficacy'!$Q$12/30),SUM($BO19:$BZ19),0)</f>
        <v>0</v>
      </c>
      <c r="CF21" s="566">
        <f>IF(AND($CB21&gt;0,$CB21&gt;'Input 6_Product Efficacy'!$Q$15/30),SUM($BO19:$BZ19),0)</f>
        <v>0</v>
      </c>
    </row>
    <row r="22" spans="2:85" ht="15" thickBot="1" x14ac:dyDescent="0.35">
      <c r="B22" s="24" t="s">
        <v>248</v>
      </c>
      <c r="C22" s="429">
        <f>SUM(C8:C13)/SUM(C8:C19)</f>
        <v>0.73188946975354741</v>
      </c>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S22" s="70"/>
      <c r="AT22" s="494"/>
      <c r="AU22" s="494"/>
      <c r="AV22" s="12" t="s">
        <v>292</v>
      </c>
      <c r="AW22" s="282">
        <f>BH24</f>
        <v>1.2076999646635939E-2</v>
      </c>
      <c r="BC22" s="70"/>
      <c r="BD22" s="70"/>
      <c r="BE22" s="70"/>
      <c r="BF22" s="2"/>
      <c r="BG22" s="5">
        <f>SUM(BG10:BG21)</f>
        <v>3035.5808834686518</v>
      </c>
      <c r="BH22" s="5">
        <f t="shared" ref="BH22:BK22" si="6">SUM(BH10:BH21)</f>
        <v>233.50622180528094</v>
      </c>
      <c r="BI22" s="593"/>
      <c r="BJ22" s="5">
        <f t="shared" si="6"/>
        <v>3035.5808834686518</v>
      </c>
      <c r="BK22" s="5">
        <f t="shared" si="6"/>
        <v>233.50622180528094</v>
      </c>
      <c r="BM22" s="70"/>
      <c r="BO22" s="12"/>
      <c r="BP22" s="282"/>
      <c r="BQ22" s="494"/>
      <c r="BR22" s="494"/>
      <c r="BS22" s="12" t="s">
        <v>287</v>
      </c>
      <c r="BT22" s="618">
        <f>CF24</f>
        <v>5.078142576799562E-3</v>
      </c>
      <c r="BU22" s="494"/>
      <c r="BV22" s="509"/>
      <c r="BW22" s="282"/>
      <c r="BX22" s="282"/>
      <c r="BY22" s="282"/>
      <c r="BZ22" s="282"/>
      <c r="CB22" s="2"/>
      <c r="CC22" s="5">
        <f t="shared" ref="CC22:CD22" si="7">SUM(CC10:CC21)</f>
        <v>27949.884001153561</v>
      </c>
      <c r="CD22" s="5">
        <f t="shared" si="7"/>
        <v>2149.9910770118122</v>
      </c>
      <c r="CF22" s="5">
        <f t="shared" ref="CF22" si="8">SUM(CF10:CF21)</f>
        <v>9920.673112497363</v>
      </c>
    </row>
    <row r="23" spans="2:85" ht="15" thickBot="1" x14ac:dyDescent="0.35">
      <c r="B23" s="24" t="s">
        <v>249</v>
      </c>
      <c r="C23" s="429">
        <f>SUM(C14:C19)/SUM(C8:C19)</f>
        <v>0.26811053024645254</v>
      </c>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S23" s="70"/>
      <c r="AU23" s="13"/>
      <c r="AV23" s="14"/>
      <c r="AW23" s="70"/>
      <c r="AX23" s="13"/>
      <c r="AY23" s="510"/>
      <c r="AZ23" s="510"/>
      <c r="BA23" s="510"/>
      <c r="BB23" s="510"/>
      <c r="BC23" s="70"/>
      <c r="BD23" s="70"/>
      <c r="BE23" s="70"/>
      <c r="BM23" s="70"/>
      <c r="BO23" s="2"/>
      <c r="BP23" s="70"/>
      <c r="BR23" s="13"/>
      <c r="BS23" s="14"/>
      <c r="BT23" s="70"/>
      <c r="BU23" s="13"/>
      <c r="BV23" s="510"/>
      <c r="BW23" s="510"/>
      <c r="BX23" s="510"/>
      <c r="BY23" s="510"/>
      <c r="BZ23" s="510"/>
    </row>
    <row r="24" spans="2:85" ht="16.2" thickBot="1" x14ac:dyDescent="0.35">
      <c r="B24" s="26"/>
      <c r="C24" s="26"/>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S24" s="512" t="s">
        <v>216</v>
      </c>
      <c r="AV24" s="2" t="s">
        <v>291</v>
      </c>
      <c r="AW24" s="70">
        <f>BJ24</f>
        <v>0.15700099540626716</v>
      </c>
      <c r="AY24" s="510"/>
      <c r="AZ24" s="70"/>
      <c r="BA24" s="70"/>
      <c r="BB24" s="70"/>
      <c r="BC24" s="70"/>
      <c r="BD24" s="70"/>
      <c r="BE24" s="70"/>
      <c r="BG24" s="864">
        <f>BG22/('Input 1_Population'!$G$24*$BB$5)</f>
        <v>0.15700099540626716</v>
      </c>
      <c r="BH24" s="865">
        <f>BH22/('Input 1_Population'!$G$24*$BB$5)</f>
        <v>1.2076999646635939E-2</v>
      </c>
      <c r="BI24" s="865"/>
      <c r="BJ24" s="866">
        <f>BJ22/('Input 1_Population'!$G$24*$BB$5)</f>
        <v>0.15700099540626716</v>
      </c>
      <c r="BK24" s="867">
        <f>BK22/('Input 1_Population'!$G$24*$BB$5)</f>
        <v>1.2076999646635939E-2</v>
      </c>
      <c r="BM24" s="70"/>
      <c r="BO24" s="2"/>
      <c r="BP24" s="512" t="s">
        <v>216</v>
      </c>
      <c r="BS24" s="2" t="s">
        <v>286</v>
      </c>
      <c r="BT24" s="70">
        <f>CC24</f>
        <v>1.430684131544149E-2</v>
      </c>
      <c r="BV24" s="510"/>
      <c r="BW24" s="70"/>
      <c r="BX24" s="70"/>
      <c r="BY24" s="70"/>
      <c r="BZ24" s="70"/>
      <c r="CC24" s="580">
        <f>CC22/((1-'Input 1_Population'!$G$24)*$BB$5)</f>
        <v>1.430684131544149E-2</v>
      </c>
      <c r="CD24" s="581">
        <f>CD22/((1-'Input 1_Population'!$G$24)*$BB$5)</f>
        <v>1.1005262550339606E-3</v>
      </c>
      <c r="CE24" s="27"/>
      <c r="CF24" s="580">
        <f>CF22/((1-'Input 1_Population'!$G$24)*$BB$5)</f>
        <v>5.078142576799562E-3</v>
      </c>
    </row>
    <row r="25" spans="2:85" ht="15" thickBot="1" x14ac:dyDescent="0.35">
      <c r="B25" s="26"/>
      <c r="C25" s="26"/>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S25" s="70"/>
      <c r="AT25" s="13"/>
      <c r="AU25" s="13"/>
      <c r="AV25" s="14" t="s">
        <v>292</v>
      </c>
      <c r="AW25" s="70">
        <f>BK24</f>
        <v>1.2076999646635939E-2</v>
      </c>
      <c r="AX25" s="13"/>
      <c r="AY25" s="510"/>
      <c r="AZ25" s="70"/>
      <c r="BA25" s="70"/>
      <c r="BB25" s="70"/>
      <c r="BC25" s="70"/>
      <c r="BD25" s="70"/>
      <c r="BE25" s="70"/>
      <c r="BG25" s="1121">
        <f>SUM(BG24:BH24)</f>
        <v>0.16907799505290311</v>
      </c>
      <c r="BH25" s="1121"/>
      <c r="BJ25" s="1121">
        <f>SUM(BJ24:BK24)</f>
        <v>0.16907799505290311</v>
      </c>
      <c r="BK25" s="1121"/>
      <c r="BM25" s="70"/>
      <c r="BO25" s="14"/>
      <c r="BP25" s="70"/>
      <c r="BQ25" s="13"/>
      <c r="BR25" s="13"/>
      <c r="BS25" s="14" t="s">
        <v>287</v>
      </c>
      <c r="BT25" s="70">
        <f>CD24</f>
        <v>1.1005262550339606E-3</v>
      </c>
      <c r="BU25" s="13"/>
      <c r="BV25" s="510"/>
      <c r="BW25" s="70"/>
      <c r="BX25" s="70"/>
      <c r="BY25" s="70"/>
      <c r="BZ25" s="70"/>
      <c r="CC25" s="582" t="s">
        <v>337</v>
      </c>
      <c r="CD25" s="624">
        <f>SUM(CC24:CD24)</f>
        <v>1.540736757047545E-2</v>
      </c>
    </row>
    <row r="26" spans="2:85" s="13" customFormat="1" x14ac:dyDescent="0.3">
      <c r="B26" s="607"/>
      <c r="C26" s="607"/>
      <c r="E26" s="246"/>
      <c r="F26" s="246"/>
      <c r="G26" s="246"/>
      <c r="H26" s="246"/>
      <c r="I26" s="246"/>
      <c r="J26" s="246"/>
      <c r="K26" s="43"/>
      <c r="L26" s="43"/>
      <c r="M26" s="43"/>
      <c r="N26" s="43"/>
      <c r="O26" s="43"/>
      <c r="P26" s="43"/>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S26" s="70"/>
      <c r="AV26" s="14"/>
      <c r="AW26" s="70"/>
      <c r="AY26" s="510"/>
      <c r="AZ26" s="70"/>
      <c r="BA26" s="70"/>
      <c r="BB26" s="70"/>
      <c r="BC26" s="70"/>
      <c r="BD26" s="70"/>
      <c r="BE26" s="70"/>
      <c r="BG26" s="606"/>
      <c r="BH26" s="606"/>
      <c r="BJ26" s="606"/>
      <c r="BK26" s="606"/>
      <c r="BM26" s="70"/>
      <c r="BO26" s="14"/>
      <c r="BP26" s="70"/>
      <c r="BS26" s="14"/>
      <c r="BT26" s="70"/>
      <c r="BV26" s="510"/>
      <c r="BW26" s="70"/>
      <c r="BX26" s="70"/>
      <c r="BY26" s="70"/>
      <c r="BZ26" s="70"/>
      <c r="CB26"/>
      <c r="CC26"/>
      <c r="CD26"/>
      <c r="CE26"/>
    </row>
    <row r="27" spans="2:85" s="13" customFormat="1" x14ac:dyDescent="0.3">
      <c r="B27" s="607"/>
      <c r="C27" s="607"/>
      <c r="E27" s="246"/>
      <c r="F27" s="246"/>
      <c r="G27" s="246"/>
      <c r="H27" s="246"/>
      <c r="I27" s="246"/>
      <c r="J27" s="246"/>
      <c r="K27" s="43"/>
      <c r="L27" s="43"/>
      <c r="M27" s="43"/>
      <c r="N27" s="43"/>
      <c r="O27" s="43"/>
      <c r="P27" s="43"/>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T27" s="614"/>
      <c r="AU27" s="1"/>
      <c r="AV27"/>
      <c r="AW27" s="70"/>
      <c r="AY27" s="510"/>
      <c r="AZ27" s="70"/>
      <c r="BA27" s="70"/>
      <c r="BB27" s="70"/>
      <c r="BC27" s="70"/>
      <c r="BD27" s="70"/>
      <c r="BE27" s="70"/>
      <c r="BG27" s="606"/>
      <c r="BH27" s="606"/>
      <c r="BJ27" s="606"/>
      <c r="BK27" s="606"/>
      <c r="BM27" s="70"/>
      <c r="BO27" s="14"/>
      <c r="BP27" s="70"/>
      <c r="BS27" s="14"/>
      <c r="BT27" s="70"/>
      <c r="BV27" s="510"/>
      <c r="BW27" s="70"/>
      <c r="BX27" s="70"/>
      <c r="BY27" s="70"/>
      <c r="BZ27" s="70"/>
      <c r="CB27"/>
      <c r="CC27"/>
      <c r="CD27"/>
      <c r="CE27"/>
    </row>
    <row r="28" spans="2:85" s="13" customFormat="1" x14ac:dyDescent="0.3">
      <c r="B28" s="607"/>
      <c r="C28" s="607"/>
      <c r="E28" s="246"/>
      <c r="F28" s="246"/>
      <c r="G28" s="246"/>
      <c r="H28" s="246"/>
      <c r="I28" s="246"/>
      <c r="J28" s="246"/>
      <c r="K28" s="43"/>
      <c r="L28" s="43"/>
      <c r="M28" s="43"/>
      <c r="N28" s="43"/>
      <c r="O28" s="43"/>
      <c r="P28" s="43"/>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S28" s="70"/>
      <c r="AV28" s="14"/>
      <c r="AW28" s="70"/>
      <c r="AY28" s="510"/>
      <c r="AZ28" s="70"/>
      <c r="BA28" s="70"/>
      <c r="BB28" s="70"/>
      <c r="BC28" s="70"/>
      <c r="BD28" s="70"/>
      <c r="BE28" s="70"/>
      <c r="BF28"/>
      <c r="BG28" s="606"/>
      <c r="BH28" s="606"/>
      <c r="BI28"/>
      <c r="BJ28" s="606"/>
      <c r="BK28" s="606"/>
      <c r="BL28"/>
      <c r="BM28" s="70"/>
      <c r="BO28" s="14"/>
      <c r="BP28" s="70"/>
      <c r="BS28" s="14"/>
      <c r="BT28" s="70"/>
      <c r="BV28" s="510"/>
      <c r="BW28" s="70"/>
      <c r="BX28" s="70"/>
      <c r="BY28" s="70"/>
      <c r="BZ28" s="70"/>
      <c r="CB28"/>
      <c r="CC28"/>
      <c r="CD28"/>
      <c r="CE28"/>
    </row>
    <row r="29" spans="2:85" s="13" customFormat="1" x14ac:dyDescent="0.3">
      <c r="B29" s="607"/>
      <c r="C29" s="607"/>
      <c r="E29" s="246"/>
      <c r="F29" s="246"/>
      <c r="G29" s="246"/>
      <c r="H29" s="246"/>
      <c r="I29" s="246"/>
      <c r="J29" s="246"/>
      <c r="K29" s="43"/>
      <c r="L29" s="43"/>
      <c r="M29" s="43"/>
      <c r="N29" s="43"/>
      <c r="O29" s="43"/>
      <c r="P29" s="43"/>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S29" s="70"/>
      <c r="AV29" s="14"/>
      <c r="AW29" s="70"/>
      <c r="AY29" s="510"/>
      <c r="AZ29" s="70"/>
      <c r="BA29" s="70"/>
      <c r="BB29" s="70"/>
      <c r="BC29" s="70"/>
      <c r="BD29" s="70"/>
      <c r="BE29" s="70"/>
      <c r="BF29"/>
      <c r="BG29" s="1117" t="s">
        <v>311</v>
      </c>
      <c r="BH29" s="1117"/>
      <c r="BI29" s="1117"/>
      <c r="BJ29" s="1117"/>
      <c r="BK29" s="1117"/>
      <c r="BL29"/>
      <c r="BM29" s="70"/>
      <c r="BO29" s="14"/>
      <c r="BP29" s="70"/>
      <c r="BS29" s="14"/>
      <c r="BT29" s="70"/>
      <c r="BV29" s="510"/>
      <c r="BW29" s="70"/>
      <c r="BX29" s="70"/>
      <c r="BY29" s="70"/>
      <c r="BZ29" s="70"/>
      <c r="CB29"/>
      <c r="CC29"/>
      <c r="CD29"/>
      <c r="CE29"/>
    </row>
    <row r="30" spans="2:85" x14ac:dyDescent="0.3">
      <c r="B30" s="1135" t="s">
        <v>92</v>
      </c>
      <c r="C30" s="1135"/>
      <c r="D30" s="13"/>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13"/>
      <c r="AS30" s="12"/>
      <c r="AT30" s="282"/>
      <c r="AU30" s="10"/>
      <c r="AV30" s="10"/>
      <c r="AW30" s="12"/>
      <c r="AX30" s="282"/>
      <c r="AY30" s="282"/>
      <c r="AZ30" s="282"/>
      <c r="BA30" s="282"/>
      <c r="BB30" s="282"/>
      <c r="BC30" s="282"/>
      <c r="BD30" s="282"/>
      <c r="BE30" s="282"/>
      <c r="BG30" s="1122" t="s">
        <v>117</v>
      </c>
      <c r="BH30" s="1122"/>
      <c r="BI30" s="57"/>
      <c r="BJ30" s="1122" t="s">
        <v>216</v>
      </c>
      <c r="BK30" s="1122"/>
      <c r="BL30" s="282"/>
      <c r="BM30" s="282"/>
      <c r="BN30" s="10"/>
      <c r="BO30" s="12"/>
      <c r="BP30" s="282"/>
      <c r="BQ30" s="494"/>
      <c r="BR30" s="494"/>
      <c r="BS30" s="494"/>
      <c r="BT30" s="494"/>
      <c r="BU30" s="494"/>
      <c r="BV30" s="509"/>
      <c r="BW30" s="282"/>
      <c r="BX30" s="282"/>
      <c r="BY30" s="282"/>
      <c r="BZ30" s="282"/>
      <c r="CA30" s="10"/>
      <c r="CC30" s="1122" t="s">
        <v>216</v>
      </c>
      <c r="CD30" s="1122"/>
      <c r="CF30" s="1122" t="s">
        <v>226</v>
      </c>
      <c r="CG30" s="1122"/>
    </row>
    <row r="31" spans="2:85" x14ac:dyDescent="0.3">
      <c r="B31" s="31" t="s">
        <v>14</v>
      </c>
      <c r="C31" s="31" t="s">
        <v>511</v>
      </c>
      <c r="D31" s="13"/>
      <c r="E31" s="246"/>
      <c r="F31" s="246"/>
      <c r="G31" s="246"/>
      <c r="H31" s="246"/>
      <c r="I31" s="246"/>
      <c r="J31" s="246"/>
      <c r="K31" s="43"/>
      <c r="L31" s="43"/>
      <c r="M31" s="43"/>
      <c r="N31" s="43"/>
      <c r="O31" s="43"/>
      <c r="P31" s="43"/>
      <c r="Q31" s="13"/>
      <c r="R31" s="13"/>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13"/>
      <c r="BF31" s="561" t="s">
        <v>314</v>
      </c>
      <c r="BG31" s="1123" t="s">
        <v>312</v>
      </c>
      <c r="BH31" s="1126" t="s">
        <v>313</v>
      </c>
      <c r="BI31" s="57"/>
      <c r="BJ31" s="1123" t="s">
        <v>312</v>
      </c>
      <c r="BK31" s="1126" t="s">
        <v>313</v>
      </c>
      <c r="CB31" s="561" t="s">
        <v>314</v>
      </c>
      <c r="CC31" s="1123" t="s">
        <v>312</v>
      </c>
      <c r="CD31" s="1126" t="s">
        <v>313</v>
      </c>
      <c r="CF31" s="1140" t="s">
        <v>313</v>
      </c>
      <c r="CG31" s="1140"/>
    </row>
    <row r="32" spans="2:85" x14ac:dyDescent="0.3">
      <c r="B32" s="26">
        <v>0</v>
      </c>
      <c r="C32" s="293">
        <f>'Input 2_RSV Rates'!P10*'Input 3_Clinical Severity'!$N$9</f>
        <v>14.559999999999999</v>
      </c>
      <c r="D32" s="13"/>
      <c r="E32" s="77">
        <f t="shared" ref="E32:P43" si="9">($C32/(SUM($C$32:$C$43)))*E$7</f>
        <v>2.1659322863706544E-3</v>
      </c>
      <c r="F32" s="77">
        <f t="shared" si="9"/>
        <v>6.278461944036454E-3</v>
      </c>
      <c r="G32" s="77">
        <f t="shared" si="9"/>
        <v>8.937897789327005E-3</v>
      </c>
      <c r="H32" s="77">
        <f t="shared" si="9"/>
        <v>5.9768764358076286E-3</v>
      </c>
      <c r="I32" s="77">
        <f t="shared" si="9"/>
        <v>3.2077731329793239E-3</v>
      </c>
      <c r="J32" s="77">
        <f t="shared" si="9"/>
        <v>8.4992279591759856E-4</v>
      </c>
      <c r="K32" s="77">
        <f t="shared" si="9"/>
        <v>0</v>
      </c>
      <c r="L32" s="77">
        <f t="shared" si="9"/>
        <v>0</v>
      </c>
      <c r="M32" s="77">
        <f t="shared" si="9"/>
        <v>0</v>
      </c>
      <c r="N32" s="77">
        <f t="shared" si="9"/>
        <v>0</v>
      </c>
      <c r="O32" s="77">
        <f t="shared" si="9"/>
        <v>0</v>
      </c>
      <c r="P32" s="77">
        <f t="shared" si="9"/>
        <v>0</v>
      </c>
      <c r="Q32" s="13"/>
      <c r="R32" s="13"/>
      <c r="S32" s="852">
        <f>IF('Input 5_Product Uptake'!$M$9=0,E32*Ratios!$N$39,E32*Ratios!$N$39*Ratios!$Z$36)</f>
        <v>50.767870582481805</v>
      </c>
      <c r="T32" s="852">
        <f>IF('Input 5_Product Uptake'!$M$9=0,F32*Ratios!$N$39,F32*Ratios!$N$39*Ratios!$Z$36)</f>
        <v>147.16256156187765</v>
      </c>
      <c r="U32" s="852">
        <f>IF('Input 5_Product Uptake'!$M$9=0,G32*Ratios!$N$39,G32*Ratios!$N$39*Ratios!$Z$36)</f>
        <v>209.49779506188696</v>
      </c>
      <c r="V32" s="852">
        <f>IF('Input 5_Product Uptake'!$M$9=0,H32*Ratios!$N$39,H32*Ratios!$N$39*Ratios!$Z$36)</f>
        <v>140.09361755672194</v>
      </c>
      <c r="W32" s="852">
        <f>IF('Input 5_Product Uptake'!$M$9=0,I32*Ratios!$N$39,I32*Ratios!$N$39*Ratios!$Z$36)</f>
        <v>75.187858963928761</v>
      </c>
      <c r="X32" s="852">
        <f>IF('Input 5_Product Uptake'!$M$9=0,J32*Ratios!$N$39,J32*Ratios!$N$39*Ratios!$Z$36)</f>
        <v>19.921569469075141</v>
      </c>
      <c r="Y32" s="852">
        <f>IF('Input 5_Product Uptake'!$M$9=0,K32*Ratios!$N$39,K32*Ratios!$N$39*Ratios!$Z$36)</f>
        <v>0</v>
      </c>
      <c r="Z32" s="852">
        <f>IF('Input 5_Product Uptake'!$M$9=0,L32*Ratios!$N$39,L32*Ratios!$N$39*Ratios!$Z$36)</f>
        <v>0</v>
      </c>
      <c r="AA32" s="852">
        <f>IF('Input 5_Product Uptake'!$M$9=0,M32*Ratios!$N$39,M32*Ratios!$N$39*Ratios!$Z$36)</f>
        <v>0</v>
      </c>
      <c r="AB32" s="852">
        <f>IF('Input 5_Product Uptake'!$M$9=0,N32*Ratios!$N$39,N32*Ratios!$N$39*Ratios!$Z$36)</f>
        <v>0</v>
      </c>
      <c r="AC32" s="852">
        <f>IF('Input 5_Product Uptake'!$M$9=0,O32*Ratios!$N$39,O32*Ratios!$N$39*Ratios!$Z$36)</f>
        <v>0</v>
      </c>
      <c r="AD32" s="852">
        <f>IF('Input 5_Product Uptake'!$M$9=0,P32*Ratios!$N$39,P32*Ratios!$N$39*Ratios!$Z$36)</f>
        <v>0</v>
      </c>
      <c r="AE32" s="296"/>
      <c r="AF32" s="860">
        <f>Ratios!$P$39*E32</f>
        <v>345.22826570075478</v>
      </c>
      <c r="AG32" s="860">
        <f>Ratios!$P$39*F32</f>
        <v>1000.7249727275043</v>
      </c>
      <c r="AH32" s="860">
        <f>Ratios!$P$39*G32</f>
        <v>1424.6128432714693</v>
      </c>
      <c r="AI32" s="860">
        <f>Ratios!$P$39*H32</f>
        <v>952.65521421220933</v>
      </c>
      <c r="AJ32" s="860">
        <f>Ratios!$P$39*I32</f>
        <v>511.28743148086471</v>
      </c>
      <c r="AK32" s="860">
        <f>Ratios!$P$39*J32</f>
        <v>135.46931945219492</v>
      </c>
      <c r="AL32" s="860">
        <f>Ratios!$P$39*K32</f>
        <v>0</v>
      </c>
      <c r="AM32" s="860">
        <f>Ratios!$P$39*L32</f>
        <v>0</v>
      </c>
      <c r="AN32" s="860">
        <f>Ratios!$P$39*M32</f>
        <v>0</v>
      </c>
      <c r="AO32" s="860">
        <f>Ratios!$P$39*N32</f>
        <v>0</v>
      </c>
      <c r="AP32" s="860">
        <f>Ratios!$P$39*O32</f>
        <v>0</v>
      </c>
      <c r="AQ32" s="860">
        <f>Ratios!$P$39*P32</f>
        <v>0</v>
      </c>
      <c r="AR32" s="13"/>
      <c r="AS32" s="275">
        <f>S32</f>
        <v>50.767870582481805</v>
      </c>
      <c r="AT32" s="275">
        <f t="shared" ref="AT32:BD43" si="10">T32</f>
        <v>147.16256156187765</v>
      </c>
      <c r="AU32" s="275">
        <f t="shared" si="10"/>
        <v>209.49779506188696</v>
      </c>
      <c r="AV32" s="275">
        <f t="shared" si="10"/>
        <v>140.09361755672194</v>
      </c>
      <c r="AW32" s="275">
        <f t="shared" si="10"/>
        <v>75.187858963928761</v>
      </c>
      <c r="AX32" s="275">
        <f t="shared" si="10"/>
        <v>19.921569469075141</v>
      </c>
      <c r="AY32" s="275">
        <f t="shared" si="10"/>
        <v>0</v>
      </c>
      <c r="AZ32" s="275">
        <f t="shared" si="10"/>
        <v>0</v>
      </c>
      <c r="BA32" s="275">
        <f t="shared" si="10"/>
        <v>0</v>
      </c>
      <c r="BB32" s="275">
        <f t="shared" si="10"/>
        <v>0</v>
      </c>
      <c r="BC32" s="275">
        <f t="shared" si="10"/>
        <v>0</v>
      </c>
      <c r="BD32" s="275">
        <f t="shared" si="10"/>
        <v>0</v>
      </c>
      <c r="BE32" s="275"/>
      <c r="BF32" s="573" t="s">
        <v>317</v>
      </c>
      <c r="BG32" s="1124"/>
      <c r="BH32" s="1127"/>
      <c r="BI32" s="57"/>
      <c r="BJ32" s="1124"/>
      <c r="BK32" s="1127"/>
      <c r="BL32" s="275"/>
      <c r="BM32" s="275"/>
      <c r="BN32" s="32"/>
      <c r="BO32" s="35">
        <f>AF32</f>
        <v>345.22826570075478</v>
      </c>
      <c r="BP32" s="35">
        <f t="shared" ref="BP32:BZ43" si="11">AG32</f>
        <v>1000.7249727275043</v>
      </c>
      <c r="BQ32" s="35">
        <f t="shared" si="11"/>
        <v>1424.6128432714693</v>
      </c>
      <c r="BR32" s="35">
        <f t="shared" si="11"/>
        <v>952.65521421220933</v>
      </c>
      <c r="BS32" s="35">
        <f t="shared" si="11"/>
        <v>511.28743148086471</v>
      </c>
      <c r="BT32" s="35">
        <f t="shared" si="11"/>
        <v>135.46931945219492</v>
      </c>
      <c r="BU32" s="35">
        <f t="shared" si="11"/>
        <v>0</v>
      </c>
      <c r="BV32" s="35">
        <f t="shared" si="11"/>
        <v>0</v>
      </c>
      <c r="BW32" s="35">
        <f t="shared" si="11"/>
        <v>0</v>
      </c>
      <c r="BX32" s="35">
        <f t="shared" si="11"/>
        <v>0</v>
      </c>
      <c r="BY32" s="35">
        <f t="shared" si="11"/>
        <v>0</v>
      </c>
      <c r="BZ32" s="35">
        <f t="shared" si="11"/>
        <v>0</v>
      </c>
      <c r="CA32" s="35"/>
      <c r="CB32" s="573" t="s">
        <v>317</v>
      </c>
      <c r="CC32" s="1124"/>
      <c r="CD32" s="1127"/>
      <c r="CF32" s="1139"/>
      <c r="CG32" s="1139"/>
    </row>
    <row r="33" spans="2:85" x14ac:dyDescent="0.3">
      <c r="B33" s="26">
        <v>1</v>
      </c>
      <c r="C33" s="293">
        <f>'Input 2_RSV Rates'!P11*'Input 3_Clinical Severity'!$N$9</f>
        <v>47.710000000000008</v>
      </c>
      <c r="D33" s="13"/>
      <c r="E33" s="77">
        <f t="shared" si="9"/>
        <v>7.0972959740895573E-3</v>
      </c>
      <c r="F33" s="77">
        <f t="shared" si="9"/>
        <v>2.057317440590517E-2</v>
      </c>
      <c r="G33" s="77">
        <f t="shared" si="9"/>
        <v>2.9287575791812605E-2</v>
      </c>
      <c r="H33" s="77">
        <f t="shared" si="9"/>
        <v>1.9584943320905358E-2</v>
      </c>
      <c r="I33" s="77">
        <f t="shared" si="9"/>
        <v>1.0511185176816181E-2</v>
      </c>
      <c r="J33" s="77">
        <f t="shared" si="9"/>
        <v>2.7850148759085602E-3</v>
      </c>
      <c r="K33" s="77">
        <f t="shared" si="9"/>
        <v>0</v>
      </c>
      <c r="L33" s="77">
        <f t="shared" si="9"/>
        <v>0</v>
      </c>
      <c r="M33" s="77">
        <f t="shared" si="9"/>
        <v>0</v>
      </c>
      <c r="N33" s="77">
        <f t="shared" si="9"/>
        <v>0</v>
      </c>
      <c r="O33" s="77">
        <f t="shared" si="9"/>
        <v>0</v>
      </c>
      <c r="P33" s="77">
        <f t="shared" si="9"/>
        <v>0</v>
      </c>
      <c r="Q33" s="13"/>
      <c r="R33" s="13"/>
      <c r="S33" s="852">
        <f>IF('Input 5_Product Uptake'!$M$9=0,E33*Ratios!$N$39,E33*Ratios!$N$39*Ratios!$Z$36)</f>
        <v>166.3554330693824</v>
      </c>
      <c r="T33" s="852">
        <f>IF('Input 5_Product Uptake'!$M$9=0,F33*Ratios!$N$39,F33*Ratios!$N$39*Ratios!$Z$36)</f>
        <v>482.22017940365271</v>
      </c>
      <c r="U33" s="852">
        <f>IF('Input 5_Product Uptake'!$M$9=0,G33*Ratios!$N$39,G33*Ratios!$N$39*Ratios!$Z$36)</f>
        <v>686.47938203314766</v>
      </c>
      <c r="V33" s="852">
        <f>IF('Input 5_Product Uptake'!$M$9=0,H33*Ratios!$N$39,H33*Ratios!$N$39*Ratios!$Z$36)</f>
        <v>459.05676467247292</v>
      </c>
      <c r="W33" s="852">
        <f>IF('Input 5_Product Uptake'!$M$9=0,I33*Ratios!$N$39,I33*Ratios!$N$39*Ratios!$Z$36)</f>
        <v>246.37450214073093</v>
      </c>
      <c r="X33" s="852">
        <f>IF('Input 5_Product Uptake'!$M$9=0,J33*Ratios!$N$39,J33*Ratios!$N$39*Ratios!$Z$36)</f>
        <v>65.278714242415873</v>
      </c>
      <c r="Y33" s="852">
        <f>IF('Input 5_Product Uptake'!$M$9=0,K33*Ratios!$N$39,K33*Ratios!$N$39*Ratios!$Z$36)</f>
        <v>0</v>
      </c>
      <c r="Z33" s="852">
        <f>IF('Input 5_Product Uptake'!$M$9=0,L33*Ratios!$N$39,L33*Ratios!$N$39*Ratios!$Z$36)</f>
        <v>0</v>
      </c>
      <c r="AA33" s="852">
        <f>IF('Input 5_Product Uptake'!$M$9=0,M33*Ratios!$N$39,M33*Ratios!$N$39*Ratios!$Z$36)</f>
        <v>0</v>
      </c>
      <c r="AB33" s="852">
        <f>IF('Input 5_Product Uptake'!$M$9=0,N33*Ratios!$N$39,N33*Ratios!$N$39*Ratios!$Z$36)</f>
        <v>0</v>
      </c>
      <c r="AC33" s="852">
        <f>IF('Input 5_Product Uptake'!$M$9=0,O33*Ratios!$N$39,O33*Ratios!$N$39*Ratios!$Z$36)</f>
        <v>0</v>
      </c>
      <c r="AD33" s="852">
        <f>IF('Input 5_Product Uptake'!$M$9=0,P33*Ratios!$N$39,P33*Ratios!$N$39*Ratios!$Z$36)</f>
        <v>0</v>
      </c>
      <c r="AE33" s="296"/>
      <c r="AF33" s="860">
        <f>Ratios!$P$39*E33</f>
        <v>1131.2390492158665</v>
      </c>
      <c r="AG33" s="860">
        <f>Ratios!$P$39*F33</f>
        <v>3279.1612945624479</v>
      </c>
      <c r="AH33" s="860">
        <f>Ratios!$P$39*G33</f>
        <v>4668.1510132199046</v>
      </c>
      <c r="AI33" s="860">
        <f>Ratios!$P$39*H33</f>
        <v>3121.6469965703654</v>
      </c>
      <c r="AJ33" s="860">
        <f>Ratios!$P$39*I33</f>
        <v>1675.379351370334</v>
      </c>
      <c r="AK33" s="860">
        <f>Ratios!$P$39*J33</f>
        <v>443.9039307049602</v>
      </c>
      <c r="AL33" s="860">
        <f>Ratios!$P$39*K33</f>
        <v>0</v>
      </c>
      <c r="AM33" s="860">
        <f>Ratios!$P$39*L33</f>
        <v>0</v>
      </c>
      <c r="AN33" s="860">
        <f>Ratios!$P$39*M33</f>
        <v>0</v>
      </c>
      <c r="AO33" s="860">
        <f>Ratios!$P$39*N33</f>
        <v>0</v>
      </c>
      <c r="AP33" s="860">
        <f>Ratios!$P$39*O33</f>
        <v>0</v>
      </c>
      <c r="AQ33" s="860">
        <f>Ratios!$P$39*P33</f>
        <v>0</v>
      </c>
      <c r="AR33" s="13"/>
      <c r="AS33" s="275">
        <f t="shared" ref="AS33:AS43" si="12">S33</f>
        <v>166.3554330693824</v>
      </c>
      <c r="AT33" s="275">
        <f t="shared" si="10"/>
        <v>482.22017940365271</v>
      </c>
      <c r="AU33" s="275">
        <f t="shared" si="10"/>
        <v>686.47938203314766</v>
      </c>
      <c r="AV33" s="275">
        <f t="shared" si="10"/>
        <v>459.05676467247292</v>
      </c>
      <c r="AW33" s="275">
        <f t="shared" si="10"/>
        <v>246.37450214073093</v>
      </c>
      <c r="AX33" s="275">
        <f t="shared" si="10"/>
        <v>65.278714242415873</v>
      </c>
      <c r="AY33" s="275">
        <f t="shared" si="10"/>
        <v>0</v>
      </c>
      <c r="AZ33" s="275">
        <f t="shared" si="10"/>
        <v>0</v>
      </c>
      <c r="BA33" s="275">
        <f t="shared" si="10"/>
        <v>0</v>
      </c>
      <c r="BB33" s="275">
        <f t="shared" si="10"/>
        <v>0</v>
      </c>
      <c r="BC33" s="275">
        <f t="shared" si="10"/>
        <v>0</v>
      </c>
      <c r="BD33" s="275">
        <f t="shared" si="10"/>
        <v>0</v>
      </c>
      <c r="BE33" s="275"/>
      <c r="BF33" s="518"/>
      <c r="BG33" s="1125"/>
      <c r="BH33" s="1128"/>
      <c r="BI33" s="57"/>
      <c r="BJ33" s="1125"/>
      <c r="BK33" s="1128"/>
      <c r="BL33" s="275"/>
      <c r="BM33" s="275"/>
      <c r="BN33" s="32"/>
      <c r="BO33" s="35">
        <f t="shared" ref="BO33:BO43" si="13">AF33</f>
        <v>1131.2390492158665</v>
      </c>
      <c r="BP33" s="35">
        <f t="shared" si="11"/>
        <v>3279.1612945624479</v>
      </c>
      <c r="BQ33" s="35">
        <f t="shared" si="11"/>
        <v>4668.1510132199046</v>
      </c>
      <c r="BR33" s="35">
        <f t="shared" si="11"/>
        <v>3121.6469965703654</v>
      </c>
      <c r="BS33" s="35">
        <f t="shared" si="11"/>
        <v>1675.379351370334</v>
      </c>
      <c r="BT33" s="35">
        <f t="shared" si="11"/>
        <v>443.9039307049602</v>
      </c>
      <c r="BU33" s="35">
        <f t="shared" si="11"/>
        <v>0</v>
      </c>
      <c r="BV33" s="35">
        <f t="shared" si="11"/>
        <v>0</v>
      </c>
      <c r="BW33" s="35">
        <f t="shared" si="11"/>
        <v>0</v>
      </c>
      <c r="BX33" s="35">
        <f t="shared" si="11"/>
        <v>0</v>
      </c>
      <c r="BY33" s="35">
        <f t="shared" si="11"/>
        <v>0</v>
      </c>
      <c r="BZ33" s="35">
        <f t="shared" si="11"/>
        <v>0</v>
      </c>
      <c r="CA33" s="35"/>
      <c r="CB33" s="518"/>
      <c r="CC33" s="1125"/>
      <c r="CD33" s="1128"/>
      <c r="CF33" s="1139"/>
      <c r="CG33" s="1139"/>
    </row>
    <row r="34" spans="2:85" x14ac:dyDescent="0.3">
      <c r="B34" s="26">
        <v>2</v>
      </c>
      <c r="C34" s="293">
        <f>'Input 2_RSV Rates'!P12*'Input 3_Clinical Severity'!$N$9</f>
        <v>53.885000000000005</v>
      </c>
      <c r="D34" s="13"/>
      <c r="E34" s="77">
        <f t="shared" si="9"/>
        <v>8.0158833276842544E-3</v>
      </c>
      <c r="F34" s="77">
        <f t="shared" si="9"/>
        <v>2.3235914962527769E-2</v>
      </c>
      <c r="G34" s="77">
        <f t="shared" si="9"/>
        <v>3.3078202086393248E-2</v>
      </c>
      <c r="H34" s="77">
        <f t="shared" si="9"/>
        <v>2.2119779309305913E-2</v>
      </c>
      <c r="I34" s="77">
        <f t="shared" si="9"/>
        <v>1.1871624675177946E-2</v>
      </c>
      <c r="J34" s="77">
        <f t="shared" si="9"/>
        <v>3.1454732045343272E-3</v>
      </c>
      <c r="K34" s="77">
        <f t="shared" si="9"/>
        <v>0</v>
      </c>
      <c r="L34" s="77">
        <f t="shared" si="9"/>
        <v>0</v>
      </c>
      <c r="M34" s="77">
        <f t="shared" si="9"/>
        <v>0</v>
      </c>
      <c r="N34" s="77">
        <f t="shared" si="9"/>
        <v>0</v>
      </c>
      <c r="O34" s="77">
        <f t="shared" si="9"/>
        <v>0</v>
      </c>
      <c r="P34" s="77">
        <f t="shared" si="9"/>
        <v>0</v>
      </c>
      <c r="Q34" s="13"/>
      <c r="R34" s="13"/>
      <c r="S34" s="852">
        <f>IF('Input 5_Product Uptake'!$M$9=0,E34*Ratios!$N$39,E34*Ratios!$N$39*Ratios!$Z$36)</f>
        <v>187.88644961105996</v>
      </c>
      <c r="T34" s="852">
        <f>IF('Input 5_Product Uptake'!$M$9=0,F34*Ratios!$N$39,F34*Ratios!$N$39*Ratios!$Z$36)</f>
        <v>544.63287292319899</v>
      </c>
      <c r="U34" s="852">
        <f>IF('Input 5_Product Uptake'!$M$9=0,G34*Ratios!$N$39,G34*Ratios!$N$39*Ratios!$Z$36)</f>
        <v>775.32889333171556</v>
      </c>
      <c r="V34" s="852">
        <f>IF('Input 5_Product Uptake'!$M$9=0,H34*Ratios!$N$39,H34*Ratios!$N$39*Ratios!$Z$36)</f>
        <v>518.47146854697553</v>
      </c>
      <c r="W34" s="852">
        <f>IF('Input 5_Product Uptake'!$M$9=0,I34*Ratios!$N$39,I34*Ratios!$N$39*Ratios!$Z$36)</f>
        <v>278.26221018346854</v>
      </c>
      <c r="X34" s="852">
        <f>IF('Input 5_Product Uptake'!$M$9=0,J34*Ratios!$N$39,J34*Ratios!$N$39*Ratios!$Z$36)</f>
        <v>73.72759415117541</v>
      </c>
      <c r="Y34" s="852">
        <f>IF('Input 5_Product Uptake'!$M$9=0,K34*Ratios!$N$39,K34*Ratios!$N$39*Ratios!$Z$36)</f>
        <v>0</v>
      </c>
      <c r="Z34" s="852">
        <f>IF('Input 5_Product Uptake'!$M$9=0,L34*Ratios!$N$39,L34*Ratios!$N$39*Ratios!$Z$36)</f>
        <v>0</v>
      </c>
      <c r="AA34" s="852">
        <f>IF('Input 5_Product Uptake'!$M$9=0,M34*Ratios!$N$39,M34*Ratios!$N$39*Ratios!$Z$36)</f>
        <v>0</v>
      </c>
      <c r="AB34" s="852">
        <f>IF('Input 5_Product Uptake'!$M$9=0,N34*Ratios!$N$39,N34*Ratios!$N$39*Ratios!$Z$36)</f>
        <v>0</v>
      </c>
      <c r="AC34" s="852">
        <f>IF('Input 5_Product Uptake'!$M$9=0,O34*Ratios!$N$39,O34*Ratios!$N$39*Ratios!$Z$36)</f>
        <v>0</v>
      </c>
      <c r="AD34" s="852">
        <f>IF('Input 5_Product Uptake'!$M$9=0,P34*Ratios!$N$39,P34*Ratios!$N$39*Ratios!$Z$36)</f>
        <v>0</v>
      </c>
      <c r="AE34" s="296"/>
      <c r="AF34" s="860">
        <f>Ratios!$P$39*E34</f>
        <v>1277.6528226157402</v>
      </c>
      <c r="AG34" s="860">
        <f>Ratios!$P$39*F34</f>
        <v>3703.5759035317014</v>
      </c>
      <c r="AH34" s="860">
        <f>Ratios!$P$39*G34</f>
        <v>5272.3394958573572</v>
      </c>
      <c r="AI34" s="860">
        <f>Ratios!$P$39*H34</f>
        <v>3525.6748775978645</v>
      </c>
      <c r="AJ34" s="860">
        <f>Ratios!$P$39*I34</f>
        <v>1892.2200031144505</v>
      </c>
      <c r="AK34" s="860">
        <f>Ratios!$P$39*J34</f>
        <v>501.35743672263209</v>
      </c>
      <c r="AL34" s="860">
        <f>Ratios!$P$39*K34</f>
        <v>0</v>
      </c>
      <c r="AM34" s="860">
        <f>Ratios!$P$39*L34</f>
        <v>0</v>
      </c>
      <c r="AN34" s="860">
        <f>Ratios!$P$39*M34</f>
        <v>0</v>
      </c>
      <c r="AO34" s="860">
        <f>Ratios!$P$39*N34</f>
        <v>0</v>
      </c>
      <c r="AP34" s="860">
        <f>Ratios!$P$39*O34</f>
        <v>0</v>
      </c>
      <c r="AQ34" s="860">
        <f>Ratios!$P$39*P34</f>
        <v>0</v>
      </c>
      <c r="AR34" s="13"/>
      <c r="AS34" s="275">
        <f t="shared" si="12"/>
        <v>187.88644961105996</v>
      </c>
      <c r="AT34" s="275">
        <f t="shared" si="10"/>
        <v>544.63287292319899</v>
      </c>
      <c r="AU34" s="275">
        <f t="shared" si="10"/>
        <v>775.32889333171556</v>
      </c>
      <c r="AV34" s="275">
        <f t="shared" si="10"/>
        <v>518.47146854697553</v>
      </c>
      <c r="AW34" s="275">
        <f t="shared" si="10"/>
        <v>278.26221018346854</v>
      </c>
      <c r="AX34" s="275">
        <f t="shared" si="10"/>
        <v>73.72759415117541</v>
      </c>
      <c r="AY34" s="275">
        <f t="shared" si="10"/>
        <v>0</v>
      </c>
      <c r="AZ34" s="275">
        <f t="shared" si="10"/>
        <v>0</v>
      </c>
      <c r="BA34" s="275">
        <f t="shared" si="10"/>
        <v>0</v>
      </c>
      <c r="BB34" s="275">
        <f t="shared" si="10"/>
        <v>0</v>
      </c>
      <c r="BC34" s="275">
        <f t="shared" si="10"/>
        <v>0</v>
      </c>
      <c r="BD34" s="275">
        <f t="shared" si="10"/>
        <v>0</v>
      </c>
      <c r="BE34" s="275"/>
      <c r="BF34" s="557">
        <f>IF($B32=0,1,IF(AND(BF33&gt;0,$B32&lt;='Input 4_RSV Season'!$AG$27-1),BF33+1,0))</f>
        <v>1</v>
      </c>
      <c r="BG34" s="549">
        <f>IF(AND($BF34&gt;0,$BF34&lt;='Input 6_Product Efficacy'!$Q$9/30),SUM($AS32:$BD32),0)</f>
        <v>642.63127319597231</v>
      </c>
      <c r="BH34" s="554">
        <f>IF(AND($BF34&gt;0,$BF34&gt;'Input 6_Product Efficacy'!$Q$9/30),SUM($AS32:$BD32),0)</f>
        <v>0</v>
      </c>
      <c r="BJ34" s="549">
        <f>IF(AND($BF34&gt;0,$BF34&lt;='Input 6_Product Efficacy'!$Q$12/30),SUM($AS32:$BD32),0)</f>
        <v>642.63127319597231</v>
      </c>
      <c r="BK34" s="554">
        <f>IF(AND($BF34&gt;0,$BF34&gt;'Input 6_Product Efficacy'!$Q$12/30),SUM($AS32:$BD32),0)</f>
        <v>0</v>
      </c>
      <c r="BL34" s="275"/>
      <c r="BM34" s="275"/>
      <c r="BN34" s="32"/>
      <c r="BO34" s="35">
        <f t="shared" si="13"/>
        <v>1277.6528226157402</v>
      </c>
      <c r="BP34" s="35">
        <f t="shared" si="11"/>
        <v>3703.5759035317014</v>
      </c>
      <c r="BQ34" s="35">
        <f t="shared" si="11"/>
        <v>5272.3394958573572</v>
      </c>
      <c r="BR34" s="35">
        <f t="shared" si="11"/>
        <v>3525.6748775978645</v>
      </c>
      <c r="BS34" s="35">
        <f t="shared" si="11"/>
        <v>1892.2200031144505</v>
      </c>
      <c r="BT34" s="35">
        <f t="shared" si="11"/>
        <v>501.35743672263209</v>
      </c>
      <c r="BU34" s="35">
        <f t="shared" si="11"/>
        <v>0</v>
      </c>
      <c r="BV34" s="35">
        <f t="shared" si="11"/>
        <v>0</v>
      </c>
      <c r="BW34" s="35">
        <f t="shared" si="11"/>
        <v>0</v>
      </c>
      <c r="BX34" s="35">
        <f t="shared" si="11"/>
        <v>0</v>
      </c>
      <c r="BY34" s="35">
        <f t="shared" si="11"/>
        <v>0</v>
      </c>
      <c r="BZ34" s="35">
        <f t="shared" si="11"/>
        <v>0</v>
      </c>
      <c r="CA34" s="35"/>
      <c r="CB34" s="557">
        <f>IF($B32=0,1,IF(AND(CB33&gt;0,$B32&lt;='Input 4_RSV Season'!$AG$27-1),CB33+1,0))</f>
        <v>1</v>
      </c>
      <c r="CC34" s="549">
        <f>IF(AND($CB34&gt;0,$CB34&lt;='Input 6_Product Efficacy'!$Q$12/30),SUM($BO32:$BZ32),0)</f>
        <v>4369.9780468449981</v>
      </c>
      <c r="CD34" s="554">
        <f>IF(AND($CB34&gt;0,$CB34&gt;'Input 6_Product Efficacy'!$Q$12/30),SUM($BO32:$BZ32),0)</f>
        <v>0</v>
      </c>
      <c r="CF34" s="564">
        <f>IF(AND($CB34&gt;0,$CB34&gt;'Input 6_Product Efficacy'!$Q$15/30),SUM($BO32:$BZ32),0)</f>
        <v>0</v>
      </c>
    </row>
    <row r="35" spans="2:85" x14ac:dyDescent="0.3">
      <c r="B35" s="26">
        <v>3</v>
      </c>
      <c r="C35" s="293">
        <f>'Input 2_RSV Rates'!P13*'Input 3_Clinical Severity'!$N$9</f>
        <v>78.260000000000005</v>
      </c>
      <c r="D35" s="13"/>
      <c r="E35" s="77">
        <f t="shared" si="9"/>
        <v>1.164188603924227E-2</v>
      </c>
      <c r="F35" s="77">
        <f t="shared" si="9"/>
        <v>3.3746732949195946E-2</v>
      </c>
      <c r="G35" s="77">
        <f t="shared" si="9"/>
        <v>4.8041200617632659E-2</v>
      </c>
      <c r="H35" s="77">
        <f t="shared" si="9"/>
        <v>3.2125710842466008E-2</v>
      </c>
      <c r="I35" s="77">
        <f t="shared" si="9"/>
        <v>1.7241780589763871E-2</v>
      </c>
      <c r="J35" s="77">
        <f t="shared" si="9"/>
        <v>4.5683350280570937E-3</v>
      </c>
      <c r="K35" s="77">
        <f t="shared" si="9"/>
        <v>0</v>
      </c>
      <c r="L35" s="77">
        <f t="shared" si="9"/>
        <v>0</v>
      </c>
      <c r="M35" s="77">
        <f t="shared" si="9"/>
        <v>0</v>
      </c>
      <c r="N35" s="77">
        <f t="shared" si="9"/>
        <v>0</v>
      </c>
      <c r="O35" s="77">
        <f t="shared" si="9"/>
        <v>0</v>
      </c>
      <c r="P35" s="77">
        <f t="shared" si="9"/>
        <v>0</v>
      </c>
      <c r="Q35" s="13"/>
      <c r="R35" s="13"/>
      <c r="S35" s="852">
        <f>IF('Input 5_Product Uptake'!$M$9=0,E35*Ratios!$N$39,E35*Ratios!$N$39*Ratios!$Z$36)</f>
        <v>272.8773043808398</v>
      </c>
      <c r="T35" s="852">
        <f>IF('Input 5_Product Uptake'!$M$9=0,F35*Ratios!$N$39,F35*Ratios!$N$39*Ratios!$Z$36)</f>
        <v>790.99876839509238</v>
      </c>
      <c r="U35" s="852">
        <f>IF('Input 5_Product Uptake'!$M$9=0,G35*Ratios!$N$39,G35*Ratios!$N$39*Ratios!$Z$36)</f>
        <v>1126.0506484576426</v>
      </c>
      <c r="V35" s="852">
        <f>IF('Input 5_Product Uptake'!$M$9=0,H35*Ratios!$N$39,H35*Ratios!$N$39*Ratios!$Z$36)</f>
        <v>753.0031943673805</v>
      </c>
      <c r="W35" s="852">
        <f>IF('Input 5_Product Uptake'!$M$9=0,I35*Ratios!$N$39,I35*Ratios!$N$39*Ratios!$Z$36)</f>
        <v>404.13474193111722</v>
      </c>
      <c r="X35" s="852">
        <f>IF('Input 5_Product Uptake'!$M$9=0,J35*Ratios!$N$39,J35*Ratios!$N$39*Ratios!$Z$36)</f>
        <v>107.0784358962789</v>
      </c>
      <c r="Y35" s="852">
        <f>IF('Input 5_Product Uptake'!$M$9=0,K35*Ratios!$N$39,K35*Ratios!$N$39*Ratios!$Z$36)</f>
        <v>0</v>
      </c>
      <c r="Z35" s="852">
        <f>IF('Input 5_Product Uptake'!$M$9=0,L35*Ratios!$N$39,L35*Ratios!$N$39*Ratios!$Z$36)</f>
        <v>0</v>
      </c>
      <c r="AA35" s="852">
        <f>IF('Input 5_Product Uptake'!$M$9=0,M35*Ratios!$N$39,M35*Ratios!$N$39*Ratios!$Z$36)</f>
        <v>0</v>
      </c>
      <c r="AB35" s="852">
        <f>IF('Input 5_Product Uptake'!$M$9=0,N35*Ratios!$N$39,N35*Ratios!$N$39*Ratios!$Z$36)</f>
        <v>0</v>
      </c>
      <c r="AC35" s="852">
        <f>IF('Input 5_Product Uptake'!$M$9=0,O35*Ratios!$N$39,O35*Ratios!$N$39*Ratios!$Z$36)</f>
        <v>0</v>
      </c>
      <c r="AD35" s="852">
        <f>IF('Input 5_Product Uptake'!$M$9=0,P35*Ratios!$N$39,P35*Ratios!$N$39*Ratios!$Z$36)</f>
        <v>0</v>
      </c>
      <c r="AE35" s="296"/>
      <c r="AF35" s="860">
        <f>Ratios!$P$39*E35</f>
        <v>1855.6019281415572</v>
      </c>
      <c r="AG35" s="860">
        <f>Ratios!$P$39*F35</f>
        <v>5378.8967284103364</v>
      </c>
      <c r="AH35" s="860">
        <f>Ratios!$P$39*G35</f>
        <v>7657.2940325841482</v>
      </c>
      <c r="AI35" s="860">
        <f>Ratios!$P$39*H35</f>
        <v>5120.5217763906257</v>
      </c>
      <c r="AJ35" s="860">
        <f>Ratios!$P$39*I35</f>
        <v>2748.1699442096487</v>
      </c>
      <c r="AK35" s="860">
        <f>Ratios!$P$39*J35</f>
        <v>728.14759205554788</v>
      </c>
      <c r="AL35" s="860">
        <f>Ratios!$P$39*K35</f>
        <v>0</v>
      </c>
      <c r="AM35" s="860">
        <f>Ratios!$P$39*L35</f>
        <v>0</v>
      </c>
      <c r="AN35" s="860">
        <f>Ratios!$P$39*M35</f>
        <v>0</v>
      </c>
      <c r="AO35" s="860">
        <f>Ratios!$P$39*N35</f>
        <v>0</v>
      </c>
      <c r="AP35" s="860">
        <f>Ratios!$P$39*O35</f>
        <v>0</v>
      </c>
      <c r="AQ35" s="860">
        <f>Ratios!$P$39*P35</f>
        <v>0</v>
      </c>
      <c r="AR35" s="13"/>
      <c r="AS35" s="275">
        <f t="shared" si="12"/>
        <v>272.8773043808398</v>
      </c>
      <c r="AT35" s="275">
        <f t="shared" si="10"/>
        <v>790.99876839509238</v>
      </c>
      <c r="AU35" s="275">
        <f t="shared" si="10"/>
        <v>1126.0506484576426</v>
      </c>
      <c r="AV35" s="275">
        <f t="shared" si="10"/>
        <v>753.0031943673805</v>
      </c>
      <c r="AW35" s="275">
        <f t="shared" si="10"/>
        <v>404.13474193111722</v>
      </c>
      <c r="AX35" s="275">
        <f t="shared" si="10"/>
        <v>107.0784358962789</v>
      </c>
      <c r="AY35" s="275">
        <f t="shared" si="10"/>
        <v>0</v>
      </c>
      <c r="AZ35" s="275">
        <f t="shared" si="10"/>
        <v>0</v>
      </c>
      <c r="BA35" s="275">
        <f t="shared" si="10"/>
        <v>0</v>
      </c>
      <c r="BB35" s="275">
        <f t="shared" si="10"/>
        <v>0</v>
      </c>
      <c r="BC35" s="275">
        <f t="shared" si="10"/>
        <v>0</v>
      </c>
      <c r="BD35" s="275">
        <f t="shared" si="10"/>
        <v>0</v>
      </c>
      <c r="BE35" s="275"/>
      <c r="BF35" s="557">
        <f>IF($B33=0,1,IF(AND(BF34&gt;0,$B33&lt;='Input 4_RSV Season'!$AG$27-1),BF34+1,0))</f>
        <v>2</v>
      </c>
      <c r="BG35" s="549">
        <f>IF(AND($BF35&gt;0,$BF35&lt;='Input 6_Product Efficacy'!$Q$9/30),SUM($AS33:$BD33),0)</f>
        <v>2105.7649755618027</v>
      </c>
      <c r="BH35" s="554">
        <f>IF(AND($BF35&gt;0,$BF35&gt;'Input 6_Product Efficacy'!$Q$9/30),SUM($AS33:$BD33),0)</f>
        <v>0</v>
      </c>
      <c r="BJ35" s="549">
        <f>IF(AND($BF35&gt;0,$BF35&lt;='Input 6_Product Efficacy'!$Q$12/30),SUM($AS33:$BD33),0)</f>
        <v>2105.7649755618027</v>
      </c>
      <c r="BK35" s="554">
        <f>IF(AND($BF35&gt;0,$BF35&gt;'Input 6_Product Efficacy'!$Q$12/30),SUM($AS33:$BD33),0)</f>
        <v>0</v>
      </c>
      <c r="BL35" s="275"/>
      <c r="BM35" s="275"/>
      <c r="BN35" s="32"/>
      <c r="BO35" s="35">
        <f t="shared" si="13"/>
        <v>1855.6019281415572</v>
      </c>
      <c r="BP35" s="35">
        <f t="shared" si="11"/>
        <v>5378.8967284103364</v>
      </c>
      <c r="BQ35" s="35">
        <f t="shared" si="11"/>
        <v>7657.2940325841482</v>
      </c>
      <c r="BR35" s="35">
        <f t="shared" si="11"/>
        <v>5120.5217763906257</v>
      </c>
      <c r="BS35" s="35">
        <f t="shared" si="11"/>
        <v>2748.1699442096487</v>
      </c>
      <c r="BT35" s="35">
        <f t="shared" si="11"/>
        <v>728.14759205554788</v>
      </c>
      <c r="BU35" s="35">
        <f t="shared" si="11"/>
        <v>0</v>
      </c>
      <c r="BV35" s="35">
        <f t="shared" si="11"/>
        <v>0</v>
      </c>
      <c r="BW35" s="35">
        <f t="shared" si="11"/>
        <v>0</v>
      </c>
      <c r="BX35" s="35">
        <f t="shared" si="11"/>
        <v>0</v>
      </c>
      <c r="BY35" s="35">
        <f t="shared" si="11"/>
        <v>0</v>
      </c>
      <c r="BZ35" s="35">
        <f t="shared" si="11"/>
        <v>0</v>
      </c>
      <c r="CA35" s="35"/>
      <c r="CB35" s="557">
        <f>IF($B33=0,1,IF(AND(CB34&gt;0,$B33&lt;='Input 4_RSV Season'!$AG$27-1),CB34+1,0))</f>
        <v>2</v>
      </c>
      <c r="CC35" s="549">
        <f>IF(AND($CB35&gt;0,$CB35&lt;='Input 6_Product Efficacy'!$Q$12/30),SUM($BO33:$BZ33),0)</f>
        <v>14319.481635643879</v>
      </c>
      <c r="CD35" s="554">
        <f>IF(AND($CB35&gt;0,$CB35&gt;'Input 6_Product Efficacy'!$Q$12/30),SUM($BO33:$BZ33),0)</f>
        <v>0</v>
      </c>
      <c r="CF35" s="565">
        <f>IF(AND($CB35&gt;0,$CB35&gt;'Input 6_Product Efficacy'!$Q$15/30),SUM($BO33:$BZ33),0)</f>
        <v>0</v>
      </c>
    </row>
    <row r="36" spans="2:85" x14ac:dyDescent="0.3">
      <c r="B36" s="26">
        <v>4</v>
      </c>
      <c r="C36" s="293">
        <f>'Input 2_RSV Rates'!P14*'Input 3_Clinical Severity'!$N$9</f>
        <v>86.254999999999995</v>
      </c>
      <c r="D36" s="13"/>
      <c r="E36" s="77">
        <f t="shared" si="9"/>
        <v>1.2831214928633298E-2</v>
      </c>
      <c r="F36" s="77">
        <f t="shared" si="9"/>
        <v>3.7194281248823097E-2</v>
      </c>
      <c r="G36" s="77">
        <f t="shared" si="9"/>
        <v>5.2949064135879173E-2</v>
      </c>
      <c r="H36" s="77">
        <f t="shared" si="9"/>
        <v>3.5407656385342517E-2</v>
      </c>
      <c r="I36" s="77">
        <f t="shared" si="9"/>
        <v>1.9003191729748049E-2</v>
      </c>
      <c r="J36" s="77">
        <f t="shared" si="9"/>
        <v>5.0350337061725592E-3</v>
      </c>
      <c r="K36" s="77">
        <f t="shared" si="9"/>
        <v>0</v>
      </c>
      <c r="L36" s="77">
        <f t="shared" si="9"/>
        <v>0</v>
      </c>
      <c r="M36" s="77">
        <f t="shared" si="9"/>
        <v>0</v>
      </c>
      <c r="N36" s="77">
        <f t="shared" si="9"/>
        <v>0</v>
      </c>
      <c r="O36" s="77">
        <f t="shared" si="9"/>
        <v>0</v>
      </c>
      <c r="P36" s="77">
        <f t="shared" si="9"/>
        <v>0</v>
      </c>
      <c r="Q36" s="13"/>
      <c r="R36" s="13"/>
      <c r="S36" s="852">
        <f>IF('Input 5_Product Uptake'!$M$9=0,E36*Ratios!$N$39,E36*Ratios!$N$39*Ratios!$Z$36)</f>
        <v>300.75430474532749</v>
      </c>
      <c r="T36" s="852">
        <f>IF('Input 5_Product Uptake'!$M$9=0,F36*Ratios!$N$39,F36*Ratios!$N$39*Ratios!$Z$36)</f>
        <v>871.80678210987321</v>
      </c>
      <c r="U36" s="852">
        <f>IF('Input 5_Product Uptake'!$M$9=0,G36*Ratios!$N$39,G36*Ratios!$N$39*Ratios!$Z$36)</f>
        <v>1241.0873841389464</v>
      </c>
      <c r="V36" s="852">
        <f>IF('Input 5_Product Uptake'!$M$9=0,H36*Ratios!$N$39,H36*Ratios!$N$39*Ratios!$Z$36)</f>
        <v>829.92960043647338</v>
      </c>
      <c r="W36" s="852">
        <f>IF('Input 5_Product Uptake'!$M$9=0,I36*Ratios!$N$39,I36*Ratios!$N$39*Ratios!$Z$36)</f>
        <v>445.42093234434583</v>
      </c>
      <c r="X36" s="852">
        <f>IF('Input 5_Product Uptake'!$M$9=0,J36*Ratios!$N$39,J36*Ratios!$N$39*Ratios!$Z$36)</f>
        <v>118.01751198867281</v>
      </c>
      <c r="Y36" s="852">
        <f>IF('Input 5_Product Uptake'!$M$9=0,K36*Ratios!$N$39,K36*Ratios!$N$39*Ratios!$Z$36)</f>
        <v>0</v>
      </c>
      <c r="Z36" s="852">
        <f>IF('Input 5_Product Uptake'!$M$9=0,L36*Ratios!$N$39,L36*Ratios!$N$39*Ratios!$Z$36)</f>
        <v>0</v>
      </c>
      <c r="AA36" s="852">
        <f>IF('Input 5_Product Uptake'!$M$9=0,M36*Ratios!$N$39,M36*Ratios!$N$39*Ratios!$Z$36)</f>
        <v>0</v>
      </c>
      <c r="AB36" s="852">
        <f>IF('Input 5_Product Uptake'!$M$9=0,N36*Ratios!$N$39,N36*Ratios!$N$39*Ratios!$Z$36)</f>
        <v>0</v>
      </c>
      <c r="AC36" s="852">
        <f>IF('Input 5_Product Uptake'!$M$9=0,O36*Ratios!$N$39,O36*Ratios!$N$39*Ratios!$Z$36)</f>
        <v>0</v>
      </c>
      <c r="AD36" s="852">
        <f>IF('Input 5_Product Uptake'!$M$9=0,P36*Ratios!$N$39,P36*Ratios!$N$39*Ratios!$Z$36)</f>
        <v>0</v>
      </c>
      <c r="AE36" s="296"/>
      <c r="AF36" s="860">
        <f>Ratios!$P$39*E36</f>
        <v>2045.1692347540252</v>
      </c>
      <c r="AG36" s="860">
        <f>Ratios!$P$39*F36</f>
        <v>5928.4019589705276</v>
      </c>
      <c r="AH36" s="860">
        <f>Ratios!$P$39*G36</f>
        <v>8439.5591206305326</v>
      </c>
      <c r="AI36" s="860">
        <f>Ratios!$P$39*H36</f>
        <v>5643.6315591946513</v>
      </c>
      <c r="AJ36" s="860">
        <f>Ratios!$P$39*I36</f>
        <v>3028.9215248888727</v>
      </c>
      <c r="AK36" s="860">
        <f>Ratios!$P$39*J36</f>
        <v>802.53476300474392</v>
      </c>
      <c r="AL36" s="860">
        <f>Ratios!$P$39*K36</f>
        <v>0</v>
      </c>
      <c r="AM36" s="860">
        <f>Ratios!$P$39*L36</f>
        <v>0</v>
      </c>
      <c r="AN36" s="860">
        <f>Ratios!$P$39*M36</f>
        <v>0</v>
      </c>
      <c r="AO36" s="860">
        <f>Ratios!$P$39*N36</f>
        <v>0</v>
      </c>
      <c r="AP36" s="860">
        <f>Ratios!$P$39*O36</f>
        <v>0</v>
      </c>
      <c r="AQ36" s="860">
        <f>Ratios!$P$39*P36</f>
        <v>0</v>
      </c>
      <c r="AR36" s="13"/>
      <c r="AS36" s="275">
        <f t="shared" si="12"/>
        <v>300.75430474532749</v>
      </c>
      <c r="AT36" s="275">
        <f t="shared" si="10"/>
        <v>871.80678210987321</v>
      </c>
      <c r="AU36" s="275">
        <f t="shared" si="10"/>
        <v>1241.0873841389464</v>
      </c>
      <c r="AV36" s="275">
        <f t="shared" si="10"/>
        <v>829.92960043647338</v>
      </c>
      <c r="AW36" s="275">
        <f t="shared" si="10"/>
        <v>445.42093234434583</v>
      </c>
      <c r="AX36" s="275">
        <f t="shared" si="10"/>
        <v>118.01751198867281</v>
      </c>
      <c r="AY36" s="275">
        <f t="shared" si="10"/>
        <v>0</v>
      </c>
      <c r="AZ36" s="275">
        <f t="shared" si="10"/>
        <v>0</v>
      </c>
      <c r="BA36" s="275">
        <f t="shared" si="10"/>
        <v>0</v>
      </c>
      <c r="BB36" s="275">
        <f t="shared" si="10"/>
        <v>0</v>
      </c>
      <c r="BC36" s="275">
        <f t="shared" si="10"/>
        <v>0</v>
      </c>
      <c r="BD36" s="275">
        <f t="shared" si="10"/>
        <v>0</v>
      </c>
      <c r="BE36" s="275"/>
      <c r="BF36" s="557">
        <f>IF($B34=0,1,IF(AND(BF35&gt;0,$B34&lt;='Input 4_RSV Season'!$AG$27-1),BF35+1,0))</f>
        <v>3</v>
      </c>
      <c r="BG36" s="549">
        <f>IF(AND($BF36&gt;0,$BF36&lt;='Input 6_Product Efficacy'!$Q$9/30),SUM($AS34:$BD34),0)</f>
        <v>2378.3094887475936</v>
      </c>
      <c r="BH36" s="554">
        <f>IF(AND($BF36&gt;0,$BF36&gt;'Input 6_Product Efficacy'!$Q$9/30),SUM($AS34:$BD34),0)</f>
        <v>0</v>
      </c>
      <c r="BJ36" s="549">
        <f>IF(AND($BF36&gt;0,$BF36&lt;='Input 6_Product Efficacy'!$Q$12/30),SUM($AS34:$BD34),0)</f>
        <v>2378.3094887475936</v>
      </c>
      <c r="BK36" s="554">
        <f>IF(AND($BF36&gt;0,$BF36&gt;'Input 6_Product Efficacy'!$Q$12/30),SUM($AS34:$BD34),0)</f>
        <v>0</v>
      </c>
      <c r="BL36" s="275"/>
      <c r="BM36" s="275"/>
      <c r="BN36" s="32"/>
      <c r="BO36" s="35">
        <f t="shared" si="13"/>
        <v>2045.1692347540252</v>
      </c>
      <c r="BP36" s="35">
        <f t="shared" si="11"/>
        <v>5928.4019589705276</v>
      </c>
      <c r="BQ36" s="35">
        <f t="shared" si="11"/>
        <v>8439.5591206305326</v>
      </c>
      <c r="BR36" s="35">
        <f t="shared" si="11"/>
        <v>5643.6315591946513</v>
      </c>
      <c r="BS36" s="35">
        <f t="shared" si="11"/>
        <v>3028.9215248888727</v>
      </c>
      <c r="BT36" s="35">
        <f t="shared" si="11"/>
        <v>802.53476300474392</v>
      </c>
      <c r="BU36" s="35">
        <f t="shared" si="11"/>
        <v>0</v>
      </c>
      <c r="BV36" s="35">
        <f t="shared" si="11"/>
        <v>0</v>
      </c>
      <c r="BW36" s="35">
        <f t="shared" si="11"/>
        <v>0</v>
      </c>
      <c r="BX36" s="35">
        <f t="shared" si="11"/>
        <v>0</v>
      </c>
      <c r="BY36" s="35">
        <f t="shared" si="11"/>
        <v>0</v>
      </c>
      <c r="BZ36" s="35">
        <f t="shared" si="11"/>
        <v>0</v>
      </c>
      <c r="CA36" s="35"/>
      <c r="CB36" s="557">
        <f>IF($B34=0,1,IF(AND(CB35&gt;0,$B34&lt;='Input 4_RSV Season'!$AG$27-1),CB35+1,0))</f>
        <v>3</v>
      </c>
      <c r="CC36" s="549">
        <f>IF(AND($CB36&gt;0,$CB36&lt;='Input 6_Product Efficacy'!$Q$12/30),SUM($BO34:$BZ34),0)</f>
        <v>16172.820539439746</v>
      </c>
      <c r="CD36" s="554">
        <f>IF(AND($CB36&gt;0,$CB36&gt;'Input 6_Product Efficacy'!$Q$12/30),SUM($BO34:$BZ34),0)</f>
        <v>0</v>
      </c>
      <c r="CF36" s="565">
        <f>IF(AND($CB36&gt;0,$CB36&gt;'Input 6_Product Efficacy'!$Q$15/30),SUM($BO34:$BZ34),0)</f>
        <v>0</v>
      </c>
    </row>
    <row r="37" spans="2:85" ht="15" thickBot="1" x14ac:dyDescent="0.35">
      <c r="B37" s="804">
        <v>5</v>
      </c>
      <c r="C37" s="806">
        <f>'Input 2_RSV Rates'!P15*'Input 3_Clinical Severity'!$N$9</f>
        <v>53.04</v>
      </c>
      <c r="D37" s="13"/>
      <c r="E37" s="77">
        <f t="shared" si="9"/>
        <v>7.8901819003502419E-3</v>
      </c>
      <c r="F37" s="77">
        <f t="shared" si="9"/>
        <v>2.2871539938989941E-2</v>
      </c>
      <c r="G37" s="77">
        <f t="shared" si="9"/>
        <v>3.2559484803976947E-2</v>
      </c>
      <c r="H37" s="77">
        <f t="shared" si="9"/>
        <v>2.1772907016156366E-2</v>
      </c>
      <c r="I37" s="77">
        <f t="shared" si="9"/>
        <v>1.1685459270138967E-2</v>
      </c>
      <c r="J37" s="77">
        <f t="shared" si="9"/>
        <v>3.0961473279855381E-3</v>
      </c>
      <c r="K37" s="77">
        <f t="shared" si="9"/>
        <v>0</v>
      </c>
      <c r="L37" s="77">
        <f t="shared" si="9"/>
        <v>0</v>
      </c>
      <c r="M37" s="77">
        <f t="shared" si="9"/>
        <v>0</v>
      </c>
      <c r="N37" s="77">
        <f t="shared" si="9"/>
        <v>0</v>
      </c>
      <c r="O37" s="77">
        <f t="shared" si="9"/>
        <v>0</v>
      </c>
      <c r="P37" s="77">
        <f t="shared" si="9"/>
        <v>0</v>
      </c>
      <c r="Q37" s="13"/>
      <c r="R37" s="13"/>
      <c r="S37" s="852">
        <f>IF('Input 5_Product Uptake'!$M$9=0,E37*Ratios!$N$39,E37*Ratios!$N$39*Ratios!$Z$36)</f>
        <v>184.94009997904089</v>
      </c>
      <c r="T37" s="852">
        <f>IF('Input 5_Product Uptake'!$M$9=0,F37*Ratios!$N$39,F37*Ratios!$N$39*Ratios!$Z$36)</f>
        <v>536.09218854684002</v>
      </c>
      <c r="U37" s="852">
        <f>IF('Input 5_Product Uptake'!$M$9=0,G37*Ratios!$N$39,G37*Ratios!$N$39*Ratios!$Z$36)</f>
        <v>763.17053915401686</v>
      </c>
      <c r="V37" s="852">
        <f>IF('Input 5_Product Uptake'!$M$9=0,H37*Ratios!$N$39,H37*Ratios!$N$39*Ratios!$Z$36)</f>
        <v>510.34103538520145</v>
      </c>
      <c r="W37" s="852">
        <f>IF('Input 5_Product Uptake'!$M$9=0,I37*Ratios!$N$39,I37*Ratios!$N$39*Ratios!$Z$36)</f>
        <v>273.89862908288336</v>
      </c>
      <c r="X37" s="852">
        <f>IF('Input 5_Product Uptake'!$M$9=0,J37*Ratios!$N$39,J37*Ratios!$N$39*Ratios!$Z$36)</f>
        <v>72.571431637345157</v>
      </c>
      <c r="Y37" s="852">
        <f>IF('Input 5_Product Uptake'!$M$9=0,K37*Ratios!$N$39,K37*Ratios!$N$39*Ratios!$Z$36)</f>
        <v>0</v>
      </c>
      <c r="Z37" s="852">
        <f>IF('Input 5_Product Uptake'!$M$9=0,L37*Ratios!$N$39,L37*Ratios!$N$39*Ratios!$Z$36)</f>
        <v>0</v>
      </c>
      <c r="AA37" s="852">
        <f>IF('Input 5_Product Uptake'!$M$9=0,M37*Ratios!$N$39,M37*Ratios!$N$39*Ratios!$Z$36)</f>
        <v>0</v>
      </c>
      <c r="AB37" s="852">
        <f>IF('Input 5_Product Uptake'!$M$9=0,N37*Ratios!$N$39,N37*Ratios!$N$39*Ratios!$Z$36)</f>
        <v>0</v>
      </c>
      <c r="AC37" s="852">
        <f>IF('Input 5_Product Uptake'!$M$9=0,O37*Ratios!$N$39,O37*Ratios!$N$39*Ratios!$Z$36)</f>
        <v>0</v>
      </c>
      <c r="AD37" s="852">
        <f>IF('Input 5_Product Uptake'!$M$9=0,P37*Ratios!$N$39,P37*Ratios!$N$39*Ratios!$Z$36)</f>
        <v>0</v>
      </c>
      <c r="AE37" s="296"/>
      <c r="AF37" s="860">
        <f>Ratios!$P$39*E37</f>
        <v>1257.6172536241781</v>
      </c>
      <c r="AG37" s="860">
        <f>Ratios!$P$39*F37</f>
        <v>3645.4981149359091</v>
      </c>
      <c r="AH37" s="860">
        <f>Ratios!$P$39*G37</f>
        <v>5189.6610719174951</v>
      </c>
      <c r="AI37" s="860">
        <f>Ratios!$P$39*H37</f>
        <v>3470.3868517730489</v>
      </c>
      <c r="AJ37" s="860">
        <f>Ratios!$P$39*I37</f>
        <v>1862.5470718231502</v>
      </c>
      <c r="AK37" s="860">
        <f>Ratios!$P$39*J37</f>
        <v>493.49537800442437</v>
      </c>
      <c r="AL37" s="860">
        <f>Ratios!$P$39*K37</f>
        <v>0</v>
      </c>
      <c r="AM37" s="860">
        <f>Ratios!$P$39*L37</f>
        <v>0</v>
      </c>
      <c r="AN37" s="860">
        <f>Ratios!$P$39*M37</f>
        <v>0</v>
      </c>
      <c r="AO37" s="860">
        <f>Ratios!$P$39*N37</f>
        <v>0</v>
      </c>
      <c r="AP37" s="860">
        <f>Ratios!$P$39*O37</f>
        <v>0</v>
      </c>
      <c r="AQ37" s="860">
        <f>Ratios!$P$39*P37</f>
        <v>0</v>
      </c>
      <c r="AR37" s="13"/>
      <c r="AS37" s="275">
        <f t="shared" si="12"/>
        <v>184.94009997904089</v>
      </c>
      <c r="AT37" s="275">
        <f t="shared" si="10"/>
        <v>536.09218854684002</v>
      </c>
      <c r="AU37" s="275">
        <f t="shared" si="10"/>
        <v>763.17053915401686</v>
      </c>
      <c r="AV37" s="275">
        <f t="shared" si="10"/>
        <v>510.34103538520145</v>
      </c>
      <c r="AW37" s="275">
        <f t="shared" si="10"/>
        <v>273.89862908288336</v>
      </c>
      <c r="AX37" s="275">
        <f t="shared" si="10"/>
        <v>72.571431637345157</v>
      </c>
      <c r="AY37" s="275">
        <f t="shared" si="10"/>
        <v>0</v>
      </c>
      <c r="AZ37" s="275">
        <f t="shared" si="10"/>
        <v>0</v>
      </c>
      <c r="BA37" s="275">
        <f t="shared" si="10"/>
        <v>0</v>
      </c>
      <c r="BB37" s="275">
        <f t="shared" si="10"/>
        <v>0</v>
      </c>
      <c r="BC37" s="275">
        <f t="shared" si="10"/>
        <v>0</v>
      </c>
      <c r="BD37" s="275">
        <f t="shared" si="10"/>
        <v>0</v>
      </c>
      <c r="BE37" s="276"/>
      <c r="BF37" s="557">
        <f>IF($B35=0,1,IF(AND(BF36&gt;0,$B35&lt;='Input 4_RSV Season'!$AG$27-1),BF36+1,0))</f>
        <v>4</v>
      </c>
      <c r="BG37" s="549">
        <f>IF(AND($BF37&gt;0,$BF37&lt;='Input 6_Product Efficacy'!$Q$9/30),SUM($AS35:$BD35),0)</f>
        <v>3454.1430934283517</v>
      </c>
      <c r="BH37" s="554">
        <f>IF(AND($BF37&gt;0,$BF37&gt;'Input 6_Product Efficacy'!$Q$9/30),SUM($AS35:$BD35),0)</f>
        <v>0</v>
      </c>
      <c r="BJ37" s="549">
        <f>IF(AND($BF37&gt;0,$BF37&lt;='Input 6_Product Efficacy'!$Q$12/30),SUM($AS35:$BD35),0)</f>
        <v>3454.1430934283517</v>
      </c>
      <c r="BK37" s="554">
        <f>IF(AND($BF37&gt;0,$BF37&gt;'Input 6_Product Efficacy'!$Q$12/30),SUM($AS35:$BD35),0)</f>
        <v>0</v>
      </c>
      <c r="BL37" s="276"/>
      <c r="BM37" s="276"/>
      <c r="BN37" s="93"/>
      <c r="BO37" s="35">
        <f t="shared" si="13"/>
        <v>1257.6172536241781</v>
      </c>
      <c r="BP37" s="244">
        <f t="shared" si="11"/>
        <v>3645.4981149359091</v>
      </c>
      <c r="BQ37" s="244">
        <f t="shared" si="11"/>
        <v>5189.6610719174951</v>
      </c>
      <c r="BR37" s="244">
        <f t="shared" si="11"/>
        <v>3470.3868517730489</v>
      </c>
      <c r="BS37" s="244">
        <f t="shared" si="11"/>
        <v>1862.5470718231502</v>
      </c>
      <c r="BT37" s="244">
        <f t="shared" si="11"/>
        <v>493.49537800442437</v>
      </c>
      <c r="BU37" s="244">
        <f t="shared" si="11"/>
        <v>0</v>
      </c>
      <c r="BV37" s="244">
        <f t="shared" si="11"/>
        <v>0</v>
      </c>
      <c r="BW37" s="244">
        <f t="shared" si="11"/>
        <v>0</v>
      </c>
      <c r="BX37" s="244">
        <f t="shared" si="11"/>
        <v>0</v>
      </c>
      <c r="BY37" s="244">
        <f t="shared" si="11"/>
        <v>0</v>
      </c>
      <c r="BZ37" s="244">
        <f t="shared" si="11"/>
        <v>0</v>
      </c>
      <c r="CA37" s="244"/>
      <c r="CB37" s="557">
        <f>IF($B35=0,1,IF(AND(CB36&gt;0,$B35&lt;='Input 4_RSV Season'!$AG$27-1),CB36+1,0))</f>
        <v>4</v>
      </c>
      <c r="CC37" s="549">
        <f>IF(AND($CB37&gt;0,$CB37&lt;='Input 6_Product Efficacy'!$Q$12/30),SUM($BO35:$BZ35),0)</f>
        <v>23488.632001791866</v>
      </c>
      <c r="CD37" s="554">
        <f>IF(AND($CB37&gt;0,$CB37&gt;'Input 6_Product Efficacy'!$Q$12/30),SUM($BO35:$BZ35),0)</f>
        <v>0</v>
      </c>
      <c r="CF37" s="565">
        <f>IF(AND($CB37&gt;0,$CB37&gt;'Input 6_Product Efficacy'!$Q$15/30),SUM($BO35:$BZ35),0)</f>
        <v>23488.632001791866</v>
      </c>
    </row>
    <row r="38" spans="2:85" ht="15" thickTop="1" x14ac:dyDescent="0.3">
      <c r="B38" s="26">
        <v>6</v>
      </c>
      <c r="C38" s="293">
        <f>'Input 2_RSV Rates'!P16*'Input 3_Clinical Severity'!$N$11</f>
        <v>46.8</v>
      </c>
      <c r="D38" s="13"/>
      <c r="E38" s="77">
        <f t="shared" si="9"/>
        <v>6.9619252061913894E-3</v>
      </c>
      <c r="F38" s="77">
        <f t="shared" si="9"/>
        <v>2.0180770534402887E-2</v>
      </c>
      <c r="G38" s="77">
        <f t="shared" si="9"/>
        <v>2.8728957179979659E-2</v>
      </c>
      <c r="H38" s="77">
        <f t="shared" si="9"/>
        <v>1.9211388543667378E-2</v>
      </c>
      <c r="I38" s="77">
        <f t="shared" si="9"/>
        <v>1.031069935600497E-2</v>
      </c>
      <c r="J38" s="77">
        <f t="shared" si="9"/>
        <v>2.7318947011637099E-3</v>
      </c>
      <c r="K38" s="77">
        <f t="shared" si="9"/>
        <v>0</v>
      </c>
      <c r="L38" s="77">
        <f t="shared" si="9"/>
        <v>0</v>
      </c>
      <c r="M38" s="77">
        <f t="shared" si="9"/>
        <v>0</v>
      </c>
      <c r="N38" s="77">
        <f t="shared" si="9"/>
        <v>0</v>
      </c>
      <c r="O38" s="77">
        <f t="shared" si="9"/>
        <v>0</v>
      </c>
      <c r="P38" s="77">
        <f t="shared" si="9"/>
        <v>0</v>
      </c>
      <c r="Q38" s="13"/>
      <c r="R38" s="13"/>
      <c r="S38" s="852">
        <f>IF('Input 5_Product Uptake'!$M$9=0,E38*Ratios!$N$39,E38*Ratios!$N$39*Ratios!$Z$36)</f>
        <v>163.18244115797722</v>
      </c>
      <c r="T38" s="852">
        <f>IF('Input 5_Product Uptake'!$M$9=0,F38*Ratios!$N$39,F38*Ratios!$N$39*Ratios!$Z$36)</f>
        <v>473.02251930603524</v>
      </c>
      <c r="U38" s="852">
        <f>IF('Input 5_Product Uptake'!$M$9=0,G38*Ratios!$N$39,G38*Ratios!$N$39*Ratios!$Z$36)</f>
        <v>673.38576984177951</v>
      </c>
      <c r="V38" s="852">
        <f>IF('Input 5_Product Uptake'!$M$9=0,H38*Ratios!$N$39,H38*Ratios!$N$39*Ratios!$Z$36)</f>
        <v>450.30091357517767</v>
      </c>
      <c r="W38" s="852">
        <f>IF('Input 5_Product Uptake'!$M$9=0,I38*Ratios!$N$39,I38*Ratios!$N$39*Ratios!$Z$36)</f>
        <v>241.6752609554853</v>
      </c>
      <c r="X38" s="852">
        <f>IF('Input 5_Product Uptake'!$M$9=0,J38*Ratios!$N$39,J38*Ratios!$N$39*Ratios!$Z$36)</f>
        <v>64.033616150598661</v>
      </c>
      <c r="Y38" s="852">
        <f>IF('Input 5_Product Uptake'!$M$9=0,K38*Ratios!$N$39,K38*Ratios!$N$39*Ratios!$Z$36)</f>
        <v>0</v>
      </c>
      <c r="Z38" s="852">
        <f>IF('Input 5_Product Uptake'!$M$9=0,L38*Ratios!$N$39,L38*Ratios!$N$39*Ratios!$Z$36)</f>
        <v>0</v>
      </c>
      <c r="AA38" s="852">
        <f>IF('Input 5_Product Uptake'!$M$9=0,M38*Ratios!$N$39,M38*Ratios!$N$39*Ratios!$Z$36)</f>
        <v>0</v>
      </c>
      <c r="AB38" s="852">
        <f>IF('Input 5_Product Uptake'!$M$9=0,N38*Ratios!$N$39,N38*Ratios!$N$39*Ratios!$Z$36)</f>
        <v>0</v>
      </c>
      <c r="AC38" s="852">
        <f>IF('Input 5_Product Uptake'!$M$9=0,O38*Ratios!$N$39,O38*Ratios!$N$39*Ratios!$Z$36)</f>
        <v>0</v>
      </c>
      <c r="AD38" s="852">
        <f>IF('Input 5_Product Uptake'!$M$9=0,P38*Ratios!$N$39,P38*Ratios!$N$39*Ratios!$Z$36)</f>
        <v>0</v>
      </c>
      <c r="AE38" s="296"/>
      <c r="AF38" s="860">
        <f>Ratios!$P$39*E38</f>
        <v>1109.662282609569</v>
      </c>
      <c r="AG38" s="860">
        <f>Ratios!$P$39*F38</f>
        <v>3216.6159837669784</v>
      </c>
      <c r="AH38" s="860">
        <f>Ratios!$P$39*G38</f>
        <v>4579.1127105154364</v>
      </c>
      <c r="AI38" s="860">
        <f>Ratios!$P$39*H38</f>
        <v>3062.1060456821015</v>
      </c>
      <c r="AJ38" s="860">
        <f>Ratios!$P$39*I38</f>
        <v>1643.4238869027795</v>
      </c>
      <c r="AK38" s="860">
        <f>Ratios!$P$39*J38</f>
        <v>435.43709823919795</v>
      </c>
      <c r="AL38" s="860">
        <f>Ratios!$P$39*K38</f>
        <v>0</v>
      </c>
      <c r="AM38" s="860">
        <f>Ratios!$P$39*L38</f>
        <v>0</v>
      </c>
      <c r="AN38" s="860">
        <f>Ratios!$P$39*M38</f>
        <v>0</v>
      </c>
      <c r="AO38" s="860">
        <f>Ratios!$P$39*N38</f>
        <v>0</v>
      </c>
      <c r="AP38" s="860">
        <f>Ratios!$P$39*O38</f>
        <v>0</v>
      </c>
      <c r="AQ38" s="860">
        <f>Ratios!$P$39*P38</f>
        <v>0</v>
      </c>
      <c r="AR38" s="13"/>
      <c r="AS38" s="275">
        <f t="shared" si="12"/>
        <v>163.18244115797722</v>
      </c>
      <c r="AT38" s="275">
        <f t="shared" si="10"/>
        <v>473.02251930603524</v>
      </c>
      <c r="AU38" s="275">
        <f t="shared" si="10"/>
        <v>673.38576984177951</v>
      </c>
      <c r="AV38" s="275">
        <f t="shared" si="10"/>
        <v>450.30091357517767</v>
      </c>
      <c r="AW38" s="275">
        <f t="shared" si="10"/>
        <v>241.6752609554853</v>
      </c>
      <c r="AX38" s="275">
        <f t="shared" si="10"/>
        <v>64.033616150598661</v>
      </c>
      <c r="AY38" s="275">
        <f t="shared" si="10"/>
        <v>0</v>
      </c>
      <c r="AZ38" s="275">
        <f t="shared" si="10"/>
        <v>0</v>
      </c>
      <c r="BA38" s="275">
        <f t="shared" si="10"/>
        <v>0</v>
      </c>
      <c r="BB38" s="275">
        <f t="shared" si="10"/>
        <v>0</v>
      </c>
      <c r="BC38" s="275">
        <f t="shared" si="10"/>
        <v>0</v>
      </c>
      <c r="BD38" s="275">
        <f t="shared" si="10"/>
        <v>0</v>
      </c>
      <c r="BE38" s="276"/>
      <c r="BF38" s="557">
        <f>IF($B36=0,1,IF(AND(BF37&gt;0,$B36&lt;='Input 4_RSV Season'!$AG$27-1),BF37+1,0))</f>
        <v>5</v>
      </c>
      <c r="BG38" s="549">
        <f>IF(AND($BF38&gt;0,$BF38&lt;='Input 6_Product Efficacy'!$Q$9/30),SUM($AS36:$BD36),0)</f>
        <v>3807.0165157636384</v>
      </c>
      <c r="BH38" s="554">
        <f>IF(AND($BF38&gt;0,$BF38&gt;'Input 6_Product Efficacy'!$Q$9/30),SUM($AS36:$BD36),0)</f>
        <v>0</v>
      </c>
      <c r="BJ38" s="549">
        <f>IF(AND($BF38&gt;0,$BF38&lt;='Input 6_Product Efficacy'!$Q$12/30),SUM($AS36:$BD36),0)</f>
        <v>3807.0165157636384</v>
      </c>
      <c r="BK38" s="554">
        <f>IF(AND($BF38&gt;0,$BF38&gt;'Input 6_Product Efficacy'!$Q$12/30),SUM($AS36:$BD36),0)</f>
        <v>0</v>
      </c>
      <c r="BL38" s="276"/>
      <c r="BM38" s="276"/>
      <c r="BN38" s="93"/>
      <c r="BO38" s="35">
        <f t="shared" si="13"/>
        <v>1109.662282609569</v>
      </c>
      <c r="BP38" s="244">
        <f t="shared" si="11"/>
        <v>3216.6159837669784</v>
      </c>
      <c r="BQ38" s="244">
        <f t="shared" si="11"/>
        <v>4579.1127105154364</v>
      </c>
      <c r="BR38" s="244">
        <f t="shared" si="11"/>
        <v>3062.1060456821015</v>
      </c>
      <c r="BS38" s="244">
        <f t="shared" si="11"/>
        <v>1643.4238869027795</v>
      </c>
      <c r="BT38" s="244">
        <f t="shared" si="11"/>
        <v>435.43709823919795</v>
      </c>
      <c r="BU38" s="244">
        <f t="shared" si="11"/>
        <v>0</v>
      </c>
      <c r="BV38" s="244">
        <f t="shared" si="11"/>
        <v>0</v>
      </c>
      <c r="BW38" s="244">
        <f t="shared" si="11"/>
        <v>0</v>
      </c>
      <c r="BX38" s="244">
        <f t="shared" si="11"/>
        <v>0</v>
      </c>
      <c r="BY38" s="244">
        <f t="shared" si="11"/>
        <v>0</v>
      </c>
      <c r="BZ38" s="244">
        <f t="shared" si="11"/>
        <v>0</v>
      </c>
      <c r="CA38" s="244"/>
      <c r="CB38" s="557">
        <f>IF($B36=0,1,IF(AND(CB37&gt;0,$B36&lt;='Input 4_RSV Season'!$AG$27-1),CB37+1,0))</f>
        <v>5</v>
      </c>
      <c r="CC38" s="549">
        <f>IF(AND($CB38&gt;0,$CB38&lt;='Input 6_Product Efficacy'!$Q$12/30),SUM($BO36:$BZ36),0)</f>
        <v>25888.21816144335</v>
      </c>
      <c r="CD38" s="554">
        <f>IF(AND($CB38&gt;0,$CB38&gt;'Input 6_Product Efficacy'!$Q$12/30),SUM($BO36:$BZ36),0)</f>
        <v>0</v>
      </c>
      <c r="CF38" s="565">
        <f>IF(AND($CB38&gt;0,$CB38&gt;'Input 6_Product Efficacy'!$Q$15/30),SUM($BO36:$BZ36),0)</f>
        <v>25888.21816144335</v>
      </c>
    </row>
    <row r="39" spans="2:85" x14ac:dyDescent="0.3">
      <c r="B39" s="26">
        <v>7</v>
      </c>
      <c r="C39" s="293">
        <f>'Input 2_RSV Rates'!P17*'Input 3_Clinical Severity'!$N$11</f>
        <v>32.1</v>
      </c>
      <c r="D39" s="13"/>
      <c r="E39" s="77">
        <f t="shared" si="9"/>
        <v>4.7751666478364025E-3</v>
      </c>
      <c r="F39" s="77">
        <f t="shared" si="9"/>
        <v>1.384193876398147E-2</v>
      </c>
      <c r="G39" s="77">
        <f t="shared" si="9"/>
        <v>1.9705118065755284E-2</v>
      </c>
      <c r="H39" s="77">
        <f t="shared" si="9"/>
        <v>1.3177042142130833E-2</v>
      </c>
      <c r="I39" s="77">
        <f t="shared" si="9"/>
        <v>7.0720822505931534E-3</v>
      </c>
      <c r="J39" s="77">
        <f t="shared" si="9"/>
        <v>1.8737995706699807E-3</v>
      </c>
      <c r="K39" s="77">
        <f t="shared" si="9"/>
        <v>0</v>
      </c>
      <c r="L39" s="77">
        <f t="shared" si="9"/>
        <v>0</v>
      </c>
      <c r="M39" s="77">
        <f t="shared" si="9"/>
        <v>0</v>
      </c>
      <c r="N39" s="77">
        <f t="shared" si="9"/>
        <v>0</v>
      </c>
      <c r="O39" s="77">
        <f t="shared" si="9"/>
        <v>0</v>
      </c>
      <c r="P39" s="77">
        <f t="shared" si="9"/>
        <v>0</v>
      </c>
      <c r="Q39" s="13"/>
      <c r="R39" s="13"/>
      <c r="S39" s="852">
        <f>IF('Input 5_Product Uptake'!$M$9=0,E39*Ratios!$N$39,E39*Ratios!$N$39*Ratios!$Z$36)</f>
        <v>111.92641797374083</v>
      </c>
      <c r="T39" s="852">
        <f>IF('Input 5_Product Uptake'!$M$9=0,F39*Ratios!$N$39,F39*Ratios!$N$39*Ratios!$Z$36)</f>
        <v>324.44493311375504</v>
      </c>
      <c r="U39" s="852">
        <f>IF('Input 5_Product Uptake'!$M$9=0,G39*Ratios!$N$39,G39*Ratios!$N$39*Ratios!$Z$36)</f>
        <v>461.87357290429759</v>
      </c>
      <c r="V39" s="852">
        <f>IF('Input 5_Product Uptake'!$M$9=0,H39*Ratios!$N$39,H39*Ratios!$N$39*Ratios!$Z$36)</f>
        <v>308.86024200348737</v>
      </c>
      <c r="W39" s="852">
        <f>IF('Input 5_Product Uptake'!$M$9=0,I39*Ratios!$N$39,I39*Ratios!$N$39*Ratios!$Z$36)</f>
        <v>165.76444180921109</v>
      </c>
      <c r="X39" s="852">
        <f>IF('Input 5_Product Uptake'!$M$9=0,J39*Ratios!$N$39,J39*Ratios!$N$39*Ratios!$Z$36)</f>
        <v>43.920493128936272</v>
      </c>
      <c r="Y39" s="852">
        <f>IF('Input 5_Product Uptake'!$M$9=0,K39*Ratios!$N$39,K39*Ratios!$N$39*Ratios!$Z$36)</f>
        <v>0</v>
      </c>
      <c r="Z39" s="852">
        <f>IF('Input 5_Product Uptake'!$M$9=0,L39*Ratios!$N$39,L39*Ratios!$N$39*Ratios!$Z$36)</f>
        <v>0</v>
      </c>
      <c r="AA39" s="852">
        <f>IF('Input 5_Product Uptake'!$M$9=0,M39*Ratios!$N$39,M39*Ratios!$N$39*Ratios!$Z$36)</f>
        <v>0</v>
      </c>
      <c r="AB39" s="852">
        <f>IF('Input 5_Product Uptake'!$M$9=0,N39*Ratios!$N$39,N39*Ratios!$N$39*Ratios!$Z$36)</f>
        <v>0</v>
      </c>
      <c r="AC39" s="852">
        <f>IF('Input 5_Product Uptake'!$M$9=0,O39*Ratios!$N$39,O39*Ratios!$N$39*Ratios!$Z$36)</f>
        <v>0</v>
      </c>
      <c r="AD39" s="852">
        <f>IF('Input 5_Product Uptake'!$M$9=0,P39*Ratios!$N$39,P39*Ratios!$N$39*Ratios!$Z$36)</f>
        <v>0</v>
      </c>
      <c r="AE39" s="296"/>
      <c r="AF39" s="860">
        <f>Ratios!$P$39*E39</f>
        <v>761.11451435399931</v>
      </c>
      <c r="AG39" s="860">
        <f>Ratios!$P$39*F39</f>
        <v>2206.268655532479</v>
      </c>
      <c r="AH39" s="860">
        <f>Ratios!$P$39*G39</f>
        <v>3140.8016668278965</v>
      </c>
      <c r="AI39" s="860">
        <f>Ratios!$P$39*H39</f>
        <v>2100.2906851793909</v>
      </c>
      <c r="AJ39" s="860">
        <f>Ratios!$P$39*I39</f>
        <v>1127.2202301192142</v>
      </c>
      <c r="AK39" s="860">
        <f>Ratios!$P$39*J39</f>
        <v>298.6651891768858</v>
      </c>
      <c r="AL39" s="860">
        <f>Ratios!$P$39*K39</f>
        <v>0</v>
      </c>
      <c r="AM39" s="860">
        <f>Ratios!$P$39*L39</f>
        <v>0</v>
      </c>
      <c r="AN39" s="860">
        <f>Ratios!$P$39*M39</f>
        <v>0</v>
      </c>
      <c r="AO39" s="860">
        <f>Ratios!$P$39*N39</f>
        <v>0</v>
      </c>
      <c r="AP39" s="860">
        <f>Ratios!$P$39*O39</f>
        <v>0</v>
      </c>
      <c r="AQ39" s="860">
        <f>Ratios!$P$39*P39</f>
        <v>0</v>
      </c>
      <c r="AR39" s="13"/>
      <c r="AS39" s="275">
        <f t="shared" si="12"/>
        <v>111.92641797374083</v>
      </c>
      <c r="AT39" s="275">
        <f t="shared" si="10"/>
        <v>324.44493311375504</v>
      </c>
      <c r="AU39" s="275">
        <f t="shared" si="10"/>
        <v>461.87357290429759</v>
      </c>
      <c r="AV39" s="275">
        <f t="shared" si="10"/>
        <v>308.86024200348737</v>
      </c>
      <c r="AW39" s="275">
        <f t="shared" si="10"/>
        <v>165.76444180921109</v>
      </c>
      <c r="AX39" s="275">
        <f t="shared" si="10"/>
        <v>43.920493128936272</v>
      </c>
      <c r="AY39" s="275">
        <f t="shared" si="10"/>
        <v>0</v>
      </c>
      <c r="AZ39" s="275">
        <f t="shared" si="10"/>
        <v>0</v>
      </c>
      <c r="BA39" s="275">
        <f t="shared" si="10"/>
        <v>0</v>
      </c>
      <c r="BB39" s="275">
        <f t="shared" si="10"/>
        <v>0</v>
      </c>
      <c r="BC39" s="275">
        <f t="shared" si="10"/>
        <v>0</v>
      </c>
      <c r="BD39" s="275">
        <f t="shared" si="10"/>
        <v>0</v>
      </c>
      <c r="BE39" s="276"/>
      <c r="BF39" s="557">
        <f>IF($B37=0,1,IF(AND(BF38&gt;0,$B37&lt;='Input 4_RSV Season'!$AG$27-1),BF38+1,0))</f>
        <v>6</v>
      </c>
      <c r="BG39" s="549">
        <f>IF(AND($BF39&gt;0,$BF39&lt;='Input 6_Product Efficacy'!$Q$9/30),SUM($AS37:$BD37),0)</f>
        <v>0</v>
      </c>
      <c r="BH39" s="554">
        <f>IF(AND($BF39&gt;0,$BF39&gt;'Input 6_Product Efficacy'!$Q$9/30),SUM($AS37:$BD37),0)</f>
        <v>2341.0139237853277</v>
      </c>
      <c r="BJ39" s="549">
        <f>IF(AND($BF39&gt;0,$BF39&lt;='Input 6_Product Efficacy'!$Q$12/30),SUM($AS37:$BD37),0)</f>
        <v>0</v>
      </c>
      <c r="BK39" s="554">
        <f>IF(AND($BF39&gt;0,$BF39&gt;'Input 6_Product Efficacy'!$Q$12/30),SUM($AS37:$BD37),0)</f>
        <v>2341.0139237853277</v>
      </c>
      <c r="BL39" s="276"/>
      <c r="BM39" s="276"/>
      <c r="BN39" s="93"/>
      <c r="BO39" s="35">
        <f t="shared" si="13"/>
        <v>761.11451435399931</v>
      </c>
      <c r="BP39" s="244">
        <f t="shared" si="11"/>
        <v>2206.268655532479</v>
      </c>
      <c r="BQ39" s="244">
        <f t="shared" si="11"/>
        <v>3140.8016668278965</v>
      </c>
      <c r="BR39" s="244">
        <f t="shared" si="11"/>
        <v>2100.2906851793909</v>
      </c>
      <c r="BS39" s="244">
        <f t="shared" si="11"/>
        <v>1127.2202301192142</v>
      </c>
      <c r="BT39" s="244">
        <f t="shared" si="11"/>
        <v>298.6651891768858</v>
      </c>
      <c r="BU39" s="244">
        <f t="shared" si="11"/>
        <v>0</v>
      </c>
      <c r="BV39" s="244">
        <f t="shared" si="11"/>
        <v>0</v>
      </c>
      <c r="BW39" s="244">
        <f t="shared" si="11"/>
        <v>0</v>
      </c>
      <c r="BX39" s="244">
        <f t="shared" si="11"/>
        <v>0</v>
      </c>
      <c r="BY39" s="244">
        <f t="shared" si="11"/>
        <v>0</v>
      </c>
      <c r="BZ39" s="244">
        <f t="shared" si="11"/>
        <v>0</v>
      </c>
      <c r="CA39" s="244"/>
      <c r="CB39" s="557">
        <f>IF($B37=0,1,IF(AND(CB38&gt;0,$B37&lt;='Input 4_RSV Season'!$AG$27-1),CB38+1,0))</f>
        <v>6</v>
      </c>
      <c r="CC39" s="549">
        <f>IF(AND($CB39&gt;0,$CB39&lt;='Input 6_Product Efficacy'!$Q$12/30),SUM($BO37:$BZ37),0)</f>
        <v>0</v>
      </c>
      <c r="CD39" s="554">
        <f>IF(AND($CB39&gt;0,$CB39&gt;'Input 6_Product Efficacy'!$Q$12/30),SUM($BO37:$BZ37),0)</f>
        <v>15919.205742078208</v>
      </c>
      <c r="CF39" s="565">
        <f>IF(AND($CB39&gt;0,$CB39&gt;'Input 6_Product Efficacy'!$Q$15/30),SUM($BO37:$BZ37),0)</f>
        <v>15919.205742078208</v>
      </c>
    </row>
    <row r="40" spans="2:85" x14ac:dyDescent="0.3">
      <c r="B40" s="26">
        <v>8</v>
      </c>
      <c r="C40" s="293">
        <f>'Input 2_RSV Rates'!P18*'Input 3_Clinical Severity'!$N$11</f>
        <v>31.75</v>
      </c>
      <c r="D40" s="13"/>
      <c r="E40" s="77">
        <f t="shared" si="9"/>
        <v>4.7231009678755697E-3</v>
      </c>
      <c r="F40" s="77">
        <f t="shared" si="9"/>
        <v>1.3691014198019054E-2</v>
      </c>
      <c r="G40" s="77">
        <f t="shared" si="9"/>
        <v>1.9490264753511843E-2</v>
      </c>
      <c r="H40" s="77">
        <f t="shared" si="9"/>
        <v>1.3033367227808533E-2</v>
      </c>
      <c r="I40" s="77">
        <f t="shared" si="9"/>
        <v>6.994972319511919E-3</v>
      </c>
      <c r="J40" s="77">
        <f t="shared" si="9"/>
        <v>1.8533687342296536E-3</v>
      </c>
      <c r="K40" s="77">
        <f t="shared" si="9"/>
        <v>0</v>
      </c>
      <c r="L40" s="77">
        <f t="shared" si="9"/>
        <v>0</v>
      </c>
      <c r="M40" s="77">
        <f t="shared" si="9"/>
        <v>0</v>
      </c>
      <c r="N40" s="77">
        <f t="shared" si="9"/>
        <v>0</v>
      </c>
      <c r="O40" s="77">
        <f t="shared" si="9"/>
        <v>0</v>
      </c>
      <c r="P40" s="77">
        <f t="shared" si="9"/>
        <v>0</v>
      </c>
      <c r="Q40" s="13"/>
      <c r="R40" s="13"/>
      <c r="S40" s="852">
        <f>IF('Input 5_Product Uptake'!$M$9=0,E40*Ratios!$N$39,E40*Ratios!$N$39*Ratios!$Z$36)</f>
        <v>110.70603646935425</v>
      </c>
      <c r="T40" s="852">
        <f>IF('Input 5_Product Uptake'!$M$9=0,F40*Ratios!$N$39,F40*Ratios!$N$39*Ratios!$Z$36)</f>
        <v>320.9073715377483</v>
      </c>
      <c r="U40" s="852">
        <f>IF('Input 5_Product Uptake'!$M$9=0,G40*Ratios!$N$39,G40*Ratios!$N$39*Ratios!$Z$36)</f>
        <v>456.83756821530989</v>
      </c>
      <c r="V40" s="852">
        <f>IF('Input 5_Product Uptake'!$M$9=0,H40*Ratios!$N$39,H40*Ratios!$N$39*Ratios!$Z$36)</f>
        <v>305.49260696606615</v>
      </c>
      <c r="W40" s="852">
        <f>IF('Input 5_Product Uptake'!$M$9=0,I40*Ratios!$N$39,I40*Ratios!$N$39*Ratios!$Z$36)</f>
        <v>163.95704135334742</v>
      </c>
      <c r="X40" s="852">
        <f>IF('Input 5_Product Uptake'!$M$9=0,J40*Ratios!$N$39,J40*Ratios!$N$39*Ratios!$Z$36)</f>
        <v>43.441609247468108</v>
      </c>
      <c r="Y40" s="852">
        <f>IF('Input 5_Product Uptake'!$M$9=0,K40*Ratios!$N$39,K40*Ratios!$N$39*Ratios!$Z$36)</f>
        <v>0</v>
      </c>
      <c r="Z40" s="852">
        <f>IF('Input 5_Product Uptake'!$M$9=0,L40*Ratios!$N$39,L40*Ratios!$N$39*Ratios!$Z$36)</f>
        <v>0</v>
      </c>
      <c r="AA40" s="852">
        <f>IF('Input 5_Product Uptake'!$M$9=0,M40*Ratios!$N$39,M40*Ratios!$N$39*Ratios!$Z$36)</f>
        <v>0</v>
      </c>
      <c r="AB40" s="852">
        <f>IF('Input 5_Product Uptake'!$M$9=0,N40*Ratios!$N$39,N40*Ratios!$N$39*Ratios!$Z$36)</f>
        <v>0</v>
      </c>
      <c r="AC40" s="852">
        <f>IF('Input 5_Product Uptake'!$M$9=0,O40*Ratios!$N$39,O40*Ratios!$N$39*Ratios!$Z$36)</f>
        <v>0</v>
      </c>
      <c r="AD40" s="852">
        <f>IF('Input 5_Product Uptake'!$M$9=0,P40*Ratios!$N$39,P40*Ratios!$N$39*Ratios!$Z$36)</f>
        <v>0</v>
      </c>
      <c r="AE40" s="296"/>
      <c r="AF40" s="860">
        <f>Ratios!$P$39*E40</f>
        <v>752.815757966962</v>
      </c>
      <c r="AG40" s="860">
        <f>Ratios!$P$39*F40</f>
        <v>2182.2127667649906</v>
      </c>
      <c r="AH40" s="860">
        <f>Ratios!$P$39*G40</f>
        <v>3106.5561657877165</v>
      </c>
      <c r="AI40" s="860">
        <f>Ratios!$P$39*H40</f>
        <v>2077.3903194531354</v>
      </c>
      <c r="AJ40" s="860">
        <f>Ratios!$P$39*I40</f>
        <v>1114.9296668624627</v>
      </c>
      <c r="AK40" s="860">
        <f>Ratios!$P$39*J40</f>
        <v>295.40871515159262</v>
      </c>
      <c r="AL40" s="860">
        <f>Ratios!$P$39*K40</f>
        <v>0</v>
      </c>
      <c r="AM40" s="860">
        <f>Ratios!$P$39*L40</f>
        <v>0</v>
      </c>
      <c r="AN40" s="860">
        <f>Ratios!$P$39*M40</f>
        <v>0</v>
      </c>
      <c r="AO40" s="860">
        <f>Ratios!$P$39*N40</f>
        <v>0</v>
      </c>
      <c r="AP40" s="860">
        <f>Ratios!$P$39*O40</f>
        <v>0</v>
      </c>
      <c r="AQ40" s="860">
        <f>Ratios!$P$39*P40</f>
        <v>0</v>
      </c>
      <c r="AR40" s="13"/>
      <c r="AS40" s="275">
        <f t="shared" si="12"/>
        <v>110.70603646935425</v>
      </c>
      <c r="AT40" s="275">
        <f t="shared" si="10"/>
        <v>320.9073715377483</v>
      </c>
      <c r="AU40" s="275">
        <f t="shared" si="10"/>
        <v>456.83756821530989</v>
      </c>
      <c r="AV40" s="275">
        <f t="shared" si="10"/>
        <v>305.49260696606615</v>
      </c>
      <c r="AW40" s="275">
        <f t="shared" si="10"/>
        <v>163.95704135334742</v>
      </c>
      <c r="AX40" s="275">
        <f t="shared" si="10"/>
        <v>43.441609247468108</v>
      </c>
      <c r="AY40" s="275">
        <f t="shared" si="10"/>
        <v>0</v>
      </c>
      <c r="AZ40" s="275">
        <f t="shared" si="10"/>
        <v>0</v>
      </c>
      <c r="BA40" s="275">
        <f t="shared" si="10"/>
        <v>0</v>
      </c>
      <c r="BB40" s="275">
        <f t="shared" si="10"/>
        <v>0</v>
      </c>
      <c r="BC40" s="275">
        <f t="shared" si="10"/>
        <v>0</v>
      </c>
      <c r="BD40" s="275">
        <f t="shared" si="10"/>
        <v>0</v>
      </c>
      <c r="BE40" s="276"/>
      <c r="BF40" s="557">
        <f>IF($B38=0,1,IF(AND(BF39&gt;0,$B38&lt;='Input 4_RSV Season'!$AG$27-1),BF39+1,0))</f>
        <v>0</v>
      </c>
      <c r="BG40" s="549">
        <f>IF(AND($BF40&gt;0,$BF40&lt;='Input 6_Product Efficacy'!$Q$9/30),SUM($AS38:$BD38),0)</f>
        <v>0</v>
      </c>
      <c r="BH40" s="554">
        <f>IF(AND($BF40&gt;0,$BF40&gt;'Input 6_Product Efficacy'!$Q$9/30),SUM($AS38:$BD38),0)</f>
        <v>0</v>
      </c>
      <c r="BJ40" s="549">
        <f>IF(AND($BF40&gt;0,$BF40&lt;='Input 6_Product Efficacy'!$Q$12/30),SUM($AS38:$BD38),0)</f>
        <v>0</v>
      </c>
      <c r="BK40" s="554">
        <f>IF(AND($BF40&gt;0,$BF40&gt;'Input 6_Product Efficacy'!$Q$12/30),SUM($AS38:$BD38),0)</f>
        <v>0</v>
      </c>
      <c r="BL40" s="276"/>
      <c r="BM40" s="276"/>
      <c r="BN40" s="93"/>
      <c r="BO40" s="35">
        <f t="shared" si="13"/>
        <v>752.815757966962</v>
      </c>
      <c r="BP40" s="244">
        <f t="shared" si="11"/>
        <v>2182.2127667649906</v>
      </c>
      <c r="BQ40" s="244">
        <f t="shared" si="11"/>
        <v>3106.5561657877165</v>
      </c>
      <c r="BR40" s="244">
        <f t="shared" si="11"/>
        <v>2077.3903194531354</v>
      </c>
      <c r="BS40" s="244">
        <f t="shared" si="11"/>
        <v>1114.9296668624627</v>
      </c>
      <c r="BT40" s="244">
        <f t="shared" si="11"/>
        <v>295.40871515159262</v>
      </c>
      <c r="BU40" s="244">
        <f t="shared" si="11"/>
        <v>0</v>
      </c>
      <c r="BV40" s="244">
        <f t="shared" si="11"/>
        <v>0</v>
      </c>
      <c r="BW40" s="244">
        <f t="shared" si="11"/>
        <v>0</v>
      </c>
      <c r="BX40" s="244">
        <f t="shared" si="11"/>
        <v>0</v>
      </c>
      <c r="BY40" s="244">
        <f t="shared" si="11"/>
        <v>0</v>
      </c>
      <c r="BZ40" s="244">
        <f t="shared" si="11"/>
        <v>0</v>
      </c>
      <c r="CA40" s="244"/>
      <c r="CB40" s="557">
        <f>IF($B38=0,1,IF(AND(CB39&gt;0,$B38&lt;='Input 4_RSV Season'!$AG$27-1),CB39+1,0))</f>
        <v>0</v>
      </c>
      <c r="CC40" s="549">
        <f>IF(AND($CB40&gt;0,$CB40&lt;='Input 6_Product Efficacy'!$Q$12/30),SUM($BO38:$BZ38),0)</f>
        <v>0</v>
      </c>
      <c r="CD40" s="554">
        <f>IF(AND($CB40&gt;0,$CB40&gt;'Input 6_Product Efficacy'!$Q$12/30),SUM($BO38:$BZ38),0)</f>
        <v>0</v>
      </c>
      <c r="CF40" s="565">
        <f>IF(AND($CB40&gt;0,$CB40&gt;'Input 6_Product Efficacy'!$Q$15/30),SUM($BO38:$BZ38),0)</f>
        <v>0</v>
      </c>
    </row>
    <row r="41" spans="2:85" x14ac:dyDescent="0.3">
      <c r="B41" s="26">
        <v>9</v>
      </c>
      <c r="C41" s="293">
        <f>'Input 2_RSV Rates'!P19*'Input 3_Clinical Severity'!$N$11</f>
        <v>31.8</v>
      </c>
      <c r="D41" s="13"/>
      <c r="E41" s="77">
        <f t="shared" si="9"/>
        <v>4.730538922155688E-3</v>
      </c>
      <c r="F41" s="77">
        <f t="shared" si="9"/>
        <v>1.3712574850299399E-2</v>
      </c>
      <c r="G41" s="77">
        <f t="shared" si="9"/>
        <v>1.9520958083832335E-2</v>
      </c>
      <c r="H41" s="77">
        <f t="shared" si="9"/>
        <v>1.3053892215568861E-2</v>
      </c>
      <c r="I41" s="77">
        <f t="shared" si="9"/>
        <v>7.0059880239520958E-3</v>
      </c>
      <c r="J41" s="77">
        <f t="shared" si="9"/>
        <v>1.8562874251497005E-3</v>
      </c>
      <c r="K41" s="77">
        <f t="shared" si="9"/>
        <v>0</v>
      </c>
      <c r="L41" s="77">
        <f t="shared" si="9"/>
        <v>0</v>
      </c>
      <c r="M41" s="77">
        <f t="shared" si="9"/>
        <v>0</v>
      </c>
      <c r="N41" s="77">
        <f t="shared" si="9"/>
        <v>0</v>
      </c>
      <c r="O41" s="77">
        <f t="shared" si="9"/>
        <v>0</v>
      </c>
      <c r="P41" s="77">
        <f t="shared" si="9"/>
        <v>0</v>
      </c>
      <c r="Q41" s="13"/>
      <c r="R41" s="13"/>
      <c r="S41" s="852">
        <f>IF('Input 5_Product Uptake'!$M$9=0,E41*Ratios!$N$39,E41*Ratios!$N$39*Ratios!$Z$36)</f>
        <v>110.88037668426659</v>
      </c>
      <c r="T41" s="852">
        <f>IF('Input 5_Product Uptake'!$M$9=0,F41*Ratios!$N$39,F41*Ratios!$N$39*Ratios!$Z$36)</f>
        <v>321.41273747717781</v>
      </c>
      <c r="U41" s="852">
        <f>IF('Input 5_Product Uptake'!$M$9=0,G41*Ratios!$N$39,G41*Ratios!$N$39*Ratios!$Z$36)</f>
        <v>457.55699745659382</v>
      </c>
      <c r="V41" s="852">
        <f>IF('Input 5_Product Uptake'!$M$9=0,H41*Ratios!$N$39,H41*Ratios!$N$39*Ratios!$Z$36)</f>
        <v>305.97369768569769</v>
      </c>
      <c r="W41" s="852">
        <f>IF('Input 5_Product Uptake'!$M$9=0,I41*Ratios!$N$39,I41*Ratios!$N$39*Ratios!$Z$36)</f>
        <v>164.21524141847078</v>
      </c>
      <c r="X41" s="852">
        <f>IF('Input 5_Product Uptake'!$M$9=0,J41*Ratios!$N$39,J41*Ratios!$N$39*Ratios!$Z$36)</f>
        <v>43.510021230534996</v>
      </c>
      <c r="Y41" s="852">
        <f>IF('Input 5_Product Uptake'!$M$9=0,K41*Ratios!$N$39,K41*Ratios!$N$39*Ratios!$Z$36)</f>
        <v>0</v>
      </c>
      <c r="Z41" s="852">
        <f>IF('Input 5_Product Uptake'!$M$9=0,L41*Ratios!$N$39,L41*Ratios!$N$39*Ratios!$Z$36)</f>
        <v>0</v>
      </c>
      <c r="AA41" s="852">
        <f>IF('Input 5_Product Uptake'!$M$9=0,M41*Ratios!$N$39,M41*Ratios!$N$39*Ratios!$Z$36)</f>
        <v>0</v>
      </c>
      <c r="AB41" s="852">
        <f>IF('Input 5_Product Uptake'!$M$9=0,N41*Ratios!$N$39,N41*Ratios!$N$39*Ratios!$Z$36)</f>
        <v>0</v>
      </c>
      <c r="AC41" s="852">
        <f>IF('Input 5_Product Uptake'!$M$9=0,O41*Ratios!$N$39,O41*Ratios!$N$39*Ratios!$Z$36)</f>
        <v>0</v>
      </c>
      <c r="AD41" s="852">
        <f>IF('Input 5_Product Uptake'!$M$9=0,P41*Ratios!$N$39,P41*Ratios!$N$39*Ratios!$Z$36)</f>
        <v>0</v>
      </c>
      <c r="AE41" s="296"/>
      <c r="AF41" s="860">
        <f>Ratios!$P$39*E41</f>
        <v>754.00129459368156</v>
      </c>
      <c r="AG41" s="860">
        <f>Ratios!$P$39*F41</f>
        <v>2185.6493223032035</v>
      </c>
      <c r="AH41" s="860">
        <f>Ratios!$P$39*G41</f>
        <v>3111.4483802220279</v>
      </c>
      <c r="AI41" s="860">
        <f>Ratios!$P$39*H41</f>
        <v>2080.6618002711716</v>
      </c>
      <c r="AJ41" s="860">
        <f>Ratios!$P$39*I41</f>
        <v>1116.6854616134272</v>
      </c>
      <c r="AK41" s="860">
        <f>Ratios!$P$39*J41</f>
        <v>295.87392572663452</v>
      </c>
      <c r="AL41" s="860">
        <f>Ratios!$P$39*K41</f>
        <v>0</v>
      </c>
      <c r="AM41" s="860">
        <f>Ratios!$P$39*L41</f>
        <v>0</v>
      </c>
      <c r="AN41" s="860">
        <f>Ratios!$P$39*M41</f>
        <v>0</v>
      </c>
      <c r="AO41" s="860">
        <f>Ratios!$P$39*N41</f>
        <v>0</v>
      </c>
      <c r="AP41" s="860">
        <f>Ratios!$P$39*O41</f>
        <v>0</v>
      </c>
      <c r="AQ41" s="860">
        <f>Ratios!$P$39*P41</f>
        <v>0</v>
      </c>
      <c r="AR41" s="13"/>
      <c r="AS41" s="275">
        <f t="shared" si="12"/>
        <v>110.88037668426659</v>
      </c>
      <c r="AT41" s="275">
        <f t="shared" si="10"/>
        <v>321.41273747717781</v>
      </c>
      <c r="AU41" s="275">
        <f t="shared" si="10"/>
        <v>457.55699745659382</v>
      </c>
      <c r="AV41" s="275">
        <f t="shared" si="10"/>
        <v>305.97369768569769</v>
      </c>
      <c r="AW41" s="275">
        <f t="shared" si="10"/>
        <v>164.21524141847078</v>
      </c>
      <c r="AX41" s="275">
        <f t="shared" si="10"/>
        <v>43.510021230534996</v>
      </c>
      <c r="AY41" s="275">
        <f t="shared" si="10"/>
        <v>0</v>
      </c>
      <c r="AZ41" s="275">
        <f t="shared" si="10"/>
        <v>0</v>
      </c>
      <c r="BA41" s="275">
        <f t="shared" si="10"/>
        <v>0</v>
      </c>
      <c r="BB41" s="275">
        <f t="shared" si="10"/>
        <v>0</v>
      </c>
      <c r="BC41" s="275">
        <f t="shared" si="10"/>
        <v>0</v>
      </c>
      <c r="BD41" s="275">
        <f t="shared" si="10"/>
        <v>0</v>
      </c>
      <c r="BE41" s="276"/>
      <c r="BF41" s="557">
        <f>IF($B39=0,1,IF(AND(BF40&gt;0,$B39&lt;='Input 4_RSV Season'!$AG$27-1),BF40+1,0))</f>
        <v>0</v>
      </c>
      <c r="BG41" s="549">
        <f>IF(AND($BF41&gt;0,$BF41&lt;='Input 6_Product Efficacy'!$Q$9/30),SUM($AS39:$BD39),0)</f>
        <v>0</v>
      </c>
      <c r="BH41" s="554">
        <f>IF(AND($BF41&gt;0,$BF41&gt;'Input 6_Product Efficacy'!$Q$9/30),SUM($AS39:$BD39),0)</f>
        <v>0</v>
      </c>
      <c r="BJ41" s="549">
        <f>IF(AND($BF41&gt;0,$BF41&lt;='Input 6_Product Efficacy'!$Q$12/30),SUM($AS39:$BD39),0)</f>
        <v>0</v>
      </c>
      <c r="BK41" s="554">
        <f>IF(AND($BF41&gt;0,$BF41&gt;'Input 6_Product Efficacy'!$Q$12/30),SUM($AS39:$BD39),0)</f>
        <v>0</v>
      </c>
      <c r="BL41" s="276"/>
      <c r="BM41" s="276"/>
      <c r="BN41" s="93"/>
      <c r="BO41" s="35">
        <f t="shared" si="13"/>
        <v>754.00129459368156</v>
      </c>
      <c r="BP41" s="244">
        <f t="shared" si="11"/>
        <v>2185.6493223032035</v>
      </c>
      <c r="BQ41" s="244">
        <f t="shared" si="11"/>
        <v>3111.4483802220279</v>
      </c>
      <c r="BR41" s="244">
        <f t="shared" si="11"/>
        <v>2080.6618002711716</v>
      </c>
      <c r="BS41" s="244">
        <f t="shared" si="11"/>
        <v>1116.6854616134272</v>
      </c>
      <c r="BT41" s="244">
        <f t="shared" si="11"/>
        <v>295.87392572663452</v>
      </c>
      <c r="BU41" s="244">
        <f t="shared" si="11"/>
        <v>0</v>
      </c>
      <c r="BV41" s="244">
        <f t="shared" si="11"/>
        <v>0</v>
      </c>
      <c r="BW41" s="244">
        <f t="shared" si="11"/>
        <v>0</v>
      </c>
      <c r="BX41" s="244">
        <f t="shared" si="11"/>
        <v>0</v>
      </c>
      <c r="BY41" s="244">
        <f t="shared" si="11"/>
        <v>0</v>
      </c>
      <c r="BZ41" s="244">
        <f t="shared" si="11"/>
        <v>0</v>
      </c>
      <c r="CA41" s="244"/>
      <c r="CB41" s="557">
        <f>IF($B39=0,1,IF(AND(CB40&gt;0,$B39&lt;='Input 4_RSV Season'!$AG$27-1),CB40+1,0))</f>
        <v>0</v>
      </c>
      <c r="CC41" s="549">
        <f>IF(AND($CB41&gt;0,$CB41&lt;='Input 6_Product Efficacy'!$Q$12/30),SUM($BO39:$BZ39),0)</f>
        <v>0</v>
      </c>
      <c r="CD41" s="554">
        <f>IF(AND($CB41&gt;0,$CB41&gt;'Input 6_Product Efficacy'!$Q$12/30),SUM($BO39:$BZ39),0)</f>
        <v>0</v>
      </c>
      <c r="CF41" s="565">
        <f>IF(AND($CB41&gt;0,$CB41&gt;'Input 6_Product Efficacy'!$Q$15/30),SUM($BO39:$BZ39),0)</f>
        <v>0</v>
      </c>
    </row>
    <row r="42" spans="2:85" x14ac:dyDescent="0.3">
      <c r="B42" s="26">
        <v>10</v>
      </c>
      <c r="C42" s="293">
        <f>'Input 2_RSV Rates'!P20*'Input 3_Clinical Severity'!$N$11</f>
        <v>23.1</v>
      </c>
      <c r="D42" s="13"/>
      <c r="E42" s="77">
        <f t="shared" si="9"/>
        <v>3.4363348774149815E-3</v>
      </c>
      <c r="F42" s="77">
        <f t="shared" si="9"/>
        <v>9.9610213535193757E-3</v>
      </c>
      <c r="G42" s="77">
        <f t="shared" si="9"/>
        <v>1.4180318608066886E-2</v>
      </c>
      <c r="H42" s="77">
        <f t="shared" si="9"/>
        <v>9.4825443452717199E-3</v>
      </c>
      <c r="I42" s="77">
        <f t="shared" si="9"/>
        <v>5.0892554513614283E-3</v>
      </c>
      <c r="J42" s="77">
        <f t="shared" si="9"/>
        <v>1.348435205061575E-3</v>
      </c>
      <c r="K42" s="77">
        <f t="shared" si="9"/>
        <v>0</v>
      </c>
      <c r="L42" s="77">
        <f t="shared" si="9"/>
        <v>0</v>
      </c>
      <c r="M42" s="77">
        <f t="shared" si="9"/>
        <v>0</v>
      </c>
      <c r="N42" s="77">
        <f t="shared" si="9"/>
        <v>0</v>
      </c>
      <c r="O42" s="77">
        <f t="shared" si="9"/>
        <v>0</v>
      </c>
      <c r="P42" s="77">
        <f t="shared" si="9"/>
        <v>0</v>
      </c>
      <c r="Q42" s="13"/>
      <c r="R42" s="13"/>
      <c r="S42" s="852">
        <f>IF('Input 5_Product Uptake'!$M$9=0,E42*Ratios!$N$39,E42*Ratios!$N$39*Ratios!$Z$36)</f>
        <v>80.545179289514422</v>
      </c>
      <c r="T42" s="852">
        <f>IF('Input 5_Product Uptake'!$M$9=0,F42*Ratios!$N$39,F42*Ratios!$N$39*Ratios!$Z$36)</f>
        <v>233.47906401644053</v>
      </c>
      <c r="U42" s="852">
        <f>IF('Input 5_Product Uptake'!$M$9=0,G42*Ratios!$N$39,G42*Ratios!$N$39*Ratios!$Z$36)</f>
        <v>332.37630947318615</v>
      </c>
      <c r="V42" s="852">
        <f>IF('Input 5_Product Uptake'!$M$9=0,H42*Ratios!$N$39,H42*Ratios!$N$39*Ratios!$Z$36)</f>
        <v>222.26391246979927</v>
      </c>
      <c r="W42" s="852">
        <f>IF('Input 5_Product Uptake'!$M$9=0,I42*Ratios!$N$39,I42*Ratios!$N$39*Ratios!$Z$36)</f>
        <v>119.28843008700238</v>
      </c>
      <c r="X42" s="852">
        <f>IF('Input 5_Product Uptake'!$M$9=0,J42*Ratios!$N$39,J42*Ratios!$N$39*Ratios!$Z$36)</f>
        <v>31.606336176898068</v>
      </c>
      <c r="Y42" s="852">
        <f>IF('Input 5_Product Uptake'!$M$9=0,K42*Ratios!$N$39,K42*Ratios!$N$39*Ratios!$Z$36)</f>
        <v>0</v>
      </c>
      <c r="Z42" s="852">
        <f>IF('Input 5_Product Uptake'!$M$9=0,L42*Ratios!$N$39,L42*Ratios!$N$39*Ratios!$Z$36)</f>
        <v>0</v>
      </c>
      <c r="AA42" s="852">
        <f>IF('Input 5_Product Uptake'!$M$9=0,M42*Ratios!$N$39,M42*Ratios!$N$39*Ratios!$Z$36)</f>
        <v>0</v>
      </c>
      <c r="AB42" s="852">
        <f>IF('Input 5_Product Uptake'!$M$9=0,N42*Ratios!$N$39,N42*Ratios!$N$39*Ratios!$Z$36)</f>
        <v>0</v>
      </c>
      <c r="AC42" s="852">
        <f>IF('Input 5_Product Uptake'!$M$9=0,O42*Ratios!$N$39,O42*Ratios!$N$39*Ratios!$Z$36)</f>
        <v>0</v>
      </c>
      <c r="AD42" s="852">
        <f>IF('Input 5_Product Uptake'!$M$9=0,P42*Ratios!$N$39,P42*Ratios!$N$39*Ratios!$Z$36)</f>
        <v>0</v>
      </c>
      <c r="AE42" s="296"/>
      <c r="AF42" s="860">
        <f>Ratios!$P$39*E42</f>
        <v>547.71792154446689</v>
      </c>
      <c r="AG42" s="860">
        <f>Ratios!$P$39*F42</f>
        <v>1587.6886586542139</v>
      </c>
      <c r="AH42" s="860">
        <f>Ratios!$P$39*G42</f>
        <v>2260.2030686518506</v>
      </c>
      <c r="AI42" s="860">
        <f>Ratios!$P$39*H42</f>
        <v>1511.4241379328323</v>
      </c>
      <c r="AJ42" s="860">
        <f>Ratios!$P$39*I42</f>
        <v>811.17717494560281</v>
      </c>
      <c r="AK42" s="860">
        <f>Ratios!$P$39*J42</f>
        <v>214.92728566934775</v>
      </c>
      <c r="AL42" s="860">
        <f>Ratios!$P$39*K42</f>
        <v>0</v>
      </c>
      <c r="AM42" s="860">
        <f>Ratios!$P$39*L42</f>
        <v>0</v>
      </c>
      <c r="AN42" s="860">
        <f>Ratios!$P$39*M42</f>
        <v>0</v>
      </c>
      <c r="AO42" s="860">
        <f>Ratios!$P$39*N42</f>
        <v>0</v>
      </c>
      <c r="AP42" s="860">
        <f>Ratios!$P$39*O42</f>
        <v>0</v>
      </c>
      <c r="AQ42" s="860">
        <f>Ratios!$P$39*P42</f>
        <v>0</v>
      </c>
      <c r="AR42" s="13"/>
      <c r="AS42" s="276">
        <f t="shared" si="12"/>
        <v>80.545179289514422</v>
      </c>
      <c r="AT42" s="276">
        <f t="shared" si="10"/>
        <v>233.47906401644053</v>
      </c>
      <c r="AU42" s="276">
        <f t="shared" si="10"/>
        <v>332.37630947318615</v>
      </c>
      <c r="AV42" s="276">
        <f t="shared" si="10"/>
        <v>222.26391246979927</v>
      </c>
      <c r="AW42" s="276">
        <f t="shared" si="10"/>
        <v>119.28843008700238</v>
      </c>
      <c r="AX42" s="276">
        <f t="shared" si="10"/>
        <v>31.606336176898068</v>
      </c>
      <c r="AY42" s="276">
        <f t="shared" si="10"/>
        <v>0</v>
      </c>
      <c r="AZ42" s="276">
        <f t="shared" si="10"/>
        <v>0</v>
      </c>
      <c r="BA42" s="276">
        <f t="shared" si="10"/>
        <v>0</v>
      </c>
      <c r="BB42" s="276">
        <f t="shared" si="10"/>
        <v>0</v>
      </c>
      <c r="BC42" s="276">
        <f t="shared" si="10"/>
        <v>0</v>
      </c>
      <c r="BD42" s="276">
        <f t="shared" si="10"/>
        <v>0</v>
      </c>
      <c r="BE42" s="276"/>
      <c r="BF42" s="557">
        <f>IF($B40=0,1,IF(AND(BF41&gt;0,$B40&lt;='Input 4_RSV Season'!$AG$27-1),BF41+1,0))</f>
        <v>0</v>
      </c>
      <c r="BG42" s="549">
        <f>IF(AND($BF42&gt;0,$BF42&lt;='Input 6_Product Efficacy'!$Q$9/30),SUM($AS40:$BD40),0)</f>
        <v>0</v>
      </c>
      <c r="BH42" s="554">
        <f>IF(AND($BF42&gt;0,$BF42&gt;'Input 6_Product Efficacy'!$Q$9/30),SUM($AS40:$BD40),0)</f>
        <v>0</v>
      </c>
      <c r="BJ42" s="549">
        <f>IF(AND($BF42&gt;0,$BF42&lt;='Input 6_Product Efficacy'!$Q$12/30),SUM($AS40:$BD40),0)</f>
        <v>0</v>
      </c>
      <c r="BK42" s="554">
        <f>IF(AND($BF42&gt;0,$BF42&gt;'Input 6_Product Efficacy'!$Q$12/30),SUM($AS40:$BD40),0)</f>
        <v>0</v>
      </c>
      <c r="BL42" s="276"/>
      <c r="BM42" s="276"/>
      <c r="BN42" s="93"/>
      <c r="BO42" s="35">
        <f t="shared" si="13"/>
        <v>547.71792154446689</v>
      </c>
      <c r="BP42" s="244">
        <f t="shared" si="11"/>
        <v>1587.6886586542139</v>
      </c>
      <c r="BQ42" s="244">
        <f t="shared" si="11"/>
        <v>2260.2030686518506</v>
      </c>
      <c r="BR42" s="244">
        <f t="shared" si="11"/>
        <v>1511.4241379328323</v>
      </c>
      <c r="BS42" s="244">
        <f t="shared" si="11"/>
        <v>811.17717494560281</v>
      </c>
      <c r="BT42" s="244">
        <f t="shared" si="11"/>
        <v>214.92728566934775</v>
      </c>
      <c r="BU42" s="244">
        <f t="shared" si="11"/>
        <v>0</v>
      </c>
      <c r="BV42" s="244">
        <f t="shared" si="11"/>
        <v>0</v>
      </c>
      <c r="BW42" s="244">
        <f t="shared" si="11"/>
        <v>0</v>
      </c>
      <c r="BX42" s="244">
        <f t="shared" si="11"/>
        <v>0</v>
      </c>
      <c r="BY42" s="244">
        <f t="shared" si="11"/>
        <v>0</v>
      </c>
      <c r="BZ42" s="244">
        <f t="shared" si="11"/>
        <v>0</v>
      </c>
      <c r="CA42" s="244"/>
      <c r="CB42" s="557">
        <f>IF($B40=0,1,IF(AND(CB41&gt;0,$B40&lt;='Input 4_RSV Season'!$AG$27-1),CB41+1,0))</f>
        <v>0</v>
      </c>
      <c r="CC42" s="549">
        <f>IF(AND($CB42&gt;0,$CB42&lt;='Input 6_Product Efficacy'!$Q$12/30),SUM($BO40:$BZ40),0)</f>
        <v>0</v>
      </c>
      <c r="CD42" s="554">
        <f>IF(AND($CB42&gt;0,$CB42&gt;'Input 6_Product Efficacy'!$Q$12/30),SUM($BO40:$BZ40),0)</f>
        <v>0</v>
      </c>
      <c r="CF42" s="565">
        <f>IF(AND($CB42&gt;0,$CB42&gt;'Input 6_Product Efficacy'!$Q$15/30),SUM($BO40:$BZ40),0)</f>
        <v>0</v>
      </c>
    </row>
    <row r="43" spans="2:85" x14ac:dyDescent="0.3">
      <c r="B43" s="26">
        <v>11</v>
      </c>
      <c r="C43" s="293">
        <f>'Input 2_RSV Rates'!P21*'Input 3_Clinical Severity'!$N$11</f>
        <v>31.8</v>
      </c>
      <c r="D43" s="13"/>
      <c r="E43" s="77">
        <f t="shared" si="9"/>
        <v>4.730538922155688E-3</v>
      </c>
      <c r="F43" s="77">
        <f t="shared" si="9"/>
        <v>1.3712574850299399E-2</v>
      </c>
      <c r="G43" s="77">
        <f t="shared" si="9"/>
        <v>1.9520958083832335E-2</v>
      </c>
      <c r="H43" s="77">
        <f t="shared" si="9"/>
        <v>1.3053892215568861E-2</v>
      </c>
      <c r="I43" s="77">
        <f t="shared" si="9"/>
        <v>7.0059880239520958E-3</v>
      </c>
      <c r="J43" s="77">
        <f t="shared" si="9"/>
        <v>1.8562874251497005E-3</v>
      </c>
      <c r="K43" s="77">
        <f t="shared" si="9"/>
        <v>0</v>
      </c>
      <c r="L43" s="77">
        <f t="shared" si="9"/>
        <v>0</v>
      </c>
      <c r="M43" s="77">
        <f t="shared" si="9"/>
        <v>0</v>
      </c>
      <c r="N43" s="77">
        <f t="shared" si="9"/>
        <v>0</v>
      </c>
      <c r="O43" s="77">
        <f t="shared" si="9"/>
        <v>0</v>
      </c>
      <c r="P43" s="77">
        <f t="shared" si="9"/>
        <v>0</v>
      </c>
      <c r="Q43" s="13"/>
      <c r="R43" s="13"/>
      <c r="S43" s="852">
        <f>IF('Input 5_Product Uptake'!$M$9=0,E43*Ratios!$N$39,E43*Ratios!$N$39*Ratios!$Z$36)</f>
        <v>110.88037668426659</v>
      </c>
      <c r="T43" s="852">
        <f>IF('Input 5_Product Uptake'!$M$9=0,F43*Ratios!$N$39,F43*Ratios!$N$39*Ratios!$Z$36)</f>
        <v>321.41273747717781</v>
      </c>
      <c r="U43" s="852">
        <f>IF('Input 5_Product Uptake'!$M$9=0,G43*Ratios!$N$39,G43*Ratios!$N$39*Ratios!$Z$36)</f>
        <v>457.55699745659382</v>
      </c>
      <c r="V43" s="852">
        <f>IF('Input 5_Product Uptake'!$M$9=0,H43*Ratios!$N$39,H43*Ratios!$N$39*Ratios!$Z$36)</f>
        <v>305.97369768569769</v>
      </c>
      <c r="W43" s="852">
        <f>IF('Input 5_Product Uptake'!$M$9=0,I43*Ratios!$N$39,I43*Ratios!$N$39*Ratios!$Z$36)</f>
        <v>164.21524141847078</v>
      </c>
      <c r="X43" s="852">
        <f>IF('Input 5_Product Uptake'!$M$9=0,J43*Ratios!$N$39,J43*Ratios!$N$39*Ratios!$Z$36)</f>
        <v>43.510021230534996</v>
      </c>
      <c r="Y43" s="852">
        <f>IF('Input 5_Product Uptake'!$M$9=0,K43*Ratios!$N$39,K43*Ratios!$N$39*Ratios!$Z$36)</f>
        <v>0</v>
      </c>
      <c r="Z43" s="852">
        <f>IF('Input 5_Product Uptake'!$M$9=0,L43*Ratios!$N$39,L43*Ratios!$N$39*Ratios!$Z$36)</f>
        <v>0</v>
      </c>
      <c r="AA43" s="852">
        <f>IF('Input 5_Product Uptake'!$M$9=0,M43*Ratios!$N$39,M43*Ratios!$N$39*Ratios!$Z$36)</f>
        <v>0</v>
      </c>
      <c r="AB43" s="852">
        <f>IF('Input 5_Product Uptake'!$M$9=0,N43*Ratios!$N$39,N43*Ratios!$N$39*Ratios!$Z$36)</f>
        <v>0</v>
      </c>
      <c r="AC43" s="852">
        <f>IF('Input 5_Product Uptake'!$M$9=0,O43*Ratios!$N$39,O43*Ratios!$N$39*Ratios!$Z$36)</f>
        <v>0</v>
      </c>
      <c r="AD43" s="852">
        <f>IF('Input 5_Product Uptake'!$M$9=0,P43*Ratios!$N$39,P43*Ratios!$N$39*Ratios!$Z$36)</f>
        <v>0</v>
      </c>
      <c r="AE43" s="296"/>
      <c r="AF43" s="860">
        <f>Ratios!$P$39*E43</f>
        <v>754.00129459368156</v>
      </c>
      <c r="AG43" s="860">
        <f>Ratios!$P$39*F43</f>
        <v>2185.6493223032035</v>
      </c>
      <c r="AH43" s="860">
        <f>Ratios!$P$39*G43</f>
        <v>3111.4483802220279</v>
      </c>
      <c r="AI43" s="860">
        <f>Ratios!$P$39*H43</f>
        <v>2080.6618002711716</v>
      </c>
      <c r="AJ43" s="860">
        <f>Ratios!$P$39*I43</f>
        <v>1116.6854616134272</v>
      </c>
      <c r="AK43" s="860">
        <f>Ratios!$P$39*J43</f>
        <v>295.87392572663452</v>
      </c>
      <c r="AL43" s="860">
        <f>Ratios!$P$39*K43</f>
        <v>0</v>
      </c>
      <c r="AM43" s="860">
        <f>Ratios!$P$39*L43</f>
        <v>0</v>
      </c>
      <c r="AN43" s="860">
        <f>Ratios!$P$39*M43</f>
        <v>0</v>
      </c>
      <c r="AO43" s="860">
        <f>Ratios!$P$39*N43</f>
        <v>0</v>
      </c>
      <c r="AP43" s="860">
        <f>Ratios!$P$39*O43</f>
        <v>0</v>
      </c>
      <c r="AQ43" s="860">
        <f>Ratios!$P$39*P43</f>
        <v>0</v>
      </c>
      <c r="AR43" s="13"/>
      <c r="AS43" s="280">
        <f t="shared" si="12"/>
        <v>110.88037668426659</v>
      </c>
      <c r="AT43" s="280">
        <f t="shared" si="10"/>
        <v>321.41273747717781</v>
      </c>
      <c r="AU43" s="280">
        <f t="shared" si="10"/>
        <v>457.55699745659382</v>
      </c>
      <c r="AV43" s="280">
        <f t="shared" si="10"/>
        <v>305.97369768569769</v>
      </c>
      <c r="AW43" s="280">
        <f t="shared" si="10"/>
        <v>164.21524141847078</v>
      </c>
      <c r="AX43" s="280">
        <f t="shared" si="10"/>
        <v>43.510021230534996</v>
      </c>
      <c r="AY43" s="280">
        <f t="shared" si="10"/>
        <v>0</v>
      </c>
      <c r="AZ43" s="280">
        <f t="shared" si="10"/>
        <v>0</v>
      </c>
      <c r="BA43" s="280">
        <f t="shared" si="10"/>
        <v>0</v>
      </c>
      <c r="BB43" s="280">
        <f t="shared" si="10"/>
        <v>0</v>
      </c>
      <c r="BC43" s="280">
        <f t="shared" si="10"/>
        <v>0</v>
      </c>
      <c r="BD43" s="280">
        <f t="shared" si="10"/>
        <v>0</v>
      </c>
      <c r="BE43" s="280"/>
      <c r="BF43" s="557">
        <f>IF($B41=0,1,IF(AND(BF42&gt;0,$B41&lt;='Input 4_RSV Season'!$AG$27-1),BF42+1,0))</f>
        <v>0</v>
      </c>
      <c r="BG43" s="549">
        <f>IF(AND($BF43&gt;0,$BF43&lt;='Input 6_Product Efficacy'!$Q$9/30),SUM($AS41:$BD41),0)</f>
        <v>0</v>
      </c>
      <c r="BH43" s="554">
        <f>IF(AND($BF43&gt;0,$BF43&gt;'Input 6_Product Efficacy'!$Q$9/30),SUM($AS41:$BD41),0)</f>
        <v>0</v>
      </c>
      <c r="BJ43" s="549">
        <f>IF(AND($BF43&gt;0,$BF43&lt;='Input 6_Product Efficacy'!$Q$12/30),SUM($AS41:$BD41),0)</f>
        <v>0</v>
      </c>
      <c r="BK43" s="554">
        <f>IF(AND($BF43&gt;0,$BF43&gt;'Input 6_Product Efficacy'!$Q$12/30),SUM($AS41:$BD41),0)</f>
        <v>0</v>
      </c>
      <c r="BL43" s="280"/>
      <c r="BM43" s="280"/>
      <c r="BN43" s="34"/>
      <c r="BO43" s="35">
        <f t="shared" si="13"/>
        <v>754.00129459368156</v>
      </c>
      <c r="BP43" s="46">
        <f t="shared" si="11"/>
        <v>2185.6493223032035</v>
      </c>
      <c r="BQ43" s="46">
        <f t="shared" si="11"/>
        <v>3111.4483802220279</v>
      </c>
      <c r="BR43" s="46">
        <f t="shared" si="11"/>
        <v>2080.6618002711716</v>
      </c>
      <c r="BS43" s="46">
        <f t="shared" si="11"/>
        <v>1116.6854616134272</v>
      </c>
      <c r="BT43" s="46">
        <f t="shared" si="11"/>
        <v>295.87392572663452</v>
      </c>
      <c r="BU43" s="46">
        <f t="shared" si="11"/>
        <v>0</v>
      </c>
      <c r="BV43" s="46">
        <f t="shared" si="11"/>
        <v>0</v>
      </c>
      <c r="BW43" s="46">
        <f t="shared" si="11"/>
        <v>0</v>
      </c>
      <c r="BX43" s="46">
        <f t="shared" si="11"/>
        <v>0</v>
      </c>
      <c r="BY43" s="46">
        <f t="shared" si="11"/>
        <v>0</v>
      </c>
      <c r="BZ43" s="46">
        <f t="shared" si="11"/>
        <v>0</v>
      </c>
      <c r="CA43" s="46"/>
      <c r="CB43" s="557">
        <f>IF($B41=0,1,IF(AND(CB42&gt;0,$B41&lt;='Input 4_RSV Season'!$AG$27-1),CB42+1,0))</f>
        <v>0</v>
      </c>
      <c r="CC43" s="549">
        <f>IF(AND($CB43&gt;0,$CB43&lt;='Input 6_Product Efficacy'!$Q$12/30),SUM($BO41:$BZ41),0)</f>
        <v>0</v>
      </c>
      <c r="CD43" s="554">
        <f>IF(AND($CB43&gt;0,$CB43&gt;'Input 6_Product Efficacy'!$Q$12/30),SUM($BO41:$BZ41),0)</f>
        <v>0</v>
      </c>
      <c r="CF43" s="565">
        <f>IF(AND($CB43&gt;0,$CB43&gt;'Input 6_Product Efficacy'!$Q$15/30),SUM($BO41:$BZ41),0)</f>
        <v>0</v>
      </c>
    </row>
    <row r="44" spans="2:85" ht="15" thickBot="1" x14ac:dyDescent="0.35">
      <c r="B44" s="114"/>
      <c r="C44" s="101"/>
      <c r="D44" s="13"/>
      <c r="E44" s="246"/>
      <c r="F44" s="246"/>
      <c r="G44" s="246"/>
      <c r="H44" s="246"/>
      <c r="I44" s="246"/>
      <c r="J44" s="246"/>
      <c r="K44" s="43"/>
      <c r="L44" s="43"/>
      <c r="M44" s="43"/>
      <c r="N44" s="43"/>
      <c r="O44" s="43"/>
      <c r="P44" s="43"/>
      <c r="Q44" s="13"/>
      <c r="R44" s="13"/>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13"/>
      <c r="AS44" s="2" t="s">
        <v>31</v>
      </c>
      <c r="AT44" s="20">
        <f>BG49</f>
        <v>0.76178128518261112</v>
      </c>
      <c r="AU44" s="32"/>
      <c r="AV44" s="32"/>
      <c r="AW44" s="47" t="s">
        <v>22</v>
      </c>
      <c r="AX44" s="48">
        <f>SUM(AS32:BD43)</f>
        <v>23439.269501610783</v>
      </c>
      <c r="AY44" s="48"/>
      <c r="AZ44" s="48"/>
      <c r="BA44" s="48"/>
      <c r="BB44" s="48"/>
      <c r="BC44" s="48"/>
      <c r="BD44" s="48"/>
      <c r="BE44" s="48"/>
      <c r="BF44" s="557">
        <f>IF($B42=0,1,IF(AND(BF43&gt;0,$B42&lt;='Input 4_RSV Season'!$AG$27-1),BF43+1,0))</f>
        <v>0</v>
      </c>
      <c r="BG44" s="549">
        <f>IF(AND($BF44&gt;0,$BF44&lt;='Input 6_Product Efficacy'!$Q$9/30),SUM($AS42:$BD42),0)</f>
        <v>0</v>
      </c>
      <c r="BH44" s="554">
        <f>IF(AND($BF44&gt;0,$BF44&gt;'Input 6_Product Efficacy'!$Q$9/30),SUM($AS42:$BD42),0)</f>
        <v>0</v>
      </c>
      <c r="BJ44" s="549">
        <f>IF(AND($BF44&gt;0,$BF44&lt;='Input 6_Product Efficacy'!$Q$12/30),SUM($AS42:$BD42),0)</f>
        <v>0</v>
      </c>
      <c r="BK44" s="554">
        <f>IF(AND($BF44&gt;0,$BF44&gt;'Input 6_Product Efficacy'!$Q$12/30),SUM($AS42:$BD42),0)</f>
        <v>0</v>
      </c>
      <c r="BL44" s="48"/>
      <c r="BM44" s="48"/>
      <c r="BN44" s="32"/>
      <c r="BO44" s="47" t="s">
        <v>35</v>
      </c>
      <c r="BP44" s="20">
        <f>SUM(BT45:BT46)</f>
        <v>5.1268528389311424E-2</v>
      </c>
      <c r="BQ44" s="32"/>
      <c r="BR44" s="32"/>
      <c r="BS44" s="47" t="s">
        <v>23</v>
      </c>
      <c r="BT44" s="48">
        <f>SUM(BO32:BZ43)</f>
        <v>159390.14708499346</v>
      </c>
      <c r="BU44" s="48"/>
      <c r="BV44" s="48"/>
      <c r="BW44" s="510" t="s">
        <v>278</v>
      </c>
      <c r="BX44" s="510" t="s">
        <v>279</v>
      </c>
      <c r="BY44" s="510" t="s">
        <v>280</v>
      </c>
      <c r="BZ44" s="48"/>
      <c r="CA44" s="36"/>
      <c r="CB44" s="557">
        <f>IF($B42=0,1,IF(AND(CB43&gt;0,$B42&lt;='Input 4_RSV Season'!$AG$27-1),CB43+1,0))</f>
        <v>0</v>
      </c>
      <c r="CC44" s="549">
        <f>IF(AND($CB44&gt;0,$CB44&lt;='Input 6_Product Efficacy'!$Q$12/30),SUM($BO42:$BZ42),0)</f>
        <v>0</v>
      </c>
      <c r="CD44" s="554">
        <f>IF(AND($CB44&gt;0,$CB44&gt;'Input 6_Product Efficacy'!$Q$12/30),SUM($BO42:$BZ42),0)</f>
        <v>0</v>
      </c>
      <c r="CF44" s="565">
        <f>IF(AND($CB44&gt;0,$CB44&gt;'Input 6_Product Efficacy'!$Q$15/30),SUM($BO42:$BZ42),0)</f>
        <v>0</v>
      </c>
    </row>
    <row r="45" spans="2:85" x14ac:dyDescent="0.3">
      <c r="B45" s="115" t="s">
        <v>247</v>
      </c>
      <c r="C45" s="115" t="s">
        <v>250</v>
      </c>
      <c r="D45" s="13"/>
      <c r="E45" s="246"/>
      <c r="F45" s="246"/>
      <c r="G45" s="246"/>
      <c r="H45" s="246"/>
      <c r="I45" s="246"/>
      <c r="J45" s="246"/>
      <c r="K45" s="43"/>
      <c r="L45" s="43"/>
      <c r="M45" s="43"/>
      <c r="N45" s="43"/>
      <c r="O45" s="43"/>
      <c r="P45" s="43"/>
      <c r="Q45" s="13"/>
      <c r="R45" s="13"/>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296"/>
      <c r="AR45" s="13"/>
      <c r="AS45" s="512" t="s">
        <v>117</v>
      </c>
      <c r="AV45" s="2" t="s">
        <v>291</v>
      </c>
      <c r="AW45" s="70">
        <f>BG48</f>
        <v>0.64070346502113651</v>
      </c>
      <c r="BC45" s="70"/>
      <c r="BD45" s="70"/>
      <c r="BE45" s="70"/>
      <c r="BF45" s="557">
        <f>IF($B43=0,1,IF(AND(BF44&gt;0,$B43&lt;='Input 4_RSV Season'!$AG$27-1),BF44+1,0))</f>
        <v>0</v>
      </c>
      <c r="BG45" s="550">
        <f>IF(AND($BF45&gt;0,$BF45&lt;='Input 6_Product Efficacy'!$Q$9/30),SUM($AS43:$BD43),0)</f>
        <v>0</v>
      </c>
      <c r="BH45" s="555">
        <f>IF(AND($BF45&gt;0,$BF45&gt;'Input 6_Product Efficacy'!$Q$9/30),SUM($AS43:$BD43),0)</f>
        <v>0</v>
      </c>
      <c r="BI45" s="500"/>
      <c r="BJ45" s="550">
        <f>IF(AND($BF45&gt;0,$BF45&lt;='Input 6_Product Efficacy'!$Q$12/30),SUM($AS43:$BD43),0)</f>
        <v>0</v>
      </c>
      <c r="BK45" s="555">
        <f>IF(AND($BF45&gt;0,$BF45&gt;'Input 6_Product Efficacy'!$Q$12/30),SUM($AS43:$BD43),0)</f>
        <v>0</v>
      </c>
      <c r="BL45" s="70"/>
      <c r="BM45" s="70"/>
      <c r="BP45" s="512" t="s">
        <v>277</v>
      </c>
      <c r="BS45" s="2" t="s">
        <v>286</v>
      </c>
      <c r="BT45" s="617">
        <f>IF('Input 6_Product Efficacy'!$Q$15=120,'WiS percent RSV_high'!BY45,IF('Input 6_Product Efficacy'!$Q$15=60,'WiS percent RSV_high'!BX45,'WiS percent RSV_high'!BW45))</f>
        <v>1.7845122756466599E-2</v>
      </c>
      <c r="BV45" s="510" t="s">
        <v>281</v>
      </c>
      <c r="BW45" s="70">
        <f>SUM(BO32:BZ34)/((1-'Input 1_Population'!$G$24)*'WiS percent RSV_base'!$BB$5)</f>
        <v>1.7845122756466599E-2</v>
      </c>
      <c r="BX45" s="70">
        <f>SUM(BO32:BZ33)/((1-'Input 1_Population'!$G$24)*'WiS percent RSV_base'!$BB$5)</f>
        <v>9.5666634586989395E-3</v>
      </c>
      <c r="BY45" s="70">
        <f>SUM(BO32:BZ35)/((1-'Input 1_Population'!$G$24)*'WiS percent RSV_base'!$BB$5)</f>
        <v>2.9868361591825179E-2</v>
      </c>
      <c r="BZ45" s="70"/>
      <c r="CB45" s="557">
        <f>IF($B43=0,1,IF(AND(CB44&gt;0,$B43&lt;='Input 4_RSV Season'!$AG$27-1),CB44+1,0))</f>
        <v>0</v>
      </c>
      <c r="CC45" s="550">
        <f>IF(AND($CB45&gt;0,$CB45&lt;='Input 6_Product Efficacy'!$Q$12/30),SUM($BO43:$BZ43),0)</f>
        <v>0</v>
      </c>
      <c r="CD45" s="555">
        <f>IF(AND($CB45&gt;0,$CB45&gt;'Input 6_Product Efficacy'!$Q$12/30),SUM($BO43:$BZ43),0)</f>
        <v>0</v>
      </c>
      <c r="CF45" s="566">
        <f>IF(AND($CB45&gt;0,$CB45&gt;'Input 6_Product Efficacy'!$Q$15/30),SUM($BO43:$BZ43),0)</f>
        <v>0</v>
      </c>
    </row>
    <row r="46" spans="2:85" ht="15" thickBot="1" x14ac:dyDescent="0.35">
      <c r="B46" s="24" t="s">
        <v>248</v>
      </c>
      <c r="C46" s="429">
        <f>SUM(C32:C37)/SUM(C32:C43)</f>
        <v>0.62838473995405419</v>
      </c>
      <c r="D46" s="13"/>
      <c r="E46" s="246"/>
      <c r="F46" s="246"/>
      <c r="G46" s="246"/>
      <c r="H46" s="246"/>
      <c r="I46" s="246"/>
      <c r="J46" s="246"/>
      <c r="K46" s="43"/>
      <c r="L46" s="43"/>
      <c r="M46" s="43"/>
      <c r="N46" s="43"/>
      <c r="O46" s="43"/>
      <c r="P46" s="43"/>
      <c r="Q46" s="13"/>
      <c r="R46" s="13"/>
      <c r="S46" s="296"/>
      <c r="T46" s="296"/>
      <c r="U46" s="296"/>
      <c r="V46" s="296"/>
      <c r="W46" s="296"/>
      <c r="X46" s="296"/>
      <c r="Y46" s="296"/>
      <c r="Z46" s="296"/>
      <c r="AA46" s="296"/>
      <c r="AB46" s="296"/>
      <c r="AC46" s="296"/>
      <c r="AD46" s="296"/>
      <c r="AE46" s="296"/>
      <c r="AF46" s="296"/>
      <c r="AG46" s="296"/>
      <c r="AH46" s="296"/>
      <c r="AI46" s="296"/>
      <c r="AJ46" s="296"/>
      <c r="AK46" s="296"/>
      <c r="AL46" s="296"/>
      <c r="AM46" s="296"/>
      <c r="AN46" s="296"/>
      <c r="AO46" s="296"/>
      <c r="AP46" s="296"/>
      <c r="AQ46" s="296"/>
      <c r="AR46" s="13"/>
      <c r="AS46" s="70"/>
      <c r="AT46" s="494"/>
      <c r="AU46" s="494"/>
      <c r="AV46" s="12" t="s">
        <v>292</v>
      </c>
      <c r="AW46" s="282">
        <f>BH48</f>
        <v>0.12107782016147464</v>
      </c>
      <c r="BC46" s="70"/>
      <c r="BD46" s="70"/>
      <c r="BE46" s="70"/>
      <c r="BF46" s="557"/>
      <c r="BG46" s="5">
        <f>SUM(BG34:BG45)</f>
        <v>12387.865346697357</v>
      </c>
      <c r="BH46" s="5">
        <f>SUM(BH34:BH45)</f>
        <v>2341.0139237853277</v>
      </c>
      <c r="BI46" s="5"/>
      <c r="BJ46" s="5">
        <f>SUM(BJ34:BJ45)</f>
        <v>12387.865346697357</v>
      </c>
      <c r="BK46" s="5">
        <f>SUM(BK34:BK45)</f>
        <v>2341.0139237853277</v>
      </c>
      <c r="BL46" s="70"/>
      <c r="BM46" s="70"/>
      <c r="BO46" s="12"/>
      <c r="BP46" s="282"/>
      <c r="BQ46" s="494"/>
      <c r="BR46" s="494"/>
      <c r="BS46" s="12" t="s">
        <v>287</v>
      </c>
      <c r="BT46" s="618">
        <f>CF48</f>
        <v>3.3423405632844821E-2</v>
      </c>
      <c r="BU46" s="494"/>
      <c r="BV46" s="509"/>
      <c r="BW46" s="282"/>
      <c r="BX46" s="282"/>
      <c r="BY46" s="282"/>
      <c r="BZ46" s="282"/>
      <c r="CB46" s="2"/>
      <c r="CC46" s="5">
        <f t="shared" ref="CC46:CD46" si="14">SUM(CC34:CC45)</f>
        <v>84239.130385163837</v>
      </c>
      <c r="CD46" s="5">
        <f t="shared" si="14"/>
        <v>15919.205742078208</v>
      </c>
      <c r="CF46" s="5">
        <f t="shared" ref="CF46" si="15">SUM(CF34:CF45)</f>
        <v>65296.05590531342</v>
      </c>
    </row>
    <row r="47" spans="2:85" ht="15" thickBot="1" x14ac:dyDescent="0.35">
      <c r="B47" s="24" t="s">
        <v>249</v>
      </c>
      <c r="C47" s="429">
        <f>SUM(C38:C43)/SUM(C32:C43)</f>
        <v>0.37161526004594586</v>
      </c>
      <c r="D47" s="13"/>
      <c r="E47" s="246"/>
      <c r="F47" s="246"/>
      <c r="G47" s="246"/>
      <c r="H47" s="246"/>
      <c r="I47" s="246"/>
      <c r="J47" s="246"/>
      <c r="K47" s="43"/>
      <c r="L47" s="43"/>
      <c r="M47" s="43"/>
      <c r="N47" s="43"/>
      <c r="O47" s="43"/>
      <c r="P47" s="43"/>
      <c r="Q47" s="13"/>
      <c r="R47" s="13"/>
      <c r="S47" s="296"/>
      <c r="T47" s="296"/>
      <c r="U47" s="296"/>
      <c r="V47" s="296"/>
      <c r="W47" s="296"/>
      <c r="X47" s="296"/>
      <c r="Y47" s="296"/>
      <c r="Z47" s="296"/>
      <c r="AA47" s="296"/>
      <c r="AB47" s="296"/>
      <c r="AC47" s="296"/>
      <c r="AD47" s="296"/>
      <c r="AE47" s="296"/>
      <c r="AF47" s="296"/>
      <c r="AG47" s="296"/>
      <c r="AH47" s="296"/>
      <c r="AI47" s="296"/>
      <c r="AJ47" s="296"/>
      <c r="AK47" s="296"/>
      <c r="AL47" s="296"/>
      <c r="AM47" s="296"/>
      <c r="AN47" s="296"/>
      <c r="AO47" s="296"/>
      <c r="AP47" s="296"/>
      <c r="AQ47" s="296"/>
      <c r="AR47" s="13"/>
      <c r="AS47" s="70"/>
      <c r="AU47" s="13"/>
      <c r="AV47" s="14"/>
      <c r="AW47" s="70"/>
      <c r="AX47" s="13"/>
      <c r="AY47" s="510"/>
      <c r="AZ47" s="510"/>
      <c r="BA47" s="510"/>
      <c r="BB47" s="510"/>
      <c r="BC47" s="70"/>
      <c r="BD47" s="70"/>
      <c r="BE47" s="70"/>
      <c r="BL47" s="70"/>
      <c r="BM47" s="70"/>
      <c r="BO47" s="2"/>
      <c r="BP47" s="70"/>
      <c r="BR47" s="13"/>
      <c r="BS47" s="14"/>
      <c r="BT47" s="70"/>
      <c r="BU47" s="13"/>
      <c r="BV47" s="510"/>
      <c r="BW47" s="510"/>
      <c r="BX47" s="510"/>
      <c r="BY47" s="510"/>
      <c r="BZ47" s="510"/>
    </row>
    <row r="48" spans="2:85" ht="16.2" thickBot="1" x14ac:dyDescent="0.35">
      <c r="B48" s="26"/>
      <c r="C48" s="26"/>
      <c r="D48" s="13"/>
      <c r="E48" s="246"/>
      <c r="F48" s="246"/>
      <c r="G48" s="246"/>
      <c r="H48" s="246"/>
      <c r="I48" s="246"/>
      <c r="J48" s="246"/>
      <c r="K48" s="43"/>
      <c r="L48" s="43"/>
      <c r="M48" s="43"/>
      <c r="N48" s="43"/>
      <c r="O48" s="43"/>
      <c r="P48" s="43"/>
      <c r="Q48" s="13"/>
      <c r="R48" s="13"/>
      <c r="S48" s="296"/>
      <c r="T48" s="296"/>
      <c r="U48" s="296"/>
      <c r="V48" s="296"/>
      <c r="W48" s="296"/>
      <c r="X48" s="296"/>
      <c r="Y48" s="296"/>
      <c r="Z48" s="296"/>
      <c r="AA48" s="296"/>
      <c r="AB48" s="296"/>
      <c r="AC48" s="296"/>
      <c r="AD48" s="296"/>
      <c r="AE48" s="296"/>
      <c r="AF48" s="296"/>
      <c r="AG48" s="296"/>
      <c r="AH48" s="296"/>
      <c r="AI48" s="296"/>
      <c r="AJ48" s="296"/>
      <c r="AK48" s="296"/>
      <c r="AL48" s="296"/>
      <c r="AM48" s="296"/>
      <c r="AN48" s="296"/>
      <c r="AO48" s="296"/>
      <c r="AP48" s="296"/>
      <c r="AQ48" s="296"/>
      <c r="AR48" s="13"/>
      <c r="AS48" s="512" t="s">
        <v>216</v>
      </c>
      <c r="AV48" s="2" t="s">
        <v>291</v>
      </c>
      <c r="AW48" s="70">
        <f>BJ48</f>
        <v>0.64070346502113651</v>
      </c>
      <c r="AY48" s="510"/>
      <c r="AZ48" s="70"/>
      <c r="BA48" s="70"/>
      <c r="BB48" s="70"/>
      <c r="BC48" s="70"/>
      <c r="BD48" s="70"/>
      <c r="BE48" s="70"/>
      <c r="BG48" s="864">
        <f>BG46/('Input 1_Population'!$G$24*$BB$5)</f>
        <v>0.64070346502113651</v>
      </c>
      <c r="BH48" s="865">
        <f>BH46/('Input 1_Population'!$G$24*$BB$5)</f>
        <v>0.12107782016147464</v>
      </c>
      <c r="BI48" s="865"/>
      <c r="BJ48" s="866">
        <f>BJ46/('Input 1_Population'!$G$24*$BB$5)</f>
        <v>0.64070346502113651</v>
      </c>
      <c r="BK48" s="867">
        <f>BK46/('Input 1_Population'!$G$24*$BB$5)</f>
        <v>0.12107782016147464</v>
      </c>
      <c r="BL48" s="70"/>
      <c r="BM48" s="70"/>
      <c r="BO48" s="2"/>
      <c r="BP48" s="512" t="s">
        <v>216</v>
      </c>
      <c r="BS48" s="2" t="s">
        <v>286</v>
      </c>
      <c r="BT48" s="70">
        <f>CC48</f>
        <v>4.311988811551358E-2</v>
      </c>
      <c r="BV48" s="510"/>
      <c r="BW48" s="70"/>
      <c r="BX48" s="70"/>
      <c r="BY48" s="70"/>
      <c r="BZ48" s="70"/>
      <c r="CC48" s="580">
        <f>CC46/((1-'Input 1_Population'!$G$24)*$BB$5)</f>
        <v>4.311988811551358E-2</v>
      </c>
      <c r="CD48" s="581">
        <f>CD46/((1-'Input 1_Population'!$G$24)*$BB$5)</f>
        <v>8.1486402737978424E-3</v>
      </c>
      <c r="CE48" s="27"/>
      <c r="CF48" s="580">
        <f>CF46/((1-'Input 1_Population'!$G$24)*$BB$5)</f>
        <v>3.3423405632844821E-2</v>
      </c>
    </row>
    <row r="49" spans="2:85" ht="15" thickBot="1" x14ac:dyDescent="0.35">
      <c r="B49" s="26"/>
      <c r="C49" s="26"/>
      <c r="D49" s="13"/>
      <c r="E49" s="246"/>
      <c r="F49" s="246"/>
      <c r="G49" s="246"/>
      <c r="H49" s="246"/>
      <c r="I49" s="246"/>
      <c r="J49" s="246"/>
      <c r="K49" s="43"/>
      <c r="L49" s="43"/>
      <c r="M49" s="43"/>
      <c r="N49" s="43"/>
      <c r="O49" s="43"/>
      <c r="P49" s="43"/>
      <c r="Q49" s="13"/>
      <c r="R49" s="13"/>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13"/>
      <c r="AS49" s="70"/>
      <c r="AT49" s="13"/>
      <c r="AU49" s="13"/>
      <c r="AV49" s="14" t="s">
        <v>292</v>
      </c>
      <c r="AW49" s="70">
        <f>BK48</f>
        <v>0.12107782016147464</v>
      </c>
      <c r="AX49" s="13"/>
      <c r="AY49" s="510"/>
      <c r="AZ49" s="70"/>
      <c r="BA49" s="70"/>
      <c r="BB49" s="70"/>
      <c r="BC49" s="70"/>
      <c r="BD49" s="70"/>
      <c r="BE49" s="70"/>
      <c r="BG49" s="1121">
        <f>SUM(BG48:BH48)</f>
        <v>0.76178128518261112</v>
      </c>
      <c r="BH49" s="1121"/>
      <c r="BJ49" s="1121">
        <f>SUM(BJ48:BK48)</f>
        <v>0.76178128518261112</v>
      </c>
      <c r="BK49" s="1121"/>
      <c r="BL49" s="70"/>
      <c r="BM49" s="70"/>
      <c r="BO49" s="14"/>
      <c r="BP49" s="70"/>
      <c r="BQ49" s="13"/>
      <c r="BR49" s="13"/>
      <c r="BS49" s="14" t="s">
        <v>287</v>
      </c>
      <c r="BT49" s="70">
        <f>CD48</f>
        <v>8.1486402737978424E-3</v>
      </c>
      <c r="BU49" s="13"/>
      <c r="BV49" s="510"/>
      <c r="BW49" s="70"/>
      <c r="BX49" s="70"/>
      <c r="BY49" s="70"/>
      <c r="BZ49" s="70"/>
      <c r="CC49" s="582" t="s">
        <v>337</v>
      </c>
      <c r="CD49" s="624">
        <f>SUM(CC48:CD48)</f>
        <v>5.1268528389311424E-2</v>
      </c>
    </row>
    <row r="50" spans="2:85" s="13" customFormat="1" x14ac:dyDescent="0.3">
      <c r="B50" s="607"/>
      <c r="C50" s="607"/>
      <c r="E50" s="246"/>
      <c r="F50" s="246"/>
      <c r="G50" s="246"/>
      <c r="H50" s="246"/>
      <c r="I50" s="246"/>
      <c r="J50" s="246"/>
      <c r="K50" s="43"/>
      <c r="L50" s="43"/>
      <c r="M50" s="43"/>
      <c r="N50" s="43"/>
      <c r="O50" s="43"/>
      <c r="P50" s="43"/>
      <c r="S50" s="296"/>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S50" s="70"/>
      <c r="AV50" s="14"/>
      <c r="AW50" s="70"/>
      <c r="AY50" s="510"/>
      <c r="AZ50" s="70"/>
      <c r="BA50" s="70"/>
      <c r="BB50" s="70"/>
      <c r="BC50" s="70"/>
      <c r="BD50" s="70"/>
      <c r="BE50" s="70"/>
      <c r="BG50" s="606"/>
      <c r="BH50" s="606"/>
      <c r="BJ50" s="606"/>
      <c r="BK50" s="606"/>
      <c r="BL50" s="70"/>
      <c r="BM50" s="70"/>
      <c r="BO50" s="14"/>
      <c r="BP50" s="70"/>
      <c r="BS50" s="14"/>
      <c r="BT50" s="70"/>
      <c r="BV50" s="510"/>
      <c r="BW50" s="70"/>
      <c r="BX50" s="70"/>
      <c r="BY50" s="70"/>
      <c r="BZ50" s="70"/>
      <c r="CE50"/>
    </row>
    <row r="51" spans="2:85" s="13" customFormat="1" x14ac:dyDescent="0.3">
      <c r="B51" s="607"/>
      <c r="C51" s="607"/>
      <c r="E51" s="246"/>
      <c r="F51" s="246"/>
      <c r="G51" s="246"/>
      <c r="H51" s="246"/>
      <c r="I51" s="246"/>
      <c r="J51" s="246"/>
      <c r="K51" s="43"/>
      <c r="L51" s="43"/>
      <c r="M51" s="43"/>
      <c r="N51" s="43"/>
      <c r="O51" s="43"/>
      <c r="P51" s="43"/>
      <c r="S51" s="296"/>
      <c r="T51" s="296"/>
      <c r="U51" s="296"/>
      <c r="V51" s="296"/>
      <c r="W51" s="296"/>
      <c r="X51" s="296"/>
      <c r="Y51" s="296"/>
      <c r="Z51" s="296"/>
      <c r="AA51" s="296"/>
      <c r="AB51" s="296"/>
      <c r="AC51" s="296"/>
      <c r="AD51" s="296"/>
      <c r="AE51" s="296"/>
      <c r="AF51" s="296"/>
      <c r="AG51" s="296"/>
      <c r="AH51" s="296"/>
      <c r="AI51" s="296"/>
      <c r="AJ51" s="296"/>
      <c r="AK51" s="296"/>
      <c r="AL51" s="296"/>
      <c r="AM51" s="296"/>
      <c r="AN51" s="296"/>
      <c r="AO51" s="296"/>
      <c r="AP51" s="296"/>
      <c r="AQ51" s="296"/>
      <c r="AT51" s="614"/>
      <c r="AU51" s="1"/>
      <c r="AV51"/>
      <c r="AW51" s="70"/>
      <c r="AY51" s="510"/>
      <c r="AZ51" s="70"/>
      <c r="BA51" s="70"/>
      <c r="BB51" s="70"/>
      <c r="BC51" s="70"/>
      <c r="BD51" s="70"/>
      <c r="BE51" s="70"/>
      <c r="BG51" s="606"/>
      <c r="BH51" s="606"/>
      <c r="BJ51" s="606"/>
      <c r="BK51" s="606"/>
      <c r="BL51" s="70"/>
      <c r="BM51" s="70"/>
      <c r="BO51" s="14"/>
      <c r="BP51" s="70"/>
      <c r="BS51" s="14"/>
      <c r="BT51" s="70"/>
      <c r="BV51" s="510"/>
      <c r="BW51" s="70"/>
      <c r="BX51" s="70"/>
      <c r="BY51" s="70"/>
      <c r="BZ51" s="70"/>
      <c r="CE51"/>
    </row>
    <row r="52" spans="2:85" s="13" customFormat="1" x14ac:dyDescent="0.3">
      <c r="B52" s="607"/>
      <c r="C52" s="607"/>
      <c r="E52" s="246"/>
      <c r="F52" s="246"/>
      <c r="G52" s="246"/>
      <c r="H52" s="246"/>
      <c r="I52" s="246"/>
      <c r="J52" s="246"/>
      <c r="K52" s="43"/>
      <c r="L52" s="43"/>
      <c r="M52" s="43"/>
      <c r="N52" s="43"/>
      <c r="O52" s="43"/>
      <c r="P52" s="43"/>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6"/>
      <c r="AS52" s="70"/>
      <c r="AV52" s="14"/>
      <c r="AW52" s="70"/>
      <c r="AY52" s="510"/>
      <c r="AZ52" s="70"/>
      <c r="BA52" s="70"/>
      <c r="BB52" s="70"/>
      <c r="BC52" s="70"/>
      <c r="BD52" s="70"/>
      <c r="BE52" s="70"/>
      <c r="BL52" s="70"/>
      <c r="BM52" s="70"/>
      <c r="BO52" s="14"/>
      <c r="BP52" s="70"/>
      <c r="BS52" s="14"/>
      <c r="BT52" s="70"/>
      <c r="BV52" s="510"/>
      <c r="BW52" s="70"/>
      <c r="BX52" s="70"/>
      <c r="BY52" s="70"/>
      <c r="BZ52" s="70"/>
      <c r="CE52"/>
    </row>
    <row r="53" spans="2:85" s="13" customFormat="1" x14ac:dyDescent="0.3">
      <c r="B53" s="607"/>
      <c r="C53" s="607"/>
      <c r="E53" s="246"/>
      <c r="F53" s="246"/>
      <c r="G53" s="246"/>
      <c r="H53" s="246"/>
      <c r="I53" s="246"/>
      <c r="J53" s="246"/>
      <c r="K53" s="43"/>
      <c r="L53" s="43"/>
      <c r="M53" s="43"/>
      <c r="N53" s="43"/>
      <c r="O53" s="43"/>
      <c r="P53" s="43"/>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S53" s="70"/>
      <c r="AV53" s="14"/>
      <c r="AW53" s="70"/>
      <c r="AY53" s="510"/>
      <c r="AZ53" s="70"/>
      <c r="BA53" s="70"/>
      <c r="BB53" s="70"/>
      <c r="BC53" s="70"/>
      <c r="BD53" s="70"/>
      <c r="BE53" s="70"/>
      <c r="BF53"/>
      <c r="BG53" s="1117" t="s">
        <v>311</v>
      </c>
      <c r="BH53" s="1117"/>
      <c r="BI53" s="1117"/>
      <c r="BJ53" s="1117"/>
      <c r="BK53" s="1117"/>
      <c r="BL53" s="70"/>
      <c r="BM53" s="70"/>
      <c r="BO53" s="14"/>
      <c r="BP53" s="70"/>
      <c r="BS53" s="14"/>
      <c r="BT53" s="70"/>
      <c r="BV53" s="510"/>
      <c r="BW53" s="70"/>
      <c r="BX53" s="70"/>
      <c r="BY53" s="70"/>
      <c r="BZ53" s="70"/>
      <c r="CB53"/>
      <c r="CC53" s="1117"/>
      <c r="CD53" s="1117"/>
      <c r="CE53"/>
    </row>
    <row r="54" spans="2:85" x14ac:dyDescent="0.3">
      <c r="B54" s="1135" t="s">
        <v>93</v>
      </c>
      <c r="C54" s="1135"/>
      <c r="D54" s="13"/>
      <c r="E54" s="246"/>
      <c r="F54" s="246"/>
      <c r="G54" s="246"/>
      <c r="H54" s="246"/>
      <c r="I54" s="246"/>
      <c r="J54" s="246"/>
      <c r="K54" s="43"/>
      <c r="L54" s="43"/>
      <c r="M54" s="43"/>
      <c r="N54" s="43"/>
      <c r="O54" s="43"/>
      <c r="P54" s="43"/>
      <c r="Q54" s="13"/>
      <c r="R54" s="13"/>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13"/>
      <c r="AS54" s="12"/>
      <c r="AT54" s="281"/>
      <c r="AU54" s="34"/>
      <c r="AV54" s="34"/>
      <c r="AW54" s="12"/>
      <c r="AX54" s="282"/>
      <c r="AY54" s="282"/>
      <c r="AZ54" s="282"/>
      <c r="BA54" s="282"/>
      <c r="BB54" s="282"/>
      <c r="BC54" s="282"/>
      <c r="BD54" s="282"/>
      <c r="BE54" s="282"/>
      <c r="BG54" s="1129" t="s">
        <v>117</v>
      </c>
      <c r="BH54" s="1129"/>
      <c r="BI54" s="57"/>
      <c r="BJ54" s="1122" t="s">
        <v>216</v>
      </c>
      <c r="BK54" s="1122"/>
      <c r="BL54" s="282"/>
      <c r="BM54" s="282"/>
      <c r="BN54" s="34"/>
      <c r="BO54" s="283"/>
      <c r="BP54" s="281"/>
      <c r="BQ54" s="494"/>
      <c r="BR54" s="494"/>
      <c r="BS54" s="494"/>
      <c r="BT54" s="494"/>
      <c r="BU54" s="494"/>
      <c r="BV54" s="509"/>
      <c r="BW54" s="282"/>
      <c r="BX54" s="282"/>
      <c r="BY54" s="282"/>
      <c r="BZ54" s="282"/>
      <c r="CA54" s="10"/>
      <c r="CC54" s="1122" t="s">
        <v>216</v>
      </c>
      <c r="CD54" s="1122"/>
      <c r="CF54" s="1122" t="s">
        <v>226</v>
      </c>
      <c r="CG54" s="1122"/>
    </row>
    <row r="55" spans="2:85" x14ac:dyDescent="0.3">
      <c r="B55" s="31" t="s">
        <v>14</v>
      </c>
      <c r="C55" s="31" t="s">
        <v>511</v>
      </c>
      <c r="D55" s="13"/>
      <c r="E55" s="246"/>
      <c r="F55" s="246"/>
      <c r="G55" s="246"/>
      <c r="H55" s="246"/>
      <c r="I55" s="246"/>
      <c r="J55" s="246"/>
      <c r="K55" s="43"/>
      <c r="L55" s="43"/>
      <c r="M55" s="43"/>
      <c r="N55" s="43"/>
      <c r="O55" s="43"/>
      <c r="P55" s="43"/>
      <c r="Q55" s="13"/>
      <c r="R55" s="13"/>
      <c r="S55" s="296"/>
      <c r="T55" s="296"/>
      <c r="U55" s="296"/>
      <c r="V55" s="296"/>
      <c r="W55" s="296"/>
      <c r="X55" s="296"/>
      <c r="Y55" s="296"/>
      <c r="Z55" s="296"/>
      <c r="AA55" s="296"/>
      <c r="AB55" s="296"/>
      <c r="AC55" s="296"/>
      <c r="AD55" s="296"/>
      <c r="AE55" s="296"/>
      <c r="AF55" s="296"/>
      <c r="AG55" s="296"/>
      <c r="AH55" s="296"/>
      <c r="AI55" s="296"/>
      <c r="AJ55" s="296"/>
      <c r="AK55" s="296"/>
      <c r="AL55" s="296"/>
      <c r="AM55" s="296"/>
      <c r="AN55" s="296"/>
      <c r="AO55" s="296"/>
      <c r="AP55" s="296"/>
      <c r="AQ55" s="296"/>
      <c r="AR55" s="13"/>
      <c r="BF55" s="561" t="s">
        <v>314</v>
      </c>
      <c r="BG55" s="1123" t="s">
        <v>312</v>
      </c>
      <c r="BH55" s="1126" t="s">
        <v>313</v>
      </c>
      <c r="BI55" s="57"/>
      <c r="BJ55" s="1123" t="s">
        <v>312</v>
      </c>
      <c r="BK55" s="1126" t="s">
        <v>313</v>
      </c>
      <c r="CB55" s="561" t="s">
        <v>314</v>
      </c>
      <c r="CC55" s="1123" t="s">
        <v>312</v>
      </c>
      <c r="CD55" s="1126" t="s">
        <v>313</v>
      </c>
      <c r="CF55" s="1140" t="s">
        <v>313</v>
      </c>
      <c r="CG55" s="1140"/>
    </row>
    <row r="56" spans="2:85" x14ac:dyDescent="0.3">
      <c r="B56" s="26">
        <v>0</v>
      </c>
      <c r="C56" s="293">
        <f>'Input 2_RSV Rates'!H10*'Input 3_Clinical Severity'!$H$9</f>
        <v>64.545000000000002</v>
      </c>
      <c r="D56" s="13"/>
      <c r="E56" s="77">
        <f t="shared" ref="E56:P67" si="16">($C56/(SUM($C$56:$C$67)))*E$7</f>
        <v>3.4049427563111623E-3</v>
      </c>
      <c r="F56" s="77">
        <f t="shared" si="16"/>
        <v>9.8700239391804577E-3</v>
      </c>
      <c r="G56" s="77">
        <f t="shared" si="16"/>
        <v>1.4050776437435937E-2</v>
      </c>
      <c r="H56" s="77">
        <f t="shared" si="16"/>
        <v>9.3959179857700439E-3</v>
      </c>
      <c r="I56" s="77">
        <f t="shared" si="16"/>
        <v>5.0427633226380513E-3</v>
      </c>
      <c r="J56" s="77">
        <f t="shared" si="16"/>
        <v>1.3361167777929878E-3</v>
      </c>
      <c r="K56" s="77">
        <f t="shared" si="16"/>
        <v>0</v>
      </c>
      <c r="L56" s="77">
        <f t="shared" si="16"/>
        <v>0</v>
      </c>
      <c r="M56" s="77">
        <f t="shared" si="16"/>
        <v>0</v>
      </c>
      <c r="N56" s="77">
        <f t="shared" si="16"/>
        <v>0</v>
      </c>
      <c r="O56" s="77">
        <f t="shared" si="16"/>
        <v>0</v>
      </c>
      <c r="P56" s="77">
        <f t="shared" si="16"/>
        <v>0</v>
      </c>
      <c r="Q56" s="13"/>
      <c r="R56" s="13"/>
      <c r="S56" s="852">
        <f>IF('Input 5_Product Uptake'!$M$9=0,E56*Ratios!$N$42,E56*Ratios!$N$42*Ratios!$Z$36)</f>
        <v>225.05578343037695</v>
      </c>
      <c r="T56" s="852">
        <f>IF('Input 5_Product Uptake'!$M$9=0,F56*Ratios!$N$42,F56*Ratios!$N$42*Ratios!$Z$36)</f>
        <v>652.37689120957373</v>
      </c>
      <c r="U56" s="852">
        <f>IF('Input 5_Product Uptake'!$M$9=0,G56*Ratios!$N$42,G56*Ratios!$N$42*Ratios!$Z$36)</f>
        <v>928.71120757345443</v>
      </c>
      <c r="V56" s="852">
        <f>IF('Input 5_Product Uptake'!$M$9=0,H56*Ratios!$N$42,H56*Ratios!$N$42*Ratios!$Z$36)</f>
        <v>621.0400099724327</v>
      </c>
      <c r="W56" s="852">
        <f>IF('Input 5_Product Uptake'!$M$9=0,I56*Ratios!$N$42,I56*Ratios!$N$42*Ratios!$Z$36)</f>
        <v>333.31046406777352</v>
      </c>
      <c r="X56" s="852">
        <f>IF('Input 5_Product Uptake'!$M$9=0,J56*Ratios!$N$42,J56*Ratios!$N$42*Ratios!$Z$36)</f>
        <v>88.313028941034005</v>
      </c>
      <c r="Y56" s="852">
        <f>IF('Input 5_Product Uptake'!$M$9=0,K56*Ratios!$N$42,K56*Ratios!$N$42*Ratios!$Z$36)</f>
        <v>0</v>
      </c>
      <c r="Z56" s="852">
        <f>IF('Input 5_Product Uptake'!$M$9=0,L56*Ratios!$N$42,L56*Ratios!$N$42*Ratios!$Z$36)</f>
        <v>0</v>
      </c>
      <c r="AA56" s="852">
        <f>IF('Input 5_Product Uptake'!$M$9=0,M56*Ratios!$N$42,M56*Ratios!$N$42*Ratios!$Z$36)</f>
        <v>0</v>
      </c>
      <c r="AB56" s="852">
        <f>IF('Input 5_Product Uptake'!$M$9=0,N56*Ratios!$N$42,N56*Ratios!$N$42*Ratios!$Z$36)</f>
        <v>0</v>
      </c>
      <c r="AC56" s="852">
        <f>IF('Input 5_Product Uptake'!$M$9=0,O56*Ratios!$N$42,O56*Ratios!$N$42*Ratios!$Z$36)</f>
        <v>0</v>
      </c>
      <c r="AD56" s="852">
        <f>IF('Input 5_Product Uptake'!$M$9=0,P56*Ratios!$N$42,P56*Ratios!$N$42*Ratios!$Z$36)</f>
        <v>0</v>
      </c>
      <c r="AE56" s="297"/>
      <c r="AF56" s="860">
        <f>Ratios!$P$42*E56</f>
        <v>1530.4092314323641</v>
      </c>
      <c r="AG56" s="860">
        <f>Ratios!$P$42*F56</f>
        <v>4436.2495442786249</v>
      </c>
      <c r="AH56" s="860">
        <f>Ratios!$P$42*G56</f>
        <v>6315.3596132525408</v>
      </c>
      <c r="AI56" s="860">
        <f>Ratios!$P$42*H56</f>
        <v>4223.1545880032327</v>
      </c>
      <c r="AJ56" s="860">
        <f>Ratios!$P$42*I56</f>
        <v>2266.555444020084</v>
      </c>
      <c r="AK56" s="860">
        <f>Ratios!$P$42*J56</f>
        <v>600.54033132156064</v>
      </c>
      <c r="AL56" s="860">
        <f>Ratios!$P$42*K56</f>
        <v>0</v>
      </c>
      <c r="AM56" s="860">
        <f>Ratios!$P$42*L56</f>
        <v>0</v>
      </c>
      <c r="AN56" s="860">
        <f>Ratios!$P$42*M56</f>
        <v>0</v>
      </c>
      <c r="AO56" s="860">
        <f>Ratios!$P$42*N56</f>
        <v>0</v>
      </c>
      <c r="AP56" s="860">
        <f>Ratios!$P$42*O56</f>
        <v>0</v>
      </c>
      <c r="AQ56" s="860">
        <f>Ratios!$P$42*P56</f>
        <v>0</v>
      </c>
      <c r="AR56" s="13"/>
      <c r="AS56" s="275">
        <f>S56</f>
        <v>225.05578343037695</v>
      </c>
      <c r="AT56" s="275">
        <f t="shared" ref="AT56:BD67" si="17">T56</f>
        <v>652.37689120957373</v>
      </c>
      <c r="AU56" s="275">
        <f t="shared" si="17"/>
        <v>928.71120757345443</v>
      </c>
      <c r="AV56" s="275">
        <f t="shared" si="17"/>
        <v>621.0400099724327</v>
      </c>
      <c r="AW56" s="275">
        <f t="shared" si="17"/>
        <v>333.31046406777352</v>
      </c>
      <c r="AX56" s="275">
        <f t="shared" si="17"/>
        <v>88.313028941034005</v>
      </c>
      <c r="AY56" s="275">
        <f t="shared" si="17"/>
        <v>0</v>
      </c>
      <c r="AZ56" s="275">
        <f t="shared" si="17"/>
        <v>0</v>
      </c>
      <c r="BA56" s="275">
        <f t="shared" si="17"/>
        <v>0</v>
      </c>
      <c r="BB56" s="275">
        <f t="shared" si="17"/>
        <v>0</v>
      </c>
      <c r="BC56" s="275">
        <f t="shared" si="17"/>
        <v>0</v>
      </c>
      <c r="BD56" s="275">
        <f t="shared" si="17"/>
        <v>0</v>
      </c>
      <c r="BE56" s="275"/>
      <c r="BF56" s="573" t="s">
        <v>317</v>
      </c>
      <c r="BG56" s="1124"/>
      <c r="BH56" s="1127"/>
      <c r="BI56" s="57"/>
      <c r="BJ56" s="1124"/>
      <c r="BK56" s="1127"/>
      <c r="BL56" s="275"/>
      <c r="BM56" s="275"/>
      <c r="BN56" s="32"/>
      <c r="BO56" s="35">
        <f>AF56</f>
        <v>1530.4092314323641</v>
      </c>
      <c r="BP56" s="35">
        <f t="shared" ref="BP56:BZ67" si="18">AG56</f>
        <v>4436.2495442786249</v>
      </c>
      <c r="BQ56" s="35">
        <f t="shared" si="18"/>
        <v>6315.3596132525408</v>
      </c>
      <c r="BR56" s="35">
        <f t="shared" si="18"/>
        <v>4223.1545880032327</v>
      </c>
      <c r="BS56" s="35">
        <f t="shared" si="18"/>
        <v>2266.555444020084</v>
      </c>
      <c r="BT56" s="35">
        <f t="shared" si="18"/>
        <v>600.54033132156064</v>
      </c>
      <c r="BU56" s="35">
        <f t="shared" si="18"/>
        <v>0</v>
      </c>
      <c r="BV56" s="35">
        <f t="shared" si="18"/>
        <v>0</v>
      </c>
      <c r="BW56" s="35">
        <f t="shared" si="18"/>
        <v>0</v>
      </c>
      <c r="BX56" s="35">
        <f t="shared" si="18"/>
        <v>0</v>
      </c>
      <c r="BY56" s="35">
        <f t="shared" si="18"/>
        <v>0</v>
      </c>
      <c r="BZ56" s="35">
        <f t="shared" si="18"/>
        <v>0</v>
      </c>
      <c r="CA56" s="35"/>
      <c r="CB56" s="573" t="s">
        <v>317</v>
      </c>
      <c r="CC56" s="1124"/>
      <c r="CD56" s="1127"/>
      <c r="CF56" s="1139"/>
      <c r="CG56" s="1139"/>
    </row>
    <row r="57" spans="2:85" x14ac:dyDescent="0.3">
      <c r="B57" s="26">
        <v>1</v>
      </c>
      <c r="C57" s="293">
        <f>'Input 2_RSV Rates'!H11*'Input 3_Clinical Severity'!$H$9</f>
        <v>142.41499999999999</v>
      </c>
      <c r="D57" s="13"/>
      <c r="E57" s="77">
        <f t="shared" si="16"/>
        <v>7.5128193142776998E-3</v>
      </c>
      <c r="F57" s="77">
        <f t="shared" si="16"/>
        <v>2.1777666113539155E-2</v>
      </c>
      <c r="G57" s="77">
        <f t="shared" si="16"/>
        <v>3.1002267043728229E-2</v>
      </c>
      <c r="H57" s="77">
        <f t="shared" si="16"/>
        <v>2.0731577348259981E-2</v>
      </c>
      <c r="I57" s="77">
        <f t="shared" si="16"/>
        <v>1.1126580503423937E-2</v>
      </c>
      <c r="J57" s="77">
        <f t="shared" si="16"/>
        <v>2.9480683385140339E-3</v>
      </c>
      <c r="K57" s="77">
        <f t="shared" si="16"/>
        <v>0</v>
      </c>
      <c r="L57" s="77">
        <f t="shared" si="16"/>
        <v>0</v>
      </c>
      <c r="M57" s="77">
        <f t="shared" si="16"/>
        <v>0</v>
      </c>
      <c r="N57" s="77">
        <f t="shared" si="16"/>
        <v>0</v>
      </c>
      <c r="O57" s="77">
        <f t="shared" si="16"/>
        <v>0</v>
      </c>
      <c r="P57" s="77">
        <f t="shared" si="16"/>
        <v>0</v>
      </c>
      <c r="Q57" s="13"/>
      <c r="R57" s="13"/>
      <c r="S57" s="852">
        <f>IF('Input 5_Product Uptake'!$M$9=0,E57*Ratios!$N$42,E57*Ratios!$N$42*Ratios!$Z$36)</f>
        <v>496.57323413490019</v>
      </c>
      <c r="T57" s="852">
        <f>IF('Input 5_Product Uptake'!$M$9=0,F57*Ratios!$N$42,F57*Ratios!$N$42*Ratios!$Z$36)</f>
        <v>1439.4338052771159</v>
      </c>
      <c r="U57" s="852">
        <f>IF('Input 5_Product Uptake'!$M$9=0,G57*Ratios!$N$42,G57*Ratios!$N$42*Ratios!$Z$36)</f>
        <v>2049.1503079490817</v>
      </c>
      <c r="V57" s="852">
        <f>IF('Input 5_Product Uptake'!$M$9=0,H57*Ratios!$N$42,H57*Ratios!$N$42*Ratios!$Z$36)</f>
        <v>1370.2906967266863</v>
      </c>
      <c r="W57" s="852">
        <f>IF('Input 5_Product Uptake'!$M$9=0,I57*Ratios!$N$42,I57*Ratios!$N$42*Ratios!$Z$36)</f>
        <v>735.43124549092818</v>
      </c>
      <c r="X57" s="852">
        <f>IF('Input 5_Product Uptake'!$M$9=0,J57*Ratios!$N$42,J57*Ratios!$N$42*Ratios!$Z$36)</f>
        <v>194.8578513693912</v>
      </c>
      <c r="Y57" s="852">
        <f>IF('Input 5_Product Uptake'!$M$9=0,K57*Ratios!$N$42,K57*Ratios!$N$42*Ratios!$Z$36)</f>
        <v>0</v>
      </c>
      <c r="Z57" s="852">
        <f>IF('Input 5_Product Uptake'!$M$9=0,L57*Ratios!$N$42,L57*Ratios!$N$42*Ratios!$Z$36)</f>
        <v>0</v>
      </c>
      <c r="AA57" s="852">
        <f>IF('Input 5_Product Uptake'!$M$9=0,M57*Ratios!$N$42,M57*Ratios!$N$42*Ratios!$Z$36)</f>
        <v>0</v>
      </c>
      <c r="AB57" s="852">
        <f>IF('Input 5_Product Uptake'!$M$9=0,N57*Ratios!$N$42,N57*Ratios!$N$42*Ratios!$Z$36)</f>
        <v>0</v>
      </c>
      <c r="AC57" s="852">
        <f>IF('Input 5_Product Uptake'!$M$9=0,O57*Ratios!$N$42,O57*Ratios!$N$42*Ratios!$Z$36)</f>
        <v>0</v>
      </c>
      <c r="AD57" s="852">
        <f>IF('Input 5_Product Uptake'!$M$9=0,P57*Ratios!$N$42,P57*Ratios!$N$42*Ratios!$Z$36)</f>
        <v>0</v>
      </c>
      <c r="AE57" s="297"/>
      <c r="AF57" s="860">
        <f>Ratios!$P$42*E57</f>
        <v>3376.7639738855078</v>
      </c>
      <c r="AG57" s="860">
        <f>Ratios!$P$42*F57</f>
        <v>9788.3411394909035</v>
      </c>
      <c r="AH57" s="860">
        <f>Ratios!$P$42*G57</f>
        <v>13934.494373249057</v>
      </c>
      <c r="AI57" s="860">
        <f>Ratios!$P$42*H57</f>
        <v>9318.1588140131735</v>
      </c>
      <c r="AJ57" s="860">
        <f>Ratios!$P$42*I57</f>
        <v>5001.0301891722083</v>
      </c>
      <c r="AK57" s="860">
        <f>Ratios!$P$42*J57</f>
        <v>1325.0592808917816</v>
      </c>
      <c r="AL57" s="860">
        <f>Ratios!$P$42*K57</f>
        <v>0</v>
      </c>
      <c r="AM57" s="860">
        <f>Ratios!$P$42*L57</f>
        <v>0</v>
      </c>
      <c r="AN57" s="860">
        <f>Ratios!$P$42*M57</f>
        <v>0</v>
      </c>
      <c r="AO57" s="860">
        <f>Ratios!$P$42*N57</f>
        <v>0</v>
      </c>
      <c r="AP57" s="860">
        <f>Ratios!$P$42*O57</f>
        <v>0</v>
      </c>
      <c r="AQ57" s="860">
        <f>Ratios!$P$42*P57</f>
        <v>0</v>
      </c>
      <c r="AR57" s="13"/>
      <c r="AS57" s="275">
        <f t="shared" ref="AS57:AS67" si="19">S57</f>
        <v>496.57323413490019</v>
      </c>
      <c r="AT57" s="275">
        <f t="shared" si="17"/>
        <v>1439.4338052771159</v>
      </c>
      <c r="AU57" s="275">
        <f t="shared" si="17"/>
        <v>2049.1503079490817</v>
      </c>
      <c r="AV57" s="275">
        <f t="shared" si="17"/>
        <v>1370.2906967266863</v>
      </c>
      <c r="AW57" s="275">
        <f t="shared" si="17"/>
        <v>735.43124549092818</v>
      </c>
      <c r="AX57" s="275">
        <f t="shared" si="17"/>
        <v>194.8578513693912</v>
      </c>
      <c r="AY57" s="275">
        <f t="shared" si="17"/>
        <v>0</v>
      </c>
      <c r="AZ57" s="275">
        <f t="shared" si="17"/>
        <v>0</v>
      </c>
      <c r="BA57" s="275">
        <f t="shared" si="17"/>
        <v>0</v>
      </c>
      <c r="BB57" s="275">
        <f t="shared" si="17"/>
        <v>0</v>
      </c>
      <c r="BC57" s="275">
        <f t="shared" si="17"/>
        <v>0</v>
      </c>
      <c r="BD57" s="275">
        <f t="shared" si="17"/>
        <v>0</v>
      </c>
      <c r="BE57" s="275"/>
      <c r="BF57" s="518"/>
      <c r="BG57" s="1125"/>
      <c r="BH57" s="1128"/>
      <c r="BI57" s="57"/>
      <c r="BJ57" s="1125"/>
      <c r="BK57" s="1128"/>
      <c r="BL57" s="275"/>
      <c r="BM57" s="275"/>
      <c r="BN57" s="32"/>
      <c r="BO57" s="35">
        <f t="shared" ref="BO57:BO67" si="20">AF57</f>
        <v>3376.7639738855078</v>
      </c>
      <c r="BP57" s="35">
        <f t="shared" si="18"/>
        <v>9788.3411394909035</v>
      </c>
      <c r="BQ57" s="35">
        <f t="shared" si="18"/>
        <v>13934.494373249057</v>
      </c>
      <c r="BR57" s="35">
        <f t="shared" si="18"/>
        <v>9318.1588140131735</v>
      </c>
      <c r="BS57" s="35">
        <f t="shared" si="18"/>
        <v>5001.0301891722083</v>
      </c>
      <c r="BT57" s="35">
        <f t="shared" si="18"/>
        <v>1325.0592808917816</v>
      </c>
      <c r="BU57" s="35">
        <f t="shared" si="18"/>
        <v>0</v>
      </c>
      <c r="BV57" s="35">
        <f t="shared" si="18"/>
        <v>0</v>
      </c>
      <c r="BW57" s="35">
        <f t="shared" si="18"/>
        <v>0</v>
      </c>
      <c r="BX57" s="35">
        <f t="shared" si="18"/>
        <v>0</v>
      </c>
      <c r="BY57" s="35">
        <f t="shared" si="18"/>
        <v>0</v>
      </c>
      <c r="BZ57" s="35">
        <f t="shared" si="18"/>
        <v>0</v>
      </c>
      <c r="CA57" s="35"/>
      <c r="CB57" s="518"/>
      <c r="CC57" s="1125"/>
      <c r="CD57" s="1128"/>
      <c r="CF57" s="1139"/>
      <c r="CG57" s="1139"/>
    </row>
    <row r="58" spans="2:85" x14ac:dyDescent="0.3">
      <c r="B58" s="26">
        <v>2</v>
      </c>
      <c r="C58" s="293">
        <f>'Input 2_RSV Rates'!H12*'Input 3_Clinical Severity'!$H$9</f>
        <v>177.51500000000001</v>
      </c>
      <c r="D58" s="13"/>
      <c r="E58" s="77">
        <f t="shared" si="16"/>
        <v>9.3644498161991798E-3</v>
      </c>
      <c r="F58" s="77">
        <f t="shared" si="16"/>
        <v>2.7145050733033062E-2</v>
      </c>
      <c r="G58" s="77">
        <f t="shared" si="16"/>
        <v>3.8643172659252309E-2</v>
      </c>
      <c r="H58" s="77">
        <f t="shared" si="16"/>
        <v>2.5841139999131912E-2</v>
      </c>
      <c r="I58" s="77">
        <f t="shared" si="16"/>
        <v>1.3868868715130432E-2</v>
      </c>
      <c r="J58" s="77">
        <f t="shared" si="16"/>
        <v>3.6746575228123364E-3</v>
      </c>
      <c r="K58" s="77">
        <f t="shared" si="16"/>
        <v>0</v>
      </c>
      <c r="L58" s="77">
        <f t="shared" si="16"/>
        <v>0</v>
      </c>
      <c r="M58" s="77">
        <f t="shared" si="16"/>
        <v>0</v>
      </c>
      <c r="N58" s="77">
        <f t="shared" si="16"/>
        <v>0</v>
      </c>
      <c r="O58" s="77">
        <f t="shared" si="16"/>
        <v>0</v>
      </c>
      <c r="P58" s="77">
        <f t="shared" si="16"/>
        <v>0</v>
      </c>
      <c r="Q58" s="13"/>
      <c r="R58" s="13"/>
      <c r="S58" s="852">
        <f>IF('Input 5_Product Uptake'!$M$9=0,E58*Ratios!$N$42,E58*Ratios!$N$42*Ratios!$Z$36)</f>
        <v>618.96006500338319</v>
      </c>
      <c r="T58" s="852">
        <f>IF('Input 5_Product Uptake'!$M$9=0,F58*Ratios!$N$42,F58*Ratios!$N$42*Ratios!$Z$36)</f>
        <v>1794.2006947566422</v>
      </c>
      <c r="U58" s="852">
        <f>IF('Input 5_Product Uptake'!$M$9=0,G58*Ratios!$N$42,G58*Ratios!$N$42*Ratios!$Z$36)</f>
        <v>2554.1896353304164</v>
      </c>
      <c r="V58" s="852">
        <f>IF('Input 5_Product Uptake'!$M$9=0,H58*Ratios!$N$42,H58*Ratios!$N$42*Ratios!$Z$36)</f>
        <v>1708.0163819080701</v>
      </c>
      <c r="W58" s="852">
        <f>IF('Input 5_Product Uptake'!$M$9=0,I58*Ratios!$N$42,I58*Ratios!$N$42*Ratios!$Z$36)</f>
        <v>916.68769120754234</v>
      </c>
      <c r="X58" s="852">
        <f>IF('Input 5_Product Uptake'!$M$9=0,J58*Ratios!$N$42,J58*Ratios!$N$42*Ratios!$Z$36)</f>
        <v>242.88306348234025</v>
      </c>
      <c r="Y58" s="852">
        <f>IF('Input 5_Product Uptake'!$M$9=0,K58*Ratios!$N$42,K58*Ratios!$N$42*Ratios!$Z$36)</f>
        <v>0</v>
      </c>
      <c r="Z58" s="852">
        <f>IF('Input 5_Product Uptake'!$M$9=0,L58*Ratios!$N$42,L58*Ratios!$N$42*Ratios!$Z$36)</f>
        <v>0</v>
      </c>
      <c r="AA58" s="852">
        <f>IF('Input 5_Product Uptake'!$M$9=0,M58*Ratios!$N$42,M58*Ratios!$N$42*Ratios!$Z$36)</f>
        <v>0</v>
      </c>
      <c r="AB58" s="852">
        <f>IF('Input 5_Product Uptake'!$M$9=0,N58*Ratios!$N$42,N58*Ratios!$N$42*Ratios!$Z$36)</f>
        <v>0</v>
      </c>
      <c r="AC58" s="852">
        <f>IF('Input 5_Product Uptake'!$M$9=0,O58*Ratios!$N$42,O58*Ratios!$N$42*Ratios!$Z$36)</f>
        <v>0</v>
      </c>
      <c r="AD58" s="852">
        <f>IF('Input 5_Product Uptake'!$M$9=0,P58*Ratios!$N$42,P58*Ratios!$N$42*Ratios!$Z$36)</f>
        <v>0</v>
      </c>
      <c r="AE58" s="297"/>
      <c r="AF58" s="860">
        <f>Ratios!$P$42*E58</f>
        <v>4209.0106858426861</v>
      </c>
      <c r="AG58" s="860">
        <f>Ratios!$P$42*F58</f>
        <v>12200.803127316138</v>
      </c>
      <c r="AH58" s="860">
        <f>Ratios!$P$42*G58</f>
        <v>17368.828906135637</v>
      </c>
      <c r="AI58" s="860">
        <f>Ratios!$P$42*H58</f>
        <v>11614.738348274752</v>
      </c>
      <c r="AJ58" s="860">
        <f>Ratios!$P$42*I58</f>
        <v>6233.5981043492948</v>
      </c>
      <c r="AK58" s="860">
        <f>Ratios!$P$42*J58</f>
        <v>1651.6371045711805</v>
      </c>
      <c r="AL58" s="860">
        <f>Ratios!$P$42*K58</f>
        <v>0</v>
      </c>
      <c r="AM58" s="860">
        <f>Ratios!$P$42*L58</f>
        <v>0</v>
      </c>
      <c r="AN58" s="860">
        <f>Ratios!$P$42*M58</f>
        <v>0</v>
      </c>
      <c r="AO58" s="860">
        <f>Ratios!$P$42*N58</f>
        <v>0</v>
      </c>
      <c r="AP58" s="860">
        <f>Ratios!$P$42*O58</f>
        <v>0</v>
      </c>
      <c r="AQ58" s="860">
        <f>Ratios!$P$42*P58</f>
        <v>0</v>
      </c>
      <c r="AR58" s="13"/>
      <c r="AS58" s="275">
        <f t="shared" si="19"/>
        <v>618.96006500338319</v>
      </c>
      <c r="AT58" s="275">
        <f t="shared" si="17"/>
        <v>1794.2006947566422</v>
      </c>
      <c r="AU58" s="275">
        <f t="shared" si="17"/>
        <v>2554.1896353304164</v>
      </c>
      <c r="AV58" s="275">
        <f t="shared" si="17"/>
        <v>1708.0163819080701</v>
      </c>
      <c r="AW58" s="275">
        <f t="shared" si="17"/>
        <v>916.68769120754234</v>
      </c>
      <c r="AX58" s="275">
        <f t="shared" si="17"/>
        <v>242.88306348234025</v>
      </c>
      <c r="AY58" s="275">
        <f t="shared" si="17"/>
        <v>0</v>
      </c>
      <c r="AZ58" s="275">
        <f t="shared" si="17"/>
        <v>0</v>
      </c>
      <c r="BA58" s="275">
        <f t="shared" si="17"/>
        <v>0</v>
      </c>
      <c r="BB58" s="275">
        <f t="shared" si="17"/>
        <v>0</v>
      </c>
      <c r="BC58" s="275">
        <f t="shared" si="17"/>
        <v>0</v>
      </c>
      <c r="BD58" s="275">
        <f t="shared" si="17"/>
        <v>0</v>
      </c>
      <c r="BE58" s="275"/>
      <c r="BF58" s="557">
        <f>IF($B56=0,1,IF(AND(BF57&gt;0,$B56&lt;='Input 4_RSV Season'!$AG$27-1),BF57+1,0))</f>
        <v>1</v>
      </c>
      <c r="BG58" s="549">
        <f>IF(AND($BF58&gt;0,$BF58&lt;='Input 6_Product Efficacy'!$Q$9/30),SUM($AS56:$BD56),0)</f>
        <v>2848.8073851946456</v>
      </c>
      <c r="BH58" s="554">
        <f>IF(AND($BF58&gt;0,$BF58&gt;'Input 6_Product Efficacy'!$Q$9/30),SUM($AS56:$BD56),0)</f>
        <v>0</v>
      </c>
      <c r="BJ58" s="549">
        <f>IF(AND($BF58&gt;0,$BF58&lt;='Input 6_Product Efficacy'!$Q$12/30),SUM($AS56:$BD56),0)</f>
        <v>2848.8073851946456</v>
      </c>
      <c r="BK58" s="554">
        <f>IF(AND($BF58&gt;0,$BF58&gt;'Input 6_Product Efficacy'!$Q$12/30),SUM($AS56:$BD56),0)</f>
        <v>0</v>
      </c>
      <c r="BL58" s="275"/>
      <c r="BM58" s="275"/>
      <c r="BN58" s="32"/>
      <c r="BO58" s="35">
        <f t="shared" si="20"/>
        <v>4209.0106858426861</v>
      </c>
      <c r="BP58" s="35">
        <f t="shared" si="18"/>
        <v>12200.803127316138</v>
      </c>
      <c r="BQ58" s="35">
        <f t="shared" si="18"/>
        <v>17368.828906135637</v>
      </c>
      <c r="BR58" s="35">
        <f t="shared" si="18"/>
        <v>11614.738348274752</v>
      </c>
      <c r="BS58" s="35">
        <f t="shared" si="18"/>
        <v>6233.5981043492948</v>
      </c>
      <c r="BT58" s="35">
        <f t="shared" si="18"/>
        <v>1651.6371045711805</v>
      </c>
      <c r="BU58" s="35">
        <f t="shared" si="18"/>
        <v>0</v>
      </c>
      <c r="BV58" s="35">
        <f t="shared" si="18"/>
        <v>0</v>
      </c>
      <c r="BW58" s="35">
        <f t="shared" si="18"/>
        <v>0</v>
      </c>
      <c r="BX58" s="35">
        <f t="shared" si="18"/>
        <v>0</v>
      </c>
      <c r="BY58" s="35">
        <f t="shared" si="18"/>
        <v>0</v>
      </c>
      <c r="BZ58" s="35">
        <f t="shared" si="18"/>
        <v>0</v>
      </c>
      <c r="CA58" s="35"/>
      <c r="CB58" s="557">
        <f>IF($B56=0,1,IF(AND(CB57&gt;0,$B56&lt;='Input 4_RSV Season'!$AG$27-1),CB57+1,0))</f>
        <v>1</v>
      </c>
      <c r="CC58" s="549">
        <f>IF(AND($CB58&gt;0,$CB58&lt;='Input 6_Product Efficacy'!$Q$12/30),SUM($BO56:$BZ56),0)</f>
        <v>19372.268752308406</v>
      </c>
      <c r="CD58" s="554">
        <f>IF(AND($CB58&gt;0,$CB58&gt;'Input 6_Product Efficacy'!$Q$12/30),SUM($BO56:$BZ56),0)</f>
        <v>0</v>
      </c>
      <c r="CF58" s="688">
        <f>IF(AND($CB58&gt;0,$CB58&gt;'Input 6_Product Efficacy'!$Q$15/30),SUM($BO56:$BZ56),0)</f>
        <v>0</v>
      </c>
      <c r="CG58" s="689"/>
    </row>
    <row r="59" spans="2:85" x14ac:dyDescent="0.3">
      <c r="B59" s="26">
        <v>3</v>
      </c>
      <c r="C59" s="293">
        <f>'Input 2_RSV Rates'!H13*'Input 3_Clinical Severity'!$H$9</f>
        <v>176.34500000000003</v>
      </c>
      <c r="D59" s="13"/>
      <c r="E59" s="77">
        <f t="shared" si="16"/>
        <v>9.3027287994684651E-3</v>
      </c>
      <c r="F59" s="77">
        <f t="shared" si="16"/>
        <v>2.6966137912383267E-2</v>
      </c>
      <c r="G59" s="77">
        <f t="shared" si="16"/>
        <v>3.8388475805401515E-2</v>
      </c>
      <c r="H59" s="77">
        <f t="shared" si="16"/>
        <v>2.5670821244102852E-2</v>
      </c>
      <c r="I59" s="77">
        <f t="shared" si="16"/>
        <v>1.3777459108073549E-2</v>
      </c>
      <c r="J59" s="77">
        <f t="shared" si="16"/>
        <v>3.6504378833357265E-3</v>
      </c>
      <c r="K59" s="77">
        <f t="shared" si="16"/>
        <v>0</v>
      </c>
      <c r="L59" s="77">
        <f t="shared" si="16"/>
        <v>0</v>
      </c>
      <c r="M59" s="77">
        <f t="shared" si="16"/>
        <v>0</v>
      </c>
      <c r="N59" s="77">
        <f t="shared" si="16"/>
        <v>0</v>
      </c>
      <c r="O59" s="77">
        <f t="shared" si="16"/>
        <v>0</v>
      </c>
      <c r="P59" s="77">
        <f t="shared" si="16"/>
        <v>0</v>
      </c>
      <c r="Q59" s="13"/>
      <c r="R59" s="13"/>
      <c r="S59" s="852">
        <f>IF('Input 5_Product Uptake'!$M$9=0,E59*Ratios!$N$42,E59*Ratios!$N$42*Ratios!$Z$36)</f>
        <v>614.88050397443385</v>
      </c>
      <c r="T59" s="852">
        <f>IF('Input 5_Product Uptake'!$M$9=0,F59*Ratios!$N$42,F59*Ratios!$N$42*Ratios!$Z$36)</f>
        <v>1782.3751317739916</v>
      </c>
      <c r="U59" s="852">
        <f>IF('Input 5_Product Uptake'!$M$9=0,G59*Ratios!$N$42,G59*Ratios!$N$42*Ratios!$Z$36)</f>
        <v>2537.3549910843731</v>
      </c>
      <c r="V59" s="852">
        <f>IF('Input 5_Product Uptake'!$M$9=0,H59*Ratios!$N$42,H59*Ratios!$N$42*Ratios!$Z$36)</f>
        <v>1696.758859068691</v>
      </c>
      <c r="W59" s="852">
        <f>IF('Input 5_Product Uptake'!$M$9=0,I59*Ratios!$N$42,I59*Ratios!$N$42*Ratios!$Z$36)</f>
        <v>910.64580968365522</v>
      </c>
      <c r="X59" s="852">
        <f>IF('Input 5_Product Uptake'!$M$9=0,J59*Ratios!$N$42,J59*Ratios!$N$42*Ratios!$Z$36)</f>
        <v>241.28222307857533</v>
      </c>
      <c r="Y59" s="852">
        <f>IF('Input 5_Product Uptake'!$M$9=0,K59*Ratios!$N$42,K59*Ratios!$N$42*Ratios!$Z$36)</f>
        <v>0</v>
      </c>
      <c r="Z59" s="852">
        <f>IF('Input 5_Product Uptake'!$M$9=0,L59*Ratios!$N$42,L59*Ratios!$N$42*Ratios!$Z$36)</f>
        <v>0</v>
      </c>
      <c r="AA59" s="852">
        <f>IF('Input 5_Product Uptake'!$M$9=0,M59*Ratios!$N$42,M59*Ratios!$N$42*Ratios!$Z$36)</f>
        <v>0</v>
      </c>
      <c r="AB59" s="852">
        <f>IF('Input 5_Product Uptake'!$M$9=0,N59*Ratios!$N$42,N59*Ratios!$N$42*Ratios!$Z$36)</f>
        <v>0</v>
      </c>
      <c r="AC59" s="852">
        <f>IF('Input 5_Product Uptake'!$M$9=0,O59*Ratios!$N$42,O59*Ratios!$N$42*Ratios!$Z$36)</f>
        <v>0</v>
      </c>
      <c r="AD59" s="852">
        <f>IF('Input 5_Product Uptake'!$M$9=0,P59*Ratios!$N$42,P59*Ratios!$N$42*Ratios!$Z$36)</f>
        <v>0</v>
      </c>
      <c r="AE59" s="297"/>
      <c r="AF59" s="860">
        <f>Ratios!$P$42*E59</f>
        <v>4181.2691287774469</v>
      </c>
      <c r="AG59" s="860">
        <f>Ratios!$P$42*F59</f>
        <v>12120.387727721965</v>
      </c>
      <c r="AH59" s="860">
        <f>Ratios!$P$42*G59</f>
        <v>17254.351088372758</v>
      </c>
      <c r="AI59" s="860">
        <f>Ratios!$P$42*H59</f>
        <v>11538.185697132702</v>
      </c>
      <c r="AJ59" s="860">
        <f>Ratios!$P$42*I59</f>
        <v>6192.5125071767252</v>
      </c>
      <c r="AK59" s="860">
        <f>Ratios!$P$42*J59</f>
        <v>1640.7511771152006</v>
      </c>
      <c r="AL59" s="860">
        <f>Ratios!$P$42*K59</f>
        <v>0</v>
      </c>
      <c r="AM59" s="860">
        <f>Ratios!$P$42*L59</f>
        <v>0</v>
      </c>
      <c r="AN59" s="860">
        <f>Ratios!$P$42*M59</f>
        <v>0</v>
      </c>
      <c r="AO59" s="860">
        <f>Ratios!$P$42*N59</f>
        <v>0</v>
      </c>
      <c r="AP59" s="860">
        <f>Ratios!$P$42*O59</f>
        <v>0</v>
      </c>
      <c r="AQ59" s="860">
        <f>Ratios!$P$42*P59</f>
        <v>0</v>
      </c>
      <c r="AR59" s="13"/>
      <c r="AS59" s="275">
        <f t="shared" si="19"/>
        <v>614.88050397443385</v>
      </c>
      <c r="AT59" s="275">
        <f t="shared" si="17"/>
        <v>1782.3751317739916</v>
      </c>
      <c r="AU59" s="275">
        <f t="shared" si="17"/>
        <v>2537.3549910843731</v>
      </c>
      <c r="AV59" s="275">
        <f t="shared" si="17"/>
        <v>1696.758859068691</v>
      </c>
      <c r="AW59" s="275">
        <f t="shared" si="17"/>
        <v>910.64580968365522</v>
      </c>
      <c r="AX59" s="275">
        <f t="shared" si="17"/>
        <v>241.28222307857533</v>
      </c>
      <c r="AY59" s="275">
        <f t="shared" si="17"/>
        <v>0</v>
      </c>
      <c r="AZ59" s="275">
        <f t="shared" si="17"/>
        <v>0</v>
      </c>
      <c r="BA59" s="275">
        <f t="shared" si="17"/>
        <v>0</v>
      </c>
      <c r="BB59" s="275">
        <f t="shared" si="17"/>
        <v>0</v>
      </c>
      <c r="BC59" s="275">
        <f t="shared" si="17"/>
        <v>0</v>
      </c>
      <c r="BD59" s="275">
        <f t="shared" si="17"/>
        <v>0</v>
      </c>
      <c r="BE59" s="275"/>
      <c r="BF59" s="557">
        <f>IF($B57=0,1,IF(AND(BF58&gt;0,$B57&lt;='Input 4_RSV Season'!$AG$27-1),BF58+1,0))</f>
        <v>2</v>
      </c>
      <c r="BG59" s="549">
        <f>IF(AND($BF59&gt;0,$BF59&lt;='Input 6_Product Efficacy'!$Q$9/30),SUM($AS57:$BD57),0)</f>
        <v>6285.7371409481029</v>
      </c>
      <c r="BH59" s="554">
        <f>IF(AND($BF59&gt;0,$BF59&gt;'Input 6_Product Efficacy'!$Q$9/30),SUM($AS57:$BD57),0)</f>
        <v>0</v>
      </c>
      <c r="BJ59" s="549">
        <f>IF(AND($BF59&gt;0,$BF59&lt;='Input 6_Product Efficacy'!$Q$12/30),SUM($AS57:$BD57),0)</f>
        <v>6285.7371409481029</v>
      </c>
      <c r="BK59" s="554">
        <f>IF(AND($BF59&gt;0,$BF59&gt;'Input 6_Product Efficacy'!$Q$12/30),SUM($AS57:$BD57),0)</f>
        <v>0</v>
      </c>
      <c r="BL59" s="275"/>
      <c r="BM59" s="275"/>
      <c r="BN59" s="32"/>
      <c r="BO59" s="35">
        <f t="shared" si="20"/>
        <v>4181.2691287774469</v>
      </c>
      <c r="BP59" s="35">
        <f t="shared" si="18"/>
        <v>12120.387727721965</v>
      </c>
      <c r="BQ59" s="35">
        <f t="shared" si="18"/>
        <v>17254.351088372758</v>
      </c>
      <c r="BR59" s="35">
        <f t="shared" si="18"/>
        <v>11538.185697132702</v>
      </c>
      <c r="BS59" s="35">
        <f t="shared" si="18"/>
        <v>6192.5125071767252</v>
      </c>
      <c r="BT59" s="35">
        <f t="shared" si="18"/>
        <v>1640.7511771152006</v>
      </c>
      <c r="BU59" s="35">
        <f t="shared" si="18"/>
        <v>0</v>
      </c>
      <c r="BV59" s="35">
        <f t="shared" si="18"/>
        <v>0</v>
      </c>
      <c r="BW59" s="35">
        <f t="shared" si="18"/>
        <v>0</v>
      </c>
      <c r="BX59" s="35">
        <f t="shared" si="18"/>
        <v>0</v>
      </c>
      <c r="BY59" s="35">
        <f t="shared" si="18"/>
        <v>0</v>
      </c>
      <c r="BZ59" s="35">
        <f t="shared" si="18"/>
        <v>0</v>
      </c>
      <c r="CA59" s="35"/>
      <c r="CB59" s="557">
        <f>IF($B57=0,1,IF(AND(CB58&gt;0,$B57&lt;='Input 4_RSV Season'!$AG$27-1),CB58+1,0))</f>
        <v>2</v>
      </c>
      <c r="CC59" s="549">
        <f>IF(AND($CB59&gt;0,$CB59&lt;='Input 6_Product Efficacy'!$Q$12/30),SUM($BO57:$BZ57),0)</f>
        <v>42743.847770702625</v>
      </c>
      <c r="CD59" s="554">
        <f>IF(AND($CB59&gt;0,$CB59&gt;'Input 6_Product Efficacy'!$Q$12/30),SUM($BO57:$BZ57),0)</f>
        <v>0</v>
      </c>
      <c r="CF59" s="690">
        <f>IF(AND($CB59&gt;0,$CB59&gt;'Input 6_Product Efficacy'!$Q$15/30),SUM($BO57:$BZ57),0)</f>
        <v>0</v>
      </c>
      <c r="CG59" s="689"/>
    </row>
    <row r="60" spans="2:85" x14ac:dyDescent="0.3">
      <c r="B60" s="26">
        <v>4</v>
      </c>
      <c r="C60" s="293">
        <f>'Input 2_RSV Rates'!H14*'Input 3_Clinical Severity'!$H$9</f>
        <v>200.91500000000002</v>
      </c>
      <c r="D60" s="13"/>
      <c r="E60" s="77">
        <f t="shared" si="16"/>
        <v>1.05988701508135E-2</v>
      </c>
      <c r="F60" s="77">
        <f t="shared" si="16"/>
        <v>3.0723307146029003E-2</v>
      </c>
      <c r="G60" s="77">
        <f t="shared" si="16"/>
        <v>4.3737109736268369E-2</v>
      </c>
      <c r="H60" s="77">
        <f t="shared" si="16"/>
        <v>2.9247515099713201E-2</v>
      </c>
      <c r="I60" s="77">
        <f t="shared" si="16"/>
        <v>1.5697060856268097E-2</v>
      </c>
      <c r="J60" s="77">
        <f t="shared" si="16"/>
        <v>4.1590503123445375E-3</v>
      </c>
      <c r="K60" s="77">
        <f t="shared" si="16"/>
        <v>0</v>
      </c>
      <c r="L60" s="77">
        <f t="shared" si="16"/>
        <v>0</v>
      </c>
      <c r="M60" s="77">
        <f t="shared" si="16"/>
        <v>0</v>
      </c>
      <c r="N60" s="77">
        <f t="shared" si="16"/>
        <v>0</v>
      </c>
      <c r="O60" s="77">
        <f t="shared" si="16"/>
        <v>0</v>
      </c>
      <c r="P60" s="77">
        <f t="shared" si="16"/>
        <v>0</v>
      </c>
      <c r="Q60" s="13"/>
      <c r="R60" s="13"/>
      <c r="S60" s="852">
        <f>IF('Input 5_Product Uptake'!$M$9=0,E60*Ratios!$N$42,E60*Ratios!$N$42*Ratios!$Z$36)</f>
        <v>700.55128558237197</v>
      </c>
      <c r="T60" s="852">
        <f>IF('Input 5_Product Uptake'!$M$9=0,F60*Ratios!$N$42,F60*Ratios!$N$42*Ratios!$Z$36)</f>
        <v>2030.7119544096604</v>
      </c>
      <c r="U60" s="852">
        <f>IF('Input 5_Product Uptake'!$M$9=0,G60*Ratios!$N$42,G60*Ratios!$N$42*Ratios!$Z$36)</f>
        <v>2890.8825202513071</v>
      </c>
      <c r="V60" s="852">
        <f>IF('Input 5_Product Uptake'!$M$9=0,H60*Ratios!$N$42,H60*Ratios!$N$42*Ratios!$Z$36)</f>
        <v>1933.1668386956594</v>
      </c>
      <c r="W60" s="852">
        <f>IF('Input 5_Product Uptake'!$M$9=0,I60*Ratios!$N$42,I60*Ratios!$N$42*Ratios!$Z$36)</f>
        <v>1037.5253216852852</v>
      </c>
      <c r="X60" s="852">
        <f>IF('Input 5_Product Uptake'!$M$9=0,J60*Ratios!$N$42,J60*Ratios!$N$42*Ratios!$Z$36)</f>
        <v>274.89987155763964</v>
      </c>
      <c r="Y60" s="852">
        <f>IF('Input 5_Product Uptake'!$M$9=0,K60*Ratios!$N$42,K60*Ratios!$N$42*Ratios!$Z$36)</f>
        <v>0</v>
      </c>
      <c r="Z60" s="852">
        <f>IF('Input 5_Product Uptake'!$M$9=0,L60*Ratios!$N$42,L60*Ratios!$N$42*Ratios!$Z$36)</f>
        <v>0</v>
      </c>
      <c r="AA60" s="852">
        <f>IF('Input 5_Product Uptake'!$M$9=0,M60*Ratios!$N$42,M60*Ratios!$N$42*Ratios!$Z$36)</f>
        <v>0</v>
      </c>
      <c r="AB60" s="852">
        <f>IF('Input 5_Product Uptake'!$M$9=0,N60*Ratios!$N$42,N60*Ratios!$N$42*Ratios!$Z$36)</f>
        <v>0</v>
      </c>
      <c r="AC60" s="852">
        <f>IF('Input 5_Product Uptake'!$M$9=0,O60*Ratios!$N$42,O60*Ratios!$N$42*Ratios!$Z$36)</f>
        <v>0</v>
      </c>
      <c r="AD60" s="852">
        <f>IF('Input 5_Product Uptake'!$M$9=0,P60*Ratios!$N$42,P60*Ratios!$N$42*Ratios!$Z$36)</f>
        <v>0</v>
      </c>
      <c r="AE60" s="297"/>
      <c r="AF60" s="860">
        <f>Ratios!$P$42*E60</f>
        <v>4763.8418271474711</v>
      </c>
      <c r="AG60" s="860">
        <f>Ratios!$P$42*F60</f>
        <v>13809.11111919963</v>
      </c>
      <c r="AH60" s="860">
        <f>Ratios!$P$42*G60</f>
        <v>19658.385261393363</v>
      </c>
      <c r="AI60" s="860">
        <f>Ratios!$P$42*H60</f>
        <v>13145.791371115805</v>
      </c>
      <c r="AJ60" s="860">
        <f>Ratios!$P$42*I60</f>
        <v>7055.3100478006854</v>
      </c>
      <c r="AK60" s="860">
        <f>Ratios!$P$42*J60</f>
        <v>1869.3556536907795</v>
      </c>
      <c r="AL60" s="860">
        <f>Ratios!$P$42*K60</f>
        <v>0</v>
      </c>
      <c r="AM60" s="860">
        <f>Ratios!$P$42*L60</f>
        <v>0</v>
      </c>
      <c r="AN60" s="860">
        <f>Ratios!$P$42*M60</f>
        <v>0</v>
      </c>
      <c r="AO60" s="860">
        <f>Ratios!$P$42*N60</f>
        <v>0</v>
      </c>
      <c r="AP60" s="860">
        <f>Ratios!$P$42*O60</f>
        <v>0</v>
      </c>
      <c r="AQ60" s="860">
        <f>Ratios!$P$42*P60</f>
        <v>0</v>
      </c>
      <c r="AR60" s="13"/>
      <c r="AS60" s="275">
        <f t="shared" si="19"/>
        <v>700.55128558237197</v>
      </c>
      <c r="AT60" s="275">
        <f t="shared" si="17"/>
        <v>2030.7119544096604</v>
      </c>
      <c r="AU60" s="275">
        <f t="shared" si="17"/>
        <v>2890.8825202513071</v>
      </c>
      <c r="AV60" s="275">
        <f t="shared" si="17"/>
        <v>1933.1668386956594</v>
      </c>
      <c r="AW60" s="275">
        <f t="shared" si="17"/>
        <v>1037.5253216852852</v>
      </c>
      <c r="AX60" s="275">
        <f t="shared" si="17"/>
        <v>274.89987155763964</v>
      </c>
      <c r="AY60" s="275">
        <f t="shared" si="17"/>
        <v>0</v>
      </c>
      <c r="AZ60" s="275">
        <f t="shared" si="17"/>
        <v>0</v>
      </c>
      <c r="BA60" s="275">
        <f t="shared" si="17"/>
        <v>0</v>
      </c>
      <c r="BB60" s="275">
        <f t="shared" si="17"/>
        <v>0</v>
      </c>
      <c r="BC60" s="275">
        <f t="shared" si="17"/>
        <v>0</v>
      </c>
      <c r="BD60" s="275">
        <f t="shared" si="17"/>
        <v>0</v>
      </c>
      <c r="BE60" s="275"/>
      <c r="BF60" s="557">
        <f>IF($B58=0,1,IF(AND(BF59&gt;0,$B58&lt;='Input 4_RSV Season'!$AG$27-1),BF59+1,0))</f>
        <v>3</v>
      </c>
      <c r="BG60" s="549">
        <f>IF(AND($BF60&gt;0,$BF60&lt;='Input 6_Product Efficacy'!$Q$9/30),SUM($AS58:$BD58),0)</f>
        <v>7834.9375316883934</v>
      </c>
      <c r="BH60" s="554">
        <f>IF(AND($BF60&gt;0,$BF60&gt;'Input 6_Product Efficacy'!$Q$9/30),SUM($AS58:$BD58),0)</f>
        <v>0</v>
      </c>
      <c r="BJ60" s="549">
        <f>IF(AND($BF60&gt;0,$BF60&lt;='Input 6_Product Efficacy'!$Q$12/30),SUM($AS58:$BD58),0)</f>
        <v>7834.9375316883934</v>
      </c>
      <c r="BK60" s="554">
        <f>IF(AND($BF60&gt;0,$BF60&gt;'Input 6_Product Efficacy'!$Q$12/30),SUM($AS58:$BD58),0)</f>
        <v>0</v>
      </c>
      <c r="BL60" s="275"/>
      <c r="BM60" s="275"/>
      <c r="BN60" s="32"/>
      <c r="BO60" s="35">
        <f t="shared" si="20"/>
        <v>4763.8418271474711</v>
      </c>
      <c r="BP60" s="35">
        <f t="shared" si="18"/>
        <v>13809.11111919963</v>
      </c>
      <c r="BQ60" s="35">
        <f t="shared" si="18"/>
        <v>19658.385261393363</v>
      </c>
      <c r="BR60" s="35">
        <f t="shared" si="18"/>
        <v>13145.791371115805</v>
      </c>
      <c r="BS60" s="35">
        <f t="shared" si="18"/>
        <v>7055.3100478006854</v>
      </c>
      <c r="BT60" s="35">
        <f t="shared" si="18"/>
        <v>1869.3556536907795</v>
      </c>
      <c r="BU60" s="35">
        <f t="shared" si="18"/>
        <v>0</v>
      </c>
      <c r="BV60" s="35">
        <f t="shared" si="18"/>
        <v>0</v>
      </c>
      <c r="BW60" s="35">
        <f t="shared" si="18"/>
        <v>0</v>
      </c>
      <c r="BX60" s="35">
        <f t="shared" si="18"/>
        <v>0</v>
      </c>
      <c r="BY60" s="35">
        <f t="shared" si="18"/>
        <v>0</v>
      </c>
      <c r="BZ60" s="35">
        <f t="shared" si="18"/>
        <v>0</v>
      </c>
      <c r="CA60" s="35"/>
      <c r="CB60" s="557">
        <f>IF($B58=0,1,IF(AND(CB59&gt;0,$B58&lt;='Input 4_RSV Season'!$AG$27-1),CB59+1,0))</f>
        <v>3</v>
      </c>
      <c r="CC60" s="549">
        <f>IF(AND($CB60&gt;0,$CB60&lt;='Input 6_Product Efficacy'!$Q$12/30),SUM($BO58:$BZ58),0)</f>
        <v>53278.616276489687</v>
      </c>
      <c r="CD60" s="554">
        <f>IF(AND($CB60&gt;0,$CB60&gt;'Input 6_Product Efficacy'!$Q$12/30),SUM($BO58:$BZ58),0)</f>
        <v>0</v>
      </c>
      <c r="CF60" s="690">
        <f>IF(AND($CB60&gt;0,$CB60&gt;'Input 6_Product Efficacy'!$Q$15/30),SUM($BO58:$BZ58),0)</f>
        <v>0</v>
      </c>
      <c r="CG60" s="689"/>
    </row>
    <row r="61" spans="2:85" ht="15" thickBot="1" x14ac:dyDescent="0.35">
      <c r="B61" s="804">
        <v>5</v>
      </c>
      <c r="C61" s="806">
        <f>'Input 2_RSV Rates'!H15*'Input 3_Clinical Severity'!$H$9</f>
        <v>219.18</v>
      </c>
      <c r="E61" s="77">
        <f t="shared" si="16"/>
        <v>1.1562403800887452E-2</v>
      </c>
      <c r="F61" s="77">
        <f t="shared" si="16"/>
        <v>3.351633506839527E-2</v>
      </c>
      <c r="G61" s="77">
        <f t="shared" si="16"/>
        <v>4.7713210621383666E-2</v>
      </c>
      <c r="H61" s="77">
        <f t="shared" si="16"/>
        <v>3.1906380108778033E-2</v>
      </c>
      <c r="I61" s="77">
        <f t="shared" si="16"/>
        <v>1.7124066388656101E-2</v>
      </c>
      <c r="J61" s="77">
        <f t="shared" si="16"/>
        <v>4.5371457952849501E-3</v>
      </c>
      <c r="K61" s="77">
        <f t="shared" si="16"/>
        <v>0</v>
      </c>
      <c r="L61" s="77">
        <f t="shared" si="16"/>
        <v>0</v>
      </c>
      <c r="M61" s="77">
        <f t="shared" si="16"/>
        <v>0</v>
      </c>
      <c r="N61" s="77">
        <f t="shared" si="16"/>
        <v>0</v>
      </c>
      <c r="O61" s="77">
        <f t="shared" si="16"/>
        <v>0</v>
      </c>
      <c r="P61" s="77">
        <f t="shared" si="16"/>
        <v>0</v>
      </c>
      <c r="Q61" s="13"/>
      <c r="R61" s="13"/>
      <c r="S61" s="852">
        <f>IF('Input 5_Product Uptake'!$M$9=0,E61*Ratios!$N$42,E61*Ratios!$N$42*Ratios!$Z$36)</f>
        <v>764.2377660898602</v>
      </c>
      <c r="T61" s="852">
        <f>IF('Input 5_Product Uptake'!$M$9=0,F61*Ratios!$N$42,F61*Ratios!$N$42*Ratios!$Z$36)</f>
        <v>2215.3221320832654</v>
      </c>
      <c r="U61" s="852">
        <f>IF('Input 5_Product Uptake'!$M$9=0,G61*Ratios!$N$42,G61*Ratios!$N$42*Ratios!$Z$36)</f>
        <v>3153.6900220923344</v>
      </c>
      <c r="V61" s="852">
        <f>IF('Input 5_Product Uptake'!$M$9=0,H61*Ratios!$N$42,H61*Ratios!$N$42*Ratios!$Z$36)</f>
        <v>2108.9092785770822</v>
      </c>
      <c r="W61" s="852">
        <f>IF('Input 5_Product Uptake'!$M$9=0,I61*Ratios!$N$42,I61*Ratios!$N$42*Ratios!$Z$36)</f>
        <v>1131.8458054748562</v>
      </c>
      <c r="X61" s="852">
        <f>IF('Input 5_Product Uptake'!$M$9=0,J61*Ratios!$N$42,J61*Ratios!$N$42*Ratios!$Z$36)</f>
        <v>299.89076897197049</v>
      </c>
      <c r="Y61" s="852">
        <f>IF('Input 5_Product Uptake'!$M$9=0,K61*Ratios!$N$42,K61*Ratios!$N$42*Ratios!$Z$36)</f>
        <v>0</v>
      </c>
      <c r="Z61" s="852">
        <f>IF('Input 5_Product Uptake'!$M$9=0,L61*Ratios!$N$42,L61*Ratios!$N$42*Ratios!$Z$36)</f>
        <v>0</v>
      </c>
      <c r="AA61" s="852">
        <f>IF('Input 5_Product Uptake'!$M$9=0,M61*Ratios!$N$42,M61*Ratios!$N$42*Ratios!$Z$36)</f>
        <v>0</v>
      </c>
      <c r="AB61" s="852">
        <f>IF('Input 5_Product Uptake'!$M$9=0,N61*Ratios!$N$42,N61*Ratios!$N$42*Ratios!$Z$36)</f>
        <v>0</v>
      </c>
      <c r="AC61" s="852">
        <f>IF('Input 5_Product Uptake'!$M$9=0,O61*Ratios!$N$42,O61*Ratios!$N$42*Ratios!$Z$36)</f>
        <v>0</v>
      </c>
      <c r="AD61" s="852">
        <f>IF('Input 5_Product Uptake'!$M$9=0,P61*Ratios!$N$42,P61*Ratios!$N$42*Ratios!$Z$36)</f>
        <v>0</v>
      </c>
      <c r="AE61" s="297"/>
      <c r="AF61" s="860">
        <f>Ratios!$P$42*E61</f>
        <v>5196.918356888149</v>
      </c>
      <c r="AG61" s="860">
        <f>Ratios!$P$42*F61</f>
        <v>15064.484857308684</v>
      </c>
      <c r="AH61" s="860">
        <f>Ratios!$P$42*G61</f>
        <v>21445.511194247301</v>
      </c>
      <c r="AI61" s="860">
        <f>Ratios!$P$42*H61</f>
        <v>14340.863313944514</v>
      </c>
      <c r="AJ61" s="860">
        <f>Ratios!$P$42*I61</f>
        <v>7696.7018703280182</v>
      </c>
      <c r="AK61" s="860">
        <f>Ratios!$P$42*J61</f>
        <v>2039.2970767535778</v>
      </c>
      <c r="AL61" s="860">
        <f>Ratios!$P$42*K61</f>
        <v>0</v>
      </c>
      <c r="AM61" s="860">
        <f>Ratios!$P$42*L61</f>
        <v>0</v>
      </c>
      <c r="AN61" s="860">
        <f>Ratios!$P$42*M61</f>
        <v>0</v>
      </c>
      <c r="AO61" s="860">
        <f>Ratios!$P$42*N61</f>
        <v>0</v>
      </c>
      <c r="AP61" s="860">
        <f>Ratios!$P$42*O61</f>
        <v>0</v>
      </c>
      <c r="AQ61" s="860">
        <f>Ratios!$P$42*P61</f>
        <v>0</v>
      </c>
      <c r="AS61" s="275">
        <f t="shared" si="19"/>
        <v>764.2377660898602</v>
      </c>
      <c r="AT61" s="275">
        <f t="shared" si="17"/>
        <v>2215.3221320832654</v>
      </c>
      <c r="AU61" s="275">
        <f t="shared" si="17"/>
        <v>3153.6900220923344</v>
      </c>
      <c r="AV61" s="275">
        <f t="shared" si="17"/>
        <v>2108.9092785770822</v>
      </c>
      <c r="AW61" s="275">
        <f t="shared" si="17"/>
        <v>1131.8458054748562</v>
      </c>
      <c r="AX61" s="275">
        <f t="shared" si="17"/>
        <v>299.89076897197049</v>
      </c>
      <c r="AY61" s="275">
        <f t="shared" si="17"/>
        <v>0</v>
      </c>
      <c r="AZ61" s="275">
        <f t="shared" si="17"/>
        <v>0</v>
      </c>
      <c r="BA61" s="275">
        <f t="shared" si="17"/>
        <v>0</v>
      </c>
      <c r="BB61" s="275">
        <f t="shared" si="17"/>
        <v>0</v>
      </c>
      <c r="BC61" s="275">
        <f t="shared" si="17"/>
        <v>0</v>
      </c>
      <c r="BD61" s="275">
        <f t="shared" si="17"/>
        <v>0</v>
      </c>
      <c r="BE61" s="276"/>
      <c r="BF61" s="557">
        <f>IF($B59=0,1,IF(AND(BF60&gt;0,$B59&lt;='Input 4_RSV Season'!$AG$27-1),BF60+1,0))</f>
        <v>4</v>
      </c>
      <c r="BG61" s="549">
        <f>IF(AND($BF61&gt;0,$BF61&lt;='Input 6_Product Efficacy'!$Q$9/30),SUM($AS59:$BD59),0)</f>
        <v>7783.2975186637195</v>
      </c>
      <c r="BH61" s="554">
        <f>IF(AND($BF61&gt;0,$BF61&gt;'Input 6_Product Efficacy'!$Q$9/30),SUM($AS59:$BD59),0)</f>
        <v>0</v>
      </c>
      <c r="BJ61" s="549">
        <f>IF(AND($BF61&gt;0,$BF61&lt;='Input 6_Product Efficacy'!$Q$12/30),SUM($AS59:$BD59),0)</f>
        <v>7783.2975186637195</v>
      </c>
      <c r="BK61" s="554">
        <f>IF(AND($BF61&gt;0,$BF61&gt;'Input 6_Product Efficacy'!$Q$12/30),SUM($AS59:$BD59),0)</f>
        <v>0</v>
      </c>
      <c r="BL61" s="276"/>
      <c r="BM61" s="276"/>
      <c r="BN61" s="93"/>
      <c r="BO61" s="35">
        <f t="shared" si="20"/>
        <v>5196.918356888149</v>
      </c>
      <c r="BP61" s="35">
        <f t="shared" si="18"/>
        <v>15064.484857308684</v>
      </c>
      <c r="BQ61" s="35">
        <f t="shared" si="18"/>
        <v>21445.511194247301</v>
      </c>
      <c r="BR61" s="35">
        <f t="shared" si="18"/>
        <v>14340.863313944514</v>
      </c>
      <c r="BS61" s="35">
        <f t="shared" si="18"/>
        <v>7696.7018703280182</v>
      </c>
      <c r="BT61" s="35">
        <f t="shared" si="18"/>
        <v>2039.2970767535778</v>
      </c>
      <c r="BU61" s="35">
        <f t="shared" si="18"/>
        <v>0</v>
      </c>
      <c r="BV61" s="35">
        <f t="shared" si="18"/>
        <v>0</v>
      </c>
      <c r="BW61" s="35">
        <f t="shared" si="18"/>
        <v>0</v>
      </c>
      <c r="BX61" s="35">
        <f t="shared" si="18"/>
        <v>0</v>
      </c>
      <c r="BY61" s="35">
        <f t="shared" si="18"/>
        <v>0</v>
      </c>
      <c r="BZ61" s="35">
        <f t="shared" si="18"/>
        <v>0</v>
      </c>
      <c r="CA61" s="244"/>
      <c r="CB61" s="557">
        <f>IF($B59=0,1,IF(AND(CB60&gt;0,$B59&lt;='Input 4_RSV Season'!$AG$27-1),CB60+1,0))</f>
        <v>4</v>
      </c>
      <c r="CC61" s="549">
        <f>IF(AND($CB61&gt;0,$CB61&lt;='Input 6_Product Efficacy'!$Q$12/30),SUM($BO59:$BZ59),0)</f>
        <v>52927.45732629679</v>
      </c>
      <c r="CD61" s="554">
        <f>IF(AND($CB61&gt;0,$CB61&gt;'Input 6_Product Efficacy'!$Q$12/30),SUM($BO59:$BZ59),0)</f>
        <v>0</v>
      </c>
      <c r="CF61" s="690">
        <f>IF(AND($CB61&gt;0,$CB61&gt;'Input 6_Product Efficacy'!$Q$15/30),SUM($BO59:$BZ59),0)</f>
        <v>52927.45732629679</v>
      </c>
      <c r="CG61" s="689"/>
    </row>
    <row r="62" spans="2:85" ht="15" thickTop="1" x14ac:dyDescent="0.3">
      <c r="B62" s="26">
        <v>6</v>
      </c>
      <c r="C62" s="293">
        <f>'Input 2_RSV Rates'!H16*'Input 3_Clinical Severity'!$H$11</f>
        <v>92.61</v>
      </c>
      <c r="E62" s="77">
        <f t="shared" si="16"/>
        <v>4.885455862762054E-3</v>
      </c>
      <c r="F62" s="77">
        <f t="shared" si="16"/>
        <v>1.4161637880664686E-2</v>
      </c>
      <c r="G62" s="77">
        <f t="shared" si="16"/>
        <v>2.0160235585575056E-2</v>
      </c>
      <c r="H62" s="77">
        <f t="shared" si="16"/>
        <v>1.3481384532685161E-2</v>
      </c>
      <c r="I62" s="77">
        <f t="shared" si="16"/>
        <v>7.2354219739640541E-3</v>
      </c>
      <c r="J62" s="77">
        <f t="shared" si="16"/>
        <v>1.9170776170332109E-3</v>
      </c>
      <c r="K62" s="77">
        <f t="shared" si="16"/>
        <v>0</v>
      </c>
      <c r="L62" s="77">
        <f t="shared" si="16"/>
        <v>0</v>
      </c>
      <c r="M62" s="77">
        <f t="shared" si="16"/>
        <v>0</v>
      </c>
      <c r="N62" s="77">
        <f t="shared" si="16"/>
        <v>0</v>
      </c>
      <c r="O62" s="77">
        <f t="shared" si="16"/>
        <v>0</v>
      </c>
      <c r="P62" s="77">
        <f t="shared" si="16"/>
        <v>0</v>
      </c>
      <c r="Q62" s="13"/>
      <c r="R62" s="13"/>
      <c r="S62" s="852">
        <f>IF('Input 5_Product Uptake'!$M$9=0,E62*Ratios!$N$42,E62*Ratios!$N$42*Ratios!$Z$36)</f>
        <v>322.91294606068965</v>
      </c>
      <c r="T62" s="852">
        <f>IF('Input 5_Product Uptake'!$M$9=0,F62*Ratios!$N$42,F62*Ratios!$N$42*Ratios!$Z$36)</f>
        <v>936.03879301136601</v>
      </c>
      <c r="U62" s="852">
        <f>IF('Input 5_Product Uptake'!$M$9=0,G62*Ratios!$N$42,G62*Ratios!$N$42*Ratios!$Z$36)</f>
        <v>1332.5268407061367</v>
      </c>
      <c r="V62" s="852">
        <f>IF('Input 5_Product Uptake'!$M$9=0,H62*Ratios!$N$42,H62*Ratios!$N$42*Ratios!$Z$36)</f>
        <v>891.07623090164986</v>
      </c>
      <c r="W62" s="852">
        <f>IF('Input 5_Product Uptake'!$M$9=0,I62*Ratios!$N$42,I62*Ratios!$N$42*Ratios!$Z$36)</f>
        <v>478.23816062152764</v>
      </c>
      <c r="X62" s="852">
        <f>IF('Input 5_Product Uptake'!$M$9=0,J62*Ratios!$N$42,J62*Ratios!$N$42*Ratios!$Z$36)</f>
        <v>126.71267503647313</v>
      </c>
      <c r="Y62" s="852">
        <f>IF('Input 5_Product Uptake'!$M$9=0,K62*Ratios!$N$42,K62*Ratios!$N$42*Ratios!$Z$36)</f>
        <v>0</v>
      </c>
      <c r="Z62" s="852">
        <f>IF('Input 5_Product Uptake'!$M$9=0,L62*Ratios!$N$42,L62*Ratios!$N$42*Ratios!$Z$36)</f>
        <v>0</v>
      </c>
      <c r="AA62" s="852">
        <f>IF('Input 5_Product Uptake'!$M$9=0,M62*Ratios!$N$42,M62*Ratios!$N$42*Ratios!$Z$36)</f>
        <v>0</v>
      </c>
      <c r="AB62" s="852">
        <f>IF('Input 5_Product Uptake'!$M$9=0,N62*Ratios!$N$42,N62*Ratios!$N$42*Ratios!$Z$36)</f>
        <v>0</v>
      </c>
      <c r="AC62" s="852">
        <f>IF('Input 5_Product Uptake'!$M$9=0,O62*Ratios!$N$42,O62*Ratios!$N$42*Ratios!$Z$36)</f>
        <v>0</v>
      </c>
      <c r="AD62" s="852">
        <f>IF('Input 5_Product Uptake'!$M$9=0,P62*Ratios!$N$42,P62*Ratios!$N$42*Ratios!$Z$36)</f>
        <v>0</v>
      </c>
      <c r="AE62" s="297"/>
      <c r="AF62" s="860">
        <f>Ratios!$P$42*E62</f>
        <v>2195.8509400100897</v>
      </c>
      <c r="AG62" s="860">
        <f>Ratios!$P$42*F62</f>
        <v>6365.1881678773489</v>
      </c>
      <c r="AH62" s="860">
        <f>Ratios!$P$42*G62</f>
        <v>9061.3595752315086</v>
      </c>
      <c r="AI62" s="860">
        <f>Ratios!$P$42*H62</f>
        <v>6059.436771167083</v>
      </c>
      <c r="AJ62" s="860">
        <f>Ratios!$P$42*I62</f>
        <v>3252.0830377364618</v>
      </c>
      <c r="AK62" s="860">
        <f>Ratios!$P$42*J62</f>
        <v>861.66302709256684</v>
      </c>
      <c r="AL62" s="860">
        <f>Ratios!$P$42*K62</f>
        <v>0</v>
      </c>
      <c r="AM62" s="860">
        <f>Ratios!$P$42*L62</f>
        <v>0</v>
      </c>
      <c r="AN62" s="860">
        <f>Ratios!$P$42*M62</f>
        <v>0</v>
      </c>
      <c r="AO62" s="860">
        <f>Ratios!$P$42*N62</f>
        <v>0</v>
      </c>
      <c r="AP62" s="860">
        <f>Ratios!$P$42*O62</f>
        <v>0</v>
      </c>
      <c r="AQ62" s="860">
        <f>Ratios!$P$42*P62</f>
        <v>0</v>
      </c>
      <c r="AS62" s="275">
        <f t="shared" si="19"/>
        <v>322.91294606068965</v>
      </c>
      <c r="AT62" s="275">
        <f t="shared" si="17"/>
        <v>936.03879301136601</v>
      </c>
      <c r="AU62" s="275">
        <f t="shared" si="17"/>
        <v>1332.5268407061367</v>
      </c>
      <c r="AV62" s="275">
        <f t="shared" si="17"/>
        <v>891.07623090164986</v>
      </c>
      <c r="AW62" s="275">
        <f t="shared" si="17"/>
        <v>478.23816062152764</v>
      </c>
      <c r="AX62" s="275">
        <f t="shared" si="17"/>
        <v>126.71267503647313</v>
      </c>
      <c r="AY62" s="275">
        <f t="shared" si="17"/>
        <v>0</v>
      </c>
      <c r="AZ62" s="275">
        <f t="shared" si="17"/>
        <v>0</v>
      </c>
      <c r="BA62" s="275">
        <f t="shared" si="17"/>
        <v>0</v>
      </c>
      <c r="BB62" s="275">
        <f t="shared" si="17"/>
        <v>0</v>
      </c>
      <c r="BC62" s="275">
        <f t="shared" si="17"/>
        <v>0</v>
      </c>
      <c r="BD62" s="275">
        <f t="shared" si="17"/>
        <v>0</v>
      </c>
      <c r="BE62" s="276"/>
      <c r="BF62" s="557">
        <f>IF($B60=0,1,IF(AND(BF61&gt;0,$B60&lt;='Input 4_RSV Season'!$AG$27-1),BF61+1,0))</f>
        <v>5</v>
      </c>
      <c r="BG62" s="549">
        <f>IF(AND($BF62&gt;0,$BF62&lt;='Input 6_Product Efficacy'!$Q$9/30),SUM($AS60:$BD60),0)</f>
        <v>8867.7377921819243</v>
      </c>
      <c r="BH62" s="554">
        <f>IF(AND($BF62&gt;0,$BF62&gt;'Input 6_Product Efficacy'!$Q$9/30),SUM($AS60:$BD60),0)</f>
        <v>0</v>
      </c>
      <c r="BJ62" s="549">
        <f>IF(AND($BF62&gt;0,$BF62&lt;='Input 6_Product Efficacy'!$Q$12/30),SUM($AS60:$BD60),0)</f>
        <v>8867.7377921819243</v>
      </c>
      <c r="BK62" s="554">
        <f>IF(AND($BF62&gt;0,$BF62&gt;'Input 6_Product Efficacy'!$Q$12/30),SUM($AS60:$BD60),0)</f>
        <v>0</v>
      </c>
      <c r="BL62" s="276"/>
      <c r="BM62" s="276"/>
      <c r="BN62" s="93"/>
      <c r="BO62" s="35">
        <f t="shared" si="20"/>
        <v>2195.8509400100897</v>
      </c>
      <c r="BP62" s="35">
        <f t="shared" si="18"/>
        <v>6365.1881678773489</v>
      </c>
      <c r="BQ62" s="35">
        <f t="shared" si="18"/>
        <v>9061.3595752315086</v>
      </c>
      <c r="BR62" s="35">
        <f t="shared" si="18"/>
        <v>6059.436771167083</v>
      </c>
      <c r="BS62" s="35">
        <f t="shared" si="18"/>
        <v>3252.0830377364618</v>
      </c>
      <c r="BT62" s="35">
        <f t="shared" si="18"/>
        <v>861.66302709256684</v>
      </c>
      <c r="BU62" s="35">
        <f t="shared" si="18"/>
        <v>0</v>
      </c>
      <c r="BV62" s="35">
        <f t="shared" si="18"/>
        <v>0</v>
      </c>
      <c r="BW62" s="35">
        <f t="shared" si="18"/>
        <v>0</v>
      </c>
      <c r="BX62" s="35">
        <f t="shared" si="18"/>
        <v>0</v>
      </c>
      <c r="BY62" s="35">
        <f t="shared" si="18"/>
        <v>0</v>
      </c>
      <c r="BZ62" s="35">
        <f t="shared" si="18"/>
        <v>0</v>
      </c>
      <c r="CA62" s="244"/>
      <c r="CB62" s="557">
        <f>IF($B60=0,1,IF(AND(CB61&gt;0,$B60&lt;='Input 4_RSV Season'!$AG$27-1),CB61+1,0))</f>
        <v>5</v>
      </c>
      <c r="CC62" s="549">
        <f>IF(AND($CB62&gt;0,$CB62&lt;='Input 6_Product Efficacy'!$Q$12/30),SUM($BO60:$BZ60),0)</f>
        <v>60301.795280347731</v>
      </c>
      <c r="CD62" s="554">
        <f>IF(AND($CB62&gt;0,$CB62&gt;'Input 6_Product Efficacy'!$Q$12/30),SUM($BO60:$BZ60),0)</f>
        <v>0</v>
      </c>
      <c r="CF62" s="690">
        <f>IF(AND($CB62&gt;0,$CB62&gt;'Input 6_Product Efficacy'!$Q$15/30),SUM($BO60:$BZ60),0)</f>
        <v>60301.795280347731</v>
      </c>
      <c r="CG62" s="689"/>
    </row>
    <row r="63" spans="2:85" x14ac:dyDescent="0.3">
      <c r="B63" s="26">
        <v>7</v>
      </c>
      <c r="C63" s="293">
        <f>'Input 2_RSV Rates'!H17*'Input 3_Clinical Severity'!$H$11</f>
        <v>72.509999999999991</v>
      </c>
      <c r="E63" s="77">
        <f t="shared" si="16"/>
        <v>3.8251204471318051E-3</v>
      </c>
      <c r="F63" s="77">
        <f t="shared" si="16"/>
        <v>1.1088007372065611E-2</v>
      </c>
      <c r="G63" s="77">
        <f t="shared" si="16"/>
        <v>1.5784674250189475E-2</v>
      </c>
      <c r="H63" s="77">
        <f t="shared" si="16"/>
        <v>1.0555395664237133E-2</v>
      </c>
      <c r="I63" s="77">
        <f t="shared" si="16"/>
        <v>5.6650518014483694E-3</v>
      </c>
      <c r="J63" s="77">
        <f t="shared" si="16"/>
        <v>1.5009966311529867E-3</v>
      </c>
      <c r="K63" s="77">
        <f t="shared" si="16"/>
        <v>0</v>
      </c>
      <c r="L63" s="77">
        <f t="shared" si="16"/>
        <v>0</v>
      </c>
      <c r="M63" s="77">
        <f t="shared" si="16"/>
        <v>0</v>
      </c>
      <c r="N63" s="77">
        <f t="shared" si="16"/>
        <v>0</v>
      </c>
      <c r="O63" s="77">
        <f t="shared" si="16"/>
        <v>0</v>
      </c>
      <c r="P63" s="77">
        <f t="shared" si="16"/>
        <v>0</v>
      </c>
      <c r="Q63" s="13"/>
      <c r="R63" s="13"/>
      <c r="S63" s="852">
        <f>IF('Input 5_Product Uptake'!$M$9=0,E63*Ratios!$N$42,E63*Ratios!$N$42*Ratios!$Z$36)</f>
        <v>252.82817966591728</v>
      </c>
      <c r="T63" s="852">
        <f>IF('Input 5_Product Uptake'!$M$9=0,F63*Ratios!$N$42,F63*Ratios!$N$42*Ratios!$Z$36)</f>
        <v>732.88168536069691</v>
      </c>
      <c r="U63" s="852">
        <f>IF('Input 5_Product Uptake'!$M$9=0,G63*Ratios!$N$42,G63*Ratios!$N$42*Ratios!$Z$36)</f>
        <v>1043.3162857099878</v>
      </c>
      <c r="V63" s="852">
        <f>IF('Input 5_Product Uptake'!$M$9=0,H63*Ratios!$N$42,H63*Ratios!$N$42*Ratios!$Z$36)</f>
        <v>697.67776160974643</v>
      </c>
      <c r="W63" s="852">
        <f>IF('Input 5_Product Uptake'!$M$9=0,I63*Ratios!$N$42,I63*Ratios!$N$42*Ratios!$Z$36)</f>
        <v>374.44173444192813</v>
      </c>
      <c r="X63" s="852">
        <f>IF('Input 5_Product Uptake'!$M$9=0,J63*Ratios!$N$42,J63*Ratios!$N$42*Ratios!$Z$36)</f>
        <v>99.21105784358781</v>
      </c>
      <c r="Y63" s="852">
        <f>IF('Input 5_Product Uptake'!$M$9=0,K63*Ratios!$N$42,K63*Ratios!$N$42*Ratios!$Z$36)</f>
        <v>0</v>
      </c>
      <c r="Z63" s="852">
        <f>IF('Input 5_Product Uptake'!$M$9=0,L63*Ratios!$N$42,L63*Ratios!$N$42*Ratios!$Z$36)</f>
        <v>0</v>
      </c>
      <c r="AA63" s="852">
        <f>IF('Input 5_Product Uptake'!$M$9=0,M63*Ratios!$N$42,M63*Ratios!$N$42*Ratios!$Z$36)</f>
        <v>0</v>
      </c>
      <c r="AB63" s="852">
        <f>IF('Input 5_Product Uptake'!$M$9=0,N63*Ratios!$N$42,N63*Ratios!$N$42*Ratios!$Z$36)</f>
        <v>0</v>
      </c>
      <c r="AC63" s="852">
        <f>IF('Input 5_Product Uptake'!$M$9=0,O63*Ratios!$N$42,O63*Ratios!$N$42*Ratios!$Z$36)</f>
        <v>0</v>
      </c>
      <c r="AD63" s="852">
        <f>IF('Input 5_Product Uptake'!$M$9=0,P63*Ratios!$N$42,P63*Ratios!$N$42*Ratios!$Z$36)</f>
        <v>0</v>
      </c>
      <c r="AE63" s="297"/>
      <c r="AF63" s="860">
        <f>Ratios!$P$42*E63</f>
        <v>1719.2652160688003</v>
      </c>
      <c r="AG63" s="860">
        <f>Ratios!$P$42*F63</f>
        <v>4983.6928415158891</v>
      </c>
      <c r="AH63" s="860">
        <f>Ratios!$P$42*G63</f>
        <v>7094.6893726383405</v>
      </c>
      <c r="AI63" s="860">
        <f>Ratios!$P$42*H63</f>
        <v>4744.3014823164358</v>
      </c>
      <c r="AJ63" s="860">
        <f>Ratios!$P$42*I63</f>
        <v>2546.2535478487293</v>
      </c>
      <c r="AK63" s="860">
        <f>Ratios!$P$42*J63</f>
        <v>674.64837592573167</v>
      </c>
      <c r="AL63" s="860">
        <f>Ratios!$P$42*K63</f>
        <v>0</v>
      </c>
      <c r="AM63" s="860">
        <f>Ratios!$P$42*L63</f>
        <v>0</v>
      </c>
      <c r="AN63" s="860">
        <f>Ratios!$P$42*M63</f>
        <v>0</v>
      </c>
      <c r="AO63" s="860">
        <f>Ratios!$P$42*N63</f>
        <v>0</v>
      </c>
      <c r="AP63" s="860">
        <f>Ratios!$P$42*O63</f>
        <v>0</v>
      </c>
      <c r="AQ63" s="860">
        <f>Ratios!$P$42*P63</f>
        <v>0</v>
      </c>
      <c r="AS63" s="275">
        <f t="shared" si="19"/>
        <v>252.82817966591728</v>
      </c>
      <c r="AT63" s="275">
        <f t="shared" si="17"/>
        <v>732.88168536069691</v>
      </c>
      <c r="AU63" s="275">
        <f t="shared" si="17"/>
        <v>1043.3162857099878</v>
      </c>
      <c r="AV63" s="275">
        <f t="shared" si="17"/>
        <v>697.67776160974643</v>
      </c>
      <c r="AW63" s="275">
        <f t="shared" si="17"/>
        <v>374.44173444192813</v>
      </c>
      <c r="AX63" s="275">
        <f t="shared" si="17"/>
        <v>99.21105784358781</v>
      </c>
      <c r="AY63" s="275">
        <f t="shared" si="17"/>
        <v>0</v>
      </c>
      <c r="AZ63" s="275">
        <f t="shared" si="17"/>
        <v>0</v>
      </c>
      <c r="BA63" s="275">
        <f t="shared" si="17"/>
        <v>0</v>
      </c>
      <c r="BB63" s="275">
        <f t="shared" si="17"/>
        <v>0</v>
      </c>
      <c r="BC63" s="275">
        <f t="shared" si="17"/>
        <v>0</v>
      </c>
      <c r="BD63" s="275">
        <f t="shared" si="17"/>
        <v>0</v>
      </c>
      <c r="BE63" s="276"/>
      <c r="BF63" s="557">
        <f>IF($B61=0,1,IF(AND(BF62&gt;0,$B61&lt;='Input 4_RSV Season'!$AG$27-1),BF62+1,0))</f>
        <v>6</v>
      </c>
      <c r="BG63" s="549">
        <f>IF(AND($BF63&gt;0,$BF63&lt;='Input 6_Product Efficacy'!$Q$9/30),SUM($AS61:$BD61),0)</f>
        <v>0</v>
      </c>
      <c r="BH63" s="554">
        <f>IF(AND($BF63&gt;0,$BF63&gt;'Input 6_Product Efficacy'!$Q$9/30),SUM($AS61:$BD61),0)</f>
        <v>9673.8957732893687</v>
      </c>
      <c r="BJ63" s="549">
        <f>IF(AND($BF63&gt;0,$BF63&lt;='Input 6_Product Efficacy'!$Q$12/30),SUM($AS61:$BD61),0)</f>
        <v>0</v>
      </c>
      <c r="BK63" s="554">
        <f>IF(AND($BF63&gt;0,$BF63&gt;'Input 6_Product Efficacy'!$Q$12/30),SUM($AS61:$BD61),0)</f>
        <v>9673.8957732893687</v>
      </c>
      <c r="BL63" s="276"/>
      <c r="BM63" s="276"/>
      <c r="BN63" s="93"/>
      <c r="BO63" s="35">
        <f t="shared" si="20"/>
        <v>1719.2652160688003</v>
      </c>
      <c r="BP63" s="35">
        <f t="shared" si="18"/>
        <v>4983.6928415158891</v>
      </c>
      <c r="BQ63" s="35">
        <f t="shared" si="18"/>
        <v>7094.6893726383405</v>
      </c>
      <c r="BR63" s="35">
        <f t="shared" si="18"/>
        <v>4744.3014823164358</v>
      </c>
      <c r="BS63" s="35">
        <f t="shared" si="18"/>
        <v>2546.2535478487293</v>
      </c>
      <c r="BT63" s="35">
        <f t="shared" si="18"/>
        <v>674.64837592573167</v>
      </c>
      <c r="BU63" s="35">
        <f t="shared" si="18"/>
        <v>0</v>
      </c>
      <c r="BV63" s="35">
        <f t="shared" si="18"/>
        <v>0</v>
      </c>
      <c r="BW63" s="35">
        <f t="shared" si="18"/>
        <v>0</v>
      </c>
      <c r="BX63" s="35">
        <f t="shared" si="18"/>
        <v>0</v>
      </c>
      <c r="BY63" s="35">
        <f t="shared" si="18"/>
        <v>0</v>
      </c>
      <c r="BZ63" s="35">
        <f t="shared" si="18"/>
        <v>0</v>
      </c>
      <c r="CA63" s="244"/>
      <c r="CB63" s="557">
        <f>IF($B61=0,1,IF(AND(CB62&gt;0,$B61&lt;='Input 4_RSV Season'!$AG$27-1),CB62+1,0))</f>
        <v>6</v>
      </c>
      <c r="CC63" s="549">
        <f>IF(AND($CB63&gt;0,$CB63&lt;='Input 6_Product Efficacy'!$Q$12/30),SUM($BO61:$BZ61),0)</f>
        <v>0</v>
      </c>
      <c r="CD63" s="554">
        <f>IF(AND($CB63&gt;0,$CB63&gt;'Input 6_Product Efficacy'!$Q$12/30),SUM($BO61:$BZ61),0)</f>
        <v>65783.776669470244</v>
      </c>
      <c r="CF63" s="690">
        <f>IF(AND($CB63&gt;0,$CB63&gt;'Input 6_Product Efficacy'!$Q$15/30),SUM($BO61:$BZ61),0)</f>
        <v>65783.776669470244</v>
      </c>
      <c r="CG63" s="689"/>
    </row>
    <row r="64" spans="2:85" x14ac:dyDescent="0.3">
      <c r="B64" s="26">
        <v>8</v>
      </c>
      <c r="C64" s="293">
        <f>'Input 2_RSV Rates'!H18*'Input 3_Clinical Severity'!$H$11</f>
        <v>97.2</v>
      </c>
      <c r="E64" s="77">
        <f t="shared" si="16"/>
        <v>5.1275921591671702E-3</v>
      </c>
      <c r="F64" s="77">
        <f t="shared" si="16"/>
        <v>1.4863526638598504E-2</v>
      </c>
      <c r="G64" s="77">
        <f t="shared" si="16"/>
        <v>2.1159430935297437E-2</v>
      </c>
      <c r="H64" s="77">
        <f t="shared" si="16"/>
        <v>1.4149558110106875E-2</v>
      </c>
      <c r="I64" s="77">
        <f t="shared" si="16"/>
        <v>7.5940288939564428E-3</v>
      </c>
      <c r="J64" s="77">
        <f t="shared" si="16"/>
        <v>2.0120931257491428E-3</v>
      </c>
      <c r="K64" s="77">
        <f t="shared" si="16"/>
        <v>0</v>
      </c>
      <c r="L64" s="77">
        <f t="shared" si="16"/>
        <v>0</v>
      </c>
      <c r="M64" s="77">
        <f t="shared" si="16"/>
        <v>0</v>
      </c>
      <c r="N64" s="77">
        <f t="shared" si="16"/>
        <v>0</v>
      </c>
      <c r="O64" s="77">
        <f t="shared" si="16"/>
        <v>0</v>
      </c>
      <c r="P64" s="77">
        <f t="shared" si="16"/>
        <v>0</v>
      </c>
      <c r="Q64" s="13"/>
      <c r="R64" s="13"/>
      <c r="S64" s="852">
        <f>IF('Input 5_Product Uptake'!$M$9=0,E64*Ratios!$N$42,E64*Ratios!$N$42*Ratios!$Z$36)</f>
        <v>338.91737778964506</v>
      </c>
      <c r="T64" s="852">
        <f>IF('Input 5_Product Uptake'!$M$9=0,F64*Ratios!$N$42,F64*Ratios!$N$42*Ratios!$Z$36)</f>
        <v>982.43138625099641</v>
      </c>
      <c r="U64" s="852">
        <f>IF('Input 5_Product Uptake'!$M$9=0,G64*Ratios!$N$42,G64*Ratios!$N$42*Ratios!$Z$36)</f>
        <v>1398.5704450560038</v>
      </c>
      <c r="V64" s="852">
        <f>IF('Input 5_Product Uptake'!$M$9=0,H64*Ratios!$N$42,H64*Ratios!$N$42*Ratios!$Z$36)</f>
        <v>935.24035896383077</v>
      </c>
      <c r="W64" s="852">
        <f>IF('Input 5_Product Uptake'!$M$9=0,I64*Ratios!$N$42,I64*Ratios!$N$42*Ratios!$Z$36)</f>
        <v>501.94092659985415</v>
      </c>
      <c r="X64" s="852">
        <f>IF('Input 5_Product Uptake'!$M$9=0,J64*Ratios!$N$42,J64*Ratios!$N$42*Ratios!$Z$36)</f>
        <v>132.99289508201264</v>
      </c>
      <c r="Y64" s="852">
        <f>IF('Input 5_Product Uptake'!$M$9=0,K64*Ratios!$N$42,K64*Ratios!$N$42*Ratios!$Z$36)</f>
        <v>0</v>
      </c>
      <c r="Z64" s="852">
        <f>IF('Input 5_Product Uptake'!$M$9=0,L64*Ratios!$N$42,L64*Ratios!$N$42*Ratios!$Z$36)</f>
        <v>0</v>
      </c>
      <c r="AA64" s="852">
        <f>IF('Input 5_Product Uptake'!$M$9=0,M64*Ratios!$N$42,M64*Ratios!$N$42*Ratios!$Z$36)</f>
        <v>0</v>
      </c>
      <c r="AB64" s="852">
        <f>IF('Input 5_Product Uptake'!$M$9=0,N64*Ratios!$N$42,N64*Ratios!$N$42*Ratios!$Z$36)</f>
        <v>0</v>
      </c>
      <c r="AC64" s="852">
        <f>IF('Input 5_Product Uptake'!$M$9=0,O64*Ratios!$N$42,O64*Ratios!$N$42*Ratios!$Z$36)</f>
        <v>0</v>
      </c>
      <c r="AD64" s="852">
        <f>IF('Input 5_Product Uptake'!$M$9=0,P64*Ratios!$N$42,P64*Ratios!$N$42*Ratios!$Z$36)</f>
        <v>0</v>
      </c>
      <c r="AE64" s="297"/>
      <c r="AF64" s="860">
        <f>Ratios!$P$42*E64</f>
        <v>2304.6832023429515</v>
      </c>
      <c r="AG64" s="860">
        <f>Ratios!$P$42*F64</f>
        <v>6680.6639662852631</v>
      </c>
      <c r="AH64" s="860">
        <f>Ratios!$P$42*G64</f>
        <v>9510.4648603012938</v>
      </c>
      <c r="AI64" s="860">
        <f>Ratios!$P$42*H64</f>
        <v>6359.7587102628277</v>
      </c>
      <c r="AJ64" s="860">
        <f>Ratios!$P$42*I64</f>
        <v>3413.2649958750044</v>
      </c>
      <c r="AK64" s="860">
        <f>Ratios!$P$42*J64</f>
        <v>904.36935788141136</v>
      </c>
      <c r="AL64" s="860">
        <f>Ratios!$P$42*K64</f>
        <v>0</v>
      </c>
      <c r="AM64" s="860">
        <f>Ratios!$P$42*L64</f>
        <v>0</v>
      </c>
      <c r="AN64" s="860">
        <f>Ratios!$P$42*M64</f>
        <v>0</v>
      </c>
      <c r="AO64" s="860">
        <f>Ratios!$P$42*N64</f>
        <v>0</v>
      </c>
      <c r="AP64" s="860">
        <f>Ratios!$P$42*O64</f>
        <v>0</v>
      </c>
      <c r="AQ64" s="860">
        <f>Ratios!$P$42*P64</f>
        <v>0</v>
      </c>
      <c r="AS64" s="275">
        <f t="shared" si="19"/>
        <v>338.91737778964506</v>
      </c>
      <c r="AT64" s="275">
        <f t="shared" si="17"/>
        <v>982.43138625099641</v>
      </c>
      <c r="AU64" s="275">
        <f t="shared" si="17"/>
        <v>1398.5704450560038</v>
      </c>
      <c r="AV64" s="275">
        <f t="shared" si="17"/>
        <v>935.24035896383077</v>
      </c>
      <c r="AW64" s="275">
        <f t="shared" si="17"/>
        <v>501.94092659985415</v>
      </c>
      <c r="AX64" s="275">
        <f t="shared" si="17"/>
        <v>132.99289508201264</v>
      </c>
      <c r="AY64" s="275">
        <f t="shared" si="17"/>
        <v>0</v>
      </c>
      <c r="AZ64" s="275">
        <f t="shared" si="17"/>
        <v>0</v>
      </c>
      <c r="BA64" s="275">
        <f t="shared" si="17"/>
        <v>0</v>
      </c>
      <c r="BB64" s="275">
        <f t="shared" si="17"/>
        <v>0</v>
      </c>
      <c r="BC64" s="275">
        <f t="shared" si="17"/>
        <v>0</v>
      </c>
      <c r="BD64" s="275">
        <f t="shared" si="17"/>
        <v>0</v>
      </c>
      <c r="BE64" s="276"/>
      <c r="BF64" s="557">
        <f>IF($B62=0,1,IF(AND(BF63&gt;0,$B62&lt;='Input 4_RSV Season'!$AG$27-1),BF63+1,0))</f>
        <v>0</v>
      </c>
      <c r="BG64" s="549">
        <f>IF(AND($BF64&gt;0,$BF64&lt;='Input 6_Product Efficacy'!$Q$9/30),SUM($AS62:$BD62),0)</f>
        <v>0</v>
      </c>
      <c r="BH64" s="554">
        <f>IF(AND($BF64&gt;0,$BF64&gt;'Input 6_Product Efficacy'!$Q$9/30),SUM($AS62:$BD62),0)</f>
        <v>0</v>
      </c>
      <c r="BJ64" s="549">
        <f>IF(AND($BF64&gt;0,$BF64&lt;='Input 6_Product Efficacy'!$Q$12/30),SUM($AS62:$BD62),0)</f>
        <v>0</v>
      </c>
      <c r="BK64" s="554">
        <f>IF(AND($BF64&gt;0,$BF64&gt;'Input 6_Product Efficacy'!$Q$12/30),SUM($AS62:$BD62),0)</f>
        <v>0</v>
      </c>
      <c r="BL64" s="276"/>
      <c r="BM64" s="276"/>
      <c r="BN64" s="93"/>
      <c r="BO64" s="35">
        <f t="shared" si="20"/>
        <v>2304.6832023429515</v>
      </c>
      <c r="BP64" s="35">
        <f t="shared" si="18"/>
        <v>6680.6639662852631</v>
      </c>
      <c r="BQ64" s="35">
        <f t="shared" si="18"/>
        <v>9510.4648603012938</v>
      </c>
      <c r="BR64" s="35">
        <f t="shared" si="18"/>
        <v>6359.7587102628277</v>
      </c>
      <c r="BS64" s="35">
        <f t="shared" si="18"/>
        <v>3413.2649958750044</v>
      </c>
      <c r="BT64" s="35">
        <f t="shared" si="18"/>
        <v>904.36935788141136</v>
      </c>
      <c r="BU64" s="35">
        <f t="shared" si="18"/>
        <v>0</v>
      </c>
      <c r="BV64" s="35">
        <f t="shared" si="18"/>
        <v>0</v>
      </c>
      <c r="BW64" s="35">
        <f t="shared" si="18"/>
        <v>0</v>
      </c>
      <c r="BX64" s="35">
        <f t="shared" si="18"/>
        <v>0</v>
      </c>
      <c r="BY64" s="35">
        <f t="shared" si="18"/>
        <v>0</v>
      </c>
      <c r="BZ64" s="35">
        <f t="shared" si="18"/>
        <v>0</v>
      </c>
      <c r="CA64" s="244"/>
      <c r="CB64" s="557">
        <f>IF($B62=0,1,IF(AND(CB63&gt;0,$B62&lt;='Input 4_RSV Season'!$AG$27-1),CB63+1,0))</f>
        <v>0</v>
      </c>
      <c r="CC64" s="549">
        <f>IF(AND($CB64&gt;0,$CB64&lt;='Input 6_Product Efficacy'!$Q$12/30),SUM($BO62:$BZ62),0)</f>
        <v>0</v>
      </c>
      <c r="CD64" s="554">
        <f>IF(AND($CB64&gt;0,$CB64&gt;'Input 6_Product Efficacy'!$Q$12/30),SUM($BO62:$BZ62),0)</f>
        <v>0</v>
      </c>
      <c r="CF64" s="690">
        <f>IF(AND($CB64&gt;0,$CB64&gt;'Input 6_Product Efficacy'!$Q$15/30),SUM($BO62:$BZ62),0)</f>
        <v>0</v>
      </c>
      <c r="CG64" s="689"/>
    </row>
    <row r="65" spans="2:85" x14ac:dyDescent="0.3">
      <c r="B65" s="26">
        <v>9</v>
      </c>
      <c r="C65" s="293">
        <f>'Input 2_RSV Rates'!H19*'Input 3_Clinical Severity'!$H$11</f>
        <v>79.469999999999985</v>
      </c>
      <c r="E65" s="77">
        <f t="shared" si="16"/>
        <v>4.1922813671709351E-3</v>
      </c>
      <c r="F65" s="77">
        <f t="shared" si="16"/>
        <v>1.2152309279520811E-2</v>
      </c>
      <c r="G65" s="77">
        <f t="shared" si="16"/>
        <v>1.7299793996173735E-2</v>
      </c>
      <c r="H65" s="77">
        <f t="shared" si="16"/>
        <v>1.1568573899281821E-2</v>
      </c>
      <c r="I65" s="77">
        <f t="shared" si="16"/>
        <v>6.2088217716329041E-3</v>
      </c>
      <c r="J65" s="77">
        <f t="shared" si="16"/>
        <v>1.6450724352189746E-3</v>
      </c>
      <c r="K65" s="77">
        <f t="shared" si="16"/>
        <v>0</v>
      </c>
      <c r="L65" s="77">
        <f t="shared" si="16"/>
        <v>0</v>
      </c>
      <c r="M65" s="77">
        <f t="shared" si="16"/>
        <v>0</v>
      </c>
      <c r="N65" s="77">
        <f t="shared" si="16"/>
        <v>0</v>
      </c>
      <c r="O65" s="77">
        <f t="shared" si="16"/>
        <v>0</v>
      </c>
      <c r="P65" s="77">
        <f t="shared" si="16"/>
        <v>0</v>
      </c>
      <c r="Q65" s="13"/>
      <c r="R65" s="13"/>
      <c r="S65" s="852">
        <f>IF('Input 5_Product Uptake'!$M$9=0,E65*Ratios!$N$42,E65*Ratios!$N$42*Ratios!$Z$36)</f>
        <v>277.09633758171901</v>
      </c>
      <c r="T65" s="852">
        <f>IF('Input 5_Product Uptake'!$M$9=0,F65*Ratios!$N$42,F65*Ratios!$N$42*Ratios!$Z$36)</f>
        <v>803.22862412928657</v>
      </c>
      <c r="U65" s="852">
        <f>IF('Input 5_Product Uptake'!$M$9=0,G65*Ratios!$N$42,G65*Ratios!$N$42*Ratios!$Z$36)</f>
        <v>1143.460836096714</v>
      </c>
      <c r="V65" s="852">
        <f>IF('Input 5_Product Uptake'!$M$9=0,H65*Ratios!$N$42,H65*Ratios!$N$42*Ratios!$Z$36)</f>
        <v>764.64558978246509</v>
      </c>
      <c r="W65" s="852">
        <f>IF('Input 5_Product Uptake'!$M$9=0,I65*Ratios!$N$42,I65*Ratios!$N$42*Ratios!$Z$36)</f>
        <v>410.38318350710279</v>
      </c>
      <c r="X65" s="852">
        <f>IF('Input 5_Product Uptake'!$M$9=0,J65*Ratios!$N$42,J65*Ratios!$N$42*Ratios!$Z$36)</f>
        <v>108.73400588649733</v>
      </c>
      <c r="Y65" s="852">
        <f>IF('Input 5_Product Uptake'!$M$9=0,K65*Ratios!$N$42,K65*Ratios!$N$42*Ratios!$Z$36)</f>
        <v>0</v>
      </c>
      <c r="Z65" s="852">
        <f>IF('Input 5_Product Uptake'!$M$9=0,L65*Ratios!$N$42,L65*Ratios!$N$42*Ratios!$Z$36)</f>
        <v>0</v>
      </c>
      <c r="AA65" s="852">
        <f>IF('Input 5_Product Uptake'!$M$9=0,M65*Ratios!$N$42,M65*Ratios!$N$42*Ratios!$Z$36)</f>
        <v>0</v>
      </c>
      <c r="AB65" s="852">
        <f>IF('Input 5_Product Uptake'!$M$9=0,N65*Ratios!$N$42,N65*Ratios!$N$42*Ratios!$Z$36)</f>
        <v>0</v>
      </c>
      <c r="AC65" s="852">
        <f>IF('Input 5_Product Uptake'!$M$9=0,O65*Ratios!$N$42,O65*Ratios!$N$42*Ratios!$Z$36)</f>
        <v>0</v>
      </c>
      <c r="AD65" s="852">
        <f>IF('Input 5_Product Uptake'!$M$9=0,P65*Ratios!$N$42,P65*Ratios!$N$42*Ratios!$Z$36)</f>
        <v>0</v>
      </c>
      <c r="AE65" s="297"/>
      <c r="AF65" s="860">
        <f>Ratios!$P$42*E65</f>
        <v>1884.2919145081719</v>
      </c>
      <c r="AG65" s="860">
        <f>Ratios!$P$42*F65</f>
        <v>5462.0613724350796</v>
      </c>
      <c r="AH65" s="860">
        <f>Ratios!$P$42*G65</f>
        <v>7775.6856218944822</v>
      </c>
      <c r="AI65" s="860">
        <f>Ratios!$P$42*H65</f>
        <v>5199.6916121871072</v>
      </c>
      <c r="AJ65" s="860">
        <f>Ratios!$P$42*I65</f>
        <v>2790.6601771829887</v>
      </c>
      <c r="AK65" s="860">
        <f>Ratios!$P$42*J65</f>
        <v>739.40568797156106</v>
      </c>
      <c r="AL65" s="860">
        <f>Ratios!$P$42*K65</f>
        <v>0</v>
      </c>
      <c r="AM65" s="860">
        <f>Ratios!$P$42*L65</f>
        <v>0</v>
      </c>
      <c r="AN65" s="860">
        <f>Ratios!$P$42*M65</f>
        <v>0</v>
      </c>
      <c r="AO65" s="860">
        <f>Ratios!$P$42*N65</f>
        <v>0</v>
      </c>
      <c r="AP65" s="860">
        <f>Ratios!$P$42*O65</f>
        <v>0</v>
      </c>
      <c r="AQ65" s="860">
        <f>Ratios!$P$42*P65</f>
        <v>0</v>
      </c>
      <c r="AS65" s="275">
        <f t="shared" si="19"/>
        <v>277.09633758171901</v>
      </c>
      <c r="AT65" s="275">
        <f t="shared" si="17"/>
        <v>803.22862412928657</v>
      </c>
      <c r="AU65" s="275">
        <f t="shared" si="17"/>
        <v>1143.460836096714</v>
      </c>
      <c r="AV65" s="275">
        <f t="shared" si="17"/>
        <v>764.64558978246509</v>
      </c>
      <c r="AW65" s="275">
        <f t="shared" si="17"/>
        <v>410.38318350710279</v>
      </c>
      <c r="AX65" s="275">
        <f t="shared" si="17"/>
        <v>108.73400588649733</v>
      </c>
      <c r="AY65" s="275">
        <f t="shared" si="17"/>
        <v>0</v>
      </c>
      <c r="AZ65" s="275">
        <f t="shared" si="17"/>
        <v>0</v>
      </c>
      <c r="BA65" s="275">
        <f t="shared" si="17"/>
        <v>0</v>
      </c>
      <c r="BB65" s="275">
        <f t="shared" si="17"/>
        <v>0</v>
      </c>
      <c r="BC65" s="275">
        <f t="shared" si="17"/>
        <v>0</v>
      </c>
      <c r="BD65" s="275">
        <f t="shared" si="17"/>
        <v>0</v>
      </c>
      <c r="BE65" s="276"/>
      <c r="BF65" s="557">
        <f>IF($B63=0,1,IF(AND(BF64&gt;0,$B63&lt;='Input 4_RSV Season'!$AG$27-1),BF64+1,0))</f>
        <v>0</v>
      </c>
      <c r="BG65" s="549">
        <f>IF(AND($BF65&gt;0,$BF65&lt;='Input 6_Product Efficacy'!$Q$9/30),SUM($AS63:$BD63),0)</f>
        <v>0</v>
      </c>
      <c r="BH65" s="554">
        <f>IF(AND($BF65&gt;0,$BF65&gt;'Input 6_Product Efficacy'!$Q$9/30),SUM($AS63:$BD63),0)</f>
        <v>0</v>
      </c>
      <c r="BJ65" s="549">
        <f>IF(AND($BF65&gt;0,$BF65&lt;='Input 6_Product Efficacy'!$Q$12/30),SUM($AS63:$BD63),0)</f>
        <v>0</v>
      </c>
      <c r="BK65" s="554">
        <f>IF(AND($BF65&gt;0,$BF65&gt;'Input 6_Product Efficacy'!$Q$12/30),SUM($AS63:$BD63),0)</f>
        <v>0</v>
      </c>
      <c r="BL65" s="276"/>
      <c r="BM65" s="276"/>
      <c r="BN65" s="93"/>
      <c r="BO65" s="35">
        <f t="shared" si="20"/>
        <v>1884.2919145081719</v>
      </c>
      <c r="BP65" s="35">
        <f t="shared" si="18"/>
        <v>5462.0613724350796</v>
      </c>
      <c r="BQ65" s="35">
        <f t="shared" si="18"/>
        <v>7775.6856218944822</v>
      </c>
      <c r="BR65" s="35">
        <f t="shared" si="18"/>
        <v>5199.6916121871072</v>
      </c>
      <c r="BS65" s="35">
        <f t="shared" si="18"/>
        <v>2790.6601771829887</v>
      </c>
      <c r="BT65" s="35">
        <f t="shared" si="18"/>
        <v>739.40568797156106</v>
      </c>
      <c r="BU65" s="35">
        <f t="shared" si="18"/>
        <v>0</v>
      </c>
      <c r="BV65" s="35">
        <f t="shared" si="18"/>
        <v>0</v>
      </c>
      <c r="BW65" s="35">
        <f t="shared" si="18"/>
        <v>0</v>
      </c>
      <c r="BX65" s="35">
        <f t="shared" si="18"/>
        <v>0</v>
      </c>
      <c r="BY65" s="35">
        <f t="shared" si="18"/>
        <v>0</v>
      </c>
      <c r="BZ65" s="35">
        <f t="shared" si="18"/>
        <v>0</v>
      </c>
      <c r="CA65" s="244"/>
      <c r="CB65" s="557">
        <f>IF($B63=0,1,IF(AND(CB64&gt;0,$B63&lt;='Input 4_RSV Season'!$AG$27-1),CB64+1,0))</f>
        <v>0</v>
      </c>
      <c r="CC65" s="549">
        <f>IF(AND($CB65&gt;0,$CB65&lt;='Input 6_Product Efficacy'!$Q$12/30),SUM($BO63:$BZ63),0)</f>
        <v>0</v>
      </c>
      <c r="CD65" s="554">
        <f>IF(AND($CB65&gt;0,$CB65&gt;'Input 6_Product Efficacy'!$Q$12/30),SUM($BO63:$BZ63),0)</f>
        <v>0</v>
      </c>
      <c r="CF65" s="690">
        <f>IF(AND($CB65&gt;0,$CB65&gt;'Input 6_Product Efficacy'!$Q$15/30),SUM($BO63:$BZ63),0)</f>
        <v>0</v>
      </c>
      <c r="CG65" s="689"/>
    </row>
    <row r="66" spans="2:85" x14ac:dyDescent="0.3">
      <c r="B66" s="26">
        <v>10</v>
      </c>
      <c r="C66" s="293">
        <f>'Input 2_RSV Rates'!H20*'Input 3_Clinical Severity'!$H$11</f>
        <v>84.54</v>
      </c>
      <c r="E66" s="77">
        <f t="shared" si="16"/>
        <v>4.4597391063373728E-3</v>
      </c>
      <c r="F66" s="77">
        <f t="shared" si="16"/>
        <v>1.2927598169003268E-2</v>
      </c>
      <c r="G66" s="77">
        <f t="shared" si="16"/>
        <v>1.840348036286055E-2</v>
      </c>
      <c r="H66" s="77">
        <f t="shared" si="16"/>
        <v>1.2306621837741104E-2</v>
      </c>
      <c r="I66" s="77">
        <f t="shared" si="16"/>
        <v>6.6049300688793998E-3</v>
      </c>
      <c r="J66" s="77">
        <f t="shared" si="16"/>
        <v>1.7500242062842854E-3</v>
      </c>
      <c r="K66" s="77">
        <f t="shared" si="16"/>
        <v>0</v>
      </c>
      <c r="L66" s="77">
        <f t="shared" si="16"/>
        <v>0</v>
      </c>
      <c r="M66" s="77">
        <f t="shared" si="16"/>
        <v>0</v>
      </c>
      <c r="N66" s="77">
        <f t="shared" si="16"/>
        <v>0</v>
      </c>
      <c r="O66" s="77">
        <f t="shared" si="16"/>
        <v>0</v>
      </c>
      <c r="P66" s="77">
        <f t="shared" si="16"/>
        <v>0</v>
      </c>
      <c r="Q66" s="13"/>
      <c r="R66" s="13"/>
      <c r="S66" s="852">
        <f>IF('Input 5_Product Uptake'!$M$9=0,E66*Ratios!$N$42,E66*Ratios!$N$42*Ratios!$Z$36)</f>
        <v>294.77443537383334</v>
      </c>
      <c r="T66" s="852">
        <f>IF('Input 5_Product Uptake'!$M$9=0,F66*Ratios!$N$42,F66*Ratios!$N$42*Ratios!$Z$36)</f>
        <v>854.47273038744072</v>
      </c>
      <c r="U66" s="852">
        <f>IF('Input 5_Product Uptake'!$M$9=0,G66*Ratios!$N$42,G66*Ratios!$N$42*Ratios!$Z$36)</f>
        <v>1216.4109611629071</v>
      </c>
      <c r="V66" s="852">
        <f>IF('Input 5_Product Uptake'!$M$9=0,H66*Ratios!$N$42,H66*Ratios!$N$42*Ratios!$Z$36)</f>
        <v>813.42818875310968</v>
      </c>
      <c r="W66" s="852">
        <f>IF('Input 5_Product Uptake'!$M$9=0,I66*Ratios!$N$42,I66*Ratios!$N$42*Ratios!$Z$36)</f>
        <v>436.56467011061392</v>
      </c>
      <c r="X66" s="852">
        <f>IF('Input 5_Product Uptake'!$M$9=0,J66*Ratios!$N$42,J66*Ratios!$N$42*Ratios!$Z$36)</f>
        <v>115.6709809694789</v>
      </c>
      <c r="Y66" s="852">
        <f>IF('Input 5_Product Uptake'!$M$9=0,K66*Ratios!$N$42,K66*Ratios!$N$42*Ratios!$Z$36)</f>
        <v>0</v>
      </c>
      <c r="Z66" s="852">
        <f>IF('Input 5_Product Uptake'!$M$9=0,L66*Ratios!$N$42,L66*Ratios!$N$42*Ratios!$Z$36)</f>
        <v>0</v>
      </c>
      <c r="AA66" s="852">
        <f>IF('Input 5_Product Uptake'!$M$9=0,M66*Ratios!$N$42,M66*Ratios!$N$42*Ratios!$Z$36)</f>
        <v>0</v>
      </c>
      <c r="AB66" s="852">
        <f>IF('Input 5_Product Uptake'!$M$9=0,N66*Ratios!$N$42,N66*Ratios!$N$42*Ratios!$Z$36)</f>
        <v>0</v>
      </c>
      <c r="AC66" s="852">
        <f>IF('Input 5_Product Uptake'!$M$9=0,O66*Ratios!$N$42,O66*Ratios!$N$42*Ratios!$Z$36)</f>
        <v>0</v>
      </c>
      <c r="AD66" s="852">
        <f>IF('Input 5_Product Uptake'!$M$9=0,P66*Ratios!$N$42,P66*Ratios!$N$42*Ratios!$Z$36)</f>
        <v>0</v>
      </c>
      <c r="AE66" s="297"/>
      <c r="AF66" s="860">
        <f>Ratios!$P$42*E66</f>
        <v>2004.5053284575426</v>
      </c>
      <c r="AG66" s="860">
        <f>Ratios!$P$42*F66</f>
        <v>5810.528104009838</v>
      </c>
      <c r="AH66" s="860">
        <f>Ratios!$P$42*G66</f>
        <v>8271.7561655336576</v>
      </c>
      <c r="AI66" s="860">
        <f>Ratios!$P$42*H66</f>
        <v>5531.4197671360034</v>
      </c>
      <c r="AJ66" s="860">
        <f>Ratios!$P$42*I66</f>
        <v>2968.697764930791</v>
      </c>
      <c r="AK66" s="860">
        <f>Ratios!$P$42*J66</f>
        <v>786.57804028080784</v>
      </c>
      <c r="AL66" s="860">
        <f>Ratios!$P$42*K66</f>
        <v>0</v>
      </c>
      <c r="AM66" s="860">
        <f>Ratios!$P$42*L66</f>
        <v>0</v>
      </c>
      <c r="AN66" s="860">
        <f>Ratios!$P$42*M66</f>
        <v>0</v>
      </c>
      <c r="AO66" s="860">
        <f>Ratios!$P$42*N66</f>
        <v>0</v>
      </c>
      <c r="AP66" s="860">
        <f>Ratios!$P$42*O66</f>
        <v>0</v>
      </c>
      <c r="AQ66" s="860">
        <f>Ratios!$P$42*P66</f>
        <v>0</v>
      </c>
      <c r="AS66" s="275">
        <f t="shared" si="19"/>
        <v>294.77443537383334</v>
      </c>
      <c r="AT66" s="275">
        <f t="shared" si="17"/>
        <v>854.47273038744072</v>
      </c>
      <c r="AU66" s="275">
        <f t="shared" si="17"/>
        <v>1216.4109611629071</v>
      </c>
      <c r="AV66" s="275">
        <f t="shared" si="17"/>
        <v>813.42818875310968</v>
      </c>
      <c r="AW66" s="275">
        <f t="shared" si="17"/>
        <v>436.56467011061392</v>
      </c>
      <c r="AX66" s="275">
        <f t="shared" si="17"/>
        <v>115.6709809694789</v>
      </c>
      <c r="AY66" s="275">
        <f t="shared" si="17"/>
        <v>0</v>
      </c>
      <c r="AZ66" s="275">
        <f t="shared" si="17"/>
        <v>0</v>
      </c>
      <c r="BA66" s="275">
        <f t="shared" si="17"/>
        <v>0</v>
      </c>
      <c r="BB66" s="275">
        <f t="shared" si="17"/>
        <v>0</v>
      </c>
      <c r="BC66" s="275">
        <f t="shared" si="17"/>
        <v>0</v>
      </c>
      <c r="BD66" s="275">
        <f t="shared" si="17"/>
        <v>0</v>
      </c>
      <c r="BE66" s="276"/>
      <c r="BF66" s="557">
        <f>IF($B64=0,1,IF(AND(BF65&gt;0,$B64&lt;='Input 4_RSV Season'!$AG$27-1),BF65+1,0))</f>
        <v>0</v>
      </c>
      <c r="BG66" s="549">
        <f>IF(AND($BF66&gt;0,$BF66&lt;='Input 6_Product Efficacy'!$Q$9/30),SUM($AS64:$BD64),0)</f>
        <v>0</v>
      </c>
      <c r="BH66" s="554">
        <f>IF(AND($BF66&gt;0,$BF66&gt;'Input 6_Product Efficacy'!$Q$9/30),SUM($AS64:$BD64),0)</f>
        <v>0</v>
      </c>
      <c r="BJ66" s="549">
        <f>IF(AND($BF66&gt;0,$BF66&lt;='Input 6_Product Efficacy'!$Q$12/30),SUM($AS64:$BD64),0)</f>
        <v>0</v>
      </c>
      <c r="BK66" s="554">
        <f>IF(AND($BF66&gt;0,$BF66&gt;'Input 6_Product Efficacy'!$Q$12/30),SUM($AS64:$BD64),0)</f>
        <v>0</v>
      </c>
      <c r="BL66" s="276"/>
      <c r="BM66" s="276"/>
      <c r="BN66" s="93"/>
      <c r="BO66" s="35">
        <f t="shared" si="20"/>
        <v>2004.5053284575426</v>
      </c>
      <c r="BP66" s="35">
        <f t="shared" si="18"/>
        <v>5810.528104009838</v>
      </c>
      <c r="BQ66" s="35">
        <f t="shared" si="18"/>
        <v>8271.7561655336576</v>
      </c>
      <c r="BR66" s="35">
        <f t="shared" si="18"/>
        <v>5531.4197671360034</v>
      </c>
      <c r="BS66" s="35">
        <f t="shared" si="18"/>
        <v>2968.697764930791</v>
      </c>
      <c r="BT66" s="35">
        <f t="shared" si="18"/>
        <v>786.57804028080784</v>
      </c>
      <c r="BU66" s="35">
        <f t="shared" si="18"/>
        <v>0</v>
      </c>
      <c r="BV66" s="35">
        <f t="shared" si="18"/>
        <v>0</v>
      </c>
      <c r="BW66" s="35">
        <f t="shared" si="18"/>
        <v>0</v>
      </c>
      <c r="BX66" s="35">
        <f t="shared" si="18"/>
        <v>0</v>
      </c>
      <c r="BY66" s="35">
        <f t="shared" si="18"/>
        <v>0</v>
      </c>
      <c r="BZ66" s="35">
        <f t="shared" si="18"/>
        <v>0</v>
      </c>
      <c r="CA66" s="244"/>
      <c r="CB66" s="557">
        <f>IF($B64=0,1,IF(AND(CB65&gt;0,$B64&lt;='Input 4_RSV Season'!$AG$27-1),CB65+1,0))</f>
        <v>0</v>
      </c>
      <c r="CC66" s="549">
        <f>IF(AND($CB66&gt;0,$CB66&lt;='Input 6_Product Efficacy'!$Q$12/30),SUM($BO64:$BZ64),0)</f>
        <v>0</v>
      </c>
      <c r="CD66" s="554">
        <f>IF(AND($CB66&gt;0,$CB66&gt;'Input 6_Product Efficacy'!$Q$12/30),SUM($BO64:$BZ64),0)</f>
        <v>0</v>
      </c>
      <c r="CF66" s="690">
        <f>IF(AND($CB66&gt;0,$CB66&gt;'Input 6_Product Efficacy'!$Q$15/30),SUM($BO64:$BZ64),0)</f>
        <v>0</v>
      </c>
      <c r="CG66" s="689"/>
    </row>
    <row r="67" spans="2:85" x14ac:dyDescent="0.3">
      <c r="B67" s="26">
        <v>11</v>
      </c>
      <c r="C67" s="293">
        <f>'Input 2_RSV Rates'!H21*'Input 3_Clinical Severity'!$H$11</f>
        <v>90.3</v>
      </c>
      <c r="E67" s="77">
        <f t="shared" si="16"/>
        <v>4.7635964194732037E-3</v>
      </c>
      <c r="F67" s="77">
        <f t="shared" si="16"/>
        <v>1.3808399747586882E-2</v>
      </c>
      <c r="G67" s="77">
        <f t="shared" si="16"/>
        <v>1.9657372566433729E-2</v>
      </c>
      <c r="H67" s="77">
        <f t="shared" si="16"/>
        <v>1.3145114170191879E-2</v>
      </c>
      <c r="I67" s="77">
        <f t="shared" si="16"/>
        <v>7.0549465959286696E-3</v>
      </c>
      <c r="J67" s="77">
        <f t="shared" si="16"/>
        <v>1.8692593544768269E-3</v>
      </c>
      <c r="K67" s="77">
        <f t="shared" si="16"/>
        <v>0</v>
      </c>
      <c r="L67" s="77">
        <f t="shared" si="16"/>
        <v>0</v>
      </c>
      <c r="M67" s="77">
        <f t="shared" si="16"/>
        <v>0</v>
      </c>
      <c r="N67" s="77">
        <f t="shared" si="16"/>
        <v>0</v>
      </c>
      <c r="O67" s="77">
        <f t="shared" si="16"/>
        <v>0</v>
      </c>
      <c r="P67" s="77">
        <f t="shared" si="16"/>
        <v>0</v>
      </c>
      <c r="Q67" s="13"/>
      <c r="R67" s="13"/>
      <c r="S67" s="852">
        <f>IF('Input 5_Product Uptake'!$M$9=0,E67*Ratios!$N$42,E67*Ratios!$N$42*Ratios!$Z$36)</f>
        <v>314.85842813173815</v>
      </c>
      <c r="T67" s="852">
        <f>IF('Input 5_Product Uptake'!$M$9=0,F67*Ratios!$N$42,F67*Ratios!$N$42*Ratios!$Z$36)</f>
        <v>912.69088660972204</v>
      </c>
      <c r="U67" s="852">
        <f>IF('Input 5_Product Uptake'!$M$9=0,G67*Ratios!$N$42,G67*Ratios!$N$42*Ratios!$Z$36)</f>
        <v>1299.2892097588181</v>
      </c>
      <c r="V67" s="852">
        <f>IF('Input 5_Product Uptake'!$M$9=0,H67*Ratios!$N$42,H67*Ratios!$N$42*Ratios!$Z$36)</f>
        <v>868.84983965466972</v>
      </c>
      <c r="W67" s="852">
        <f>IF('Input 5_Product Uptake'!$M$9=0,I67*Ratios!$N$42,I67*Ratios!$N$42*Ratios!$Z$36)</f>
        <v>466.30931761282744</v>
      </c>
      <c r="X67" s="852">
        <f>IF('Input 5_Product Uptake'!$M$9=0,J67*Ratios!$N$42,J67*Ratios!$N$42*Ratios!$Z$36)</f>
        <v>123.55204141878332</v>
      </c>
      <c r="Y67" s="852">
        <f>IF('Input 5_Product Uptake'!$M$9=0,K67*Ratios!$N$42,K67*Ratios!$N$42*Ratios!$Z$36)</f>
        <v>0</v>
      </c>
      <c r="Z67" s="852">
        <f>IF('Input 5_Product Uptake'!$M$9=0,L67*Ratios!$N$42,L67*Ratios!$N$42*Ratios!$Z$36)</f>
        <v>0</v>
      </c>
      <c r="AA67" s="852">
        <f>IF('Input 5_Product Uptake'!$M$9=0,M67*Ratios!$N$42,M67*Ratios!$N$42*Ratios!$Z$36)</f>
        <v>0</v>
      </c>
      <c r="AB67" s="852">
        <f>IF('Input 5_Product Uptake'!$M$9=0,N67*Ratios!$N$42,N67*Ratios!$N$42*Ratios!$Z$36)</f>
        <v>0</v>
      </c>
      <c r="AC67" s="852">
        <f>IF('Input 5_Product Uptake'!$M$9=0,O67*Ratios!$N$42,O67*Ratios!$N$42*Ratios!$Z$36)</f>
        <v>0</v>
      </c>
      <c r="AD67" s="852">
        <f>IF('Input 5_Product Uptake'!$M$9=0,P67*Ratios!$N$42,P67*Ratios!$N$42*Ratios!$Z$36)</f>
        <v>0</v>
      </c>
      <c r="AE67" s="297"/>
      <c r="AF67" s="860">
        <f>Ratios!$P$42*E67</f>
        <v>2141.079147855643</v>
      </c>
      <c r="AG67" s="860">
        <f>Ratios!$P$42*F67</f>
        <v>6206.4193020119274</v>
      </c>
      <c r="AH67" s="860">
        <f>Ratios!$P$42*G67</f>
        <v>8835.3392683663242</v>
      </c>
      <c r="AI67" s="860">
        <f>Ratios!$P$42*H67</f>
        <v>5908.2943573737994</v>
      </c>
      <c r="AJ67" s="860">
        <f>Ratios!$P$42*I67</f>
        <v>3170.9653202419017</v>
      </c>
      <c r="AK67" s="860">
        <f>Ratios!$P$42*J67</f>
        <v>840.17029852563201</v>
      </c>
      <c r="AL67" s="860">
        <f>Ratios!$P$42*K67</f>
        <v>0</v>
      </c>
      <c r="AM67" s="860">
        <f>Ratios!$P$42*L67</f>
        <v>0</v>
      </c>
      <c r="AN67" s="860">
        <f>Ratios!$P$42*M67</f>
        <v>0</v>
      </c>
      <c r="AO67" s="860">
        <f>Ratios!$P$42*N67</f>
        <v>0</v>
      </c>
      <c r="AP67" s="860">
        <f>Ratios!$P$42*O67</f>
        <v>0</v>
      </c>
      <c r="AQ67" s="860">
        <f>Ratios!$P$42*P67</f>
        <v>0</v>
      </c>
      <c r="AS67" s="275">
        <f t="shared" si="19"/>
        <v>314.85842813173815</v>
      </c>
      <c r="AT67" s="275">
        <f t="shared" si="17"/>
        <v>912.69088660972204</v>
      </c>
      <c r="AU67" s="275">
        <f t="shared" si="17"/>
        <v>1299.2892097588181</v>
      </c>
      <c r="AV67" s="275">
        <f t="shared" si="17"/>
        <v>868.84983965466972</v>
      </c>
      <c r="AW67" s="275">
        <f t="shared" si="17"/>
        <v>466.30931761282744</v>
      </c>
      <c r="AX67" s="275">
        <f t="shared" si="17"/>
        <v>123.55204141878332</v>
      </c>
      <c r="AY67" s="275">
        <f t="shared" si="17"/>
        <v>0</v>
      </c>
      <c r="AZ67" s="275">
        <f t="shared" si="17"/>
        <v>0</v>
      </c>
      <c r="BA67" s="275">
        <f t="shared" si="17"/>
        <v>0</v>
      </c>
      <c r="BB67" s="275">
        <f t="shared" si="17"/>
        <v>0</v>
      </c>
      <c r="BC67" s="275">
        <f t="shared" si="17"/>
        <v>0</v>
      </c>
      <c r="BD67" s="275">
        <f t="shared" si="17"/>
        <v>0</v>
      </c>
      <c r="BE67" s="276"/>
      <c r="BF67" s="557">
        <f>IF($B65=0,1,IF(AND(BF66&gt;0,$B65&lt;='Input 4_RSV Season'!$AG$27-1),BF66+1,0))</f>
        <v>0</v>
      </c>
      <c r="BG67" s="549">
        <f>IF(AND($BF67&gt;0,$BF67&lt;='Input 6_Product Efficacy'!$Q$9/30),SUM($AS65:$BD65),0)</f>
        <v>0</v>
      </c>
      <c r="BH67" s="554">
        <f>IF(AND($BF67&gt;0,$BF67&gt;'Input 6_Product Efficacy'!$Q$9/30),SUM($AS65:$BD65),0)</f>
        <v>0</v>
      </c>
      <c r="BJ67" s="549">
        <f>IF(AND($BF67&gt;0,$BF67&lt;='Input 6_Product Efficacy'!$Q$12/30),SUM($AS65:$BD65),0)</f>
        <v>0</v>
      </c>
      <c r="BK67" s="554">
        <f>IF(AND($BF67&gt;0,$BF67&gt;'Input 6_Product Efficacy'!$Q$12/30),SUM($AS65:$BD65),0)</f>
        <v>0</v>
      </c>
      <c r="BL67" s="276"/>
      <c r="BM67" s="276"/>
      <c r="BN67" s="93"/>
      <c r="BO67" s="35">
        <f t="shared" si="20"/>
        <v>2141.079147855643</v>
      </c>
      <c r="BP67" s="35">
        <f t="shared" si="18"/>
        <v>6206.4193020119274</v>
      </c>
      <c r="BQ67" s="35">
        <f t="shared" si="18"/>
        <v>8835.3392683663242</v>
      </c>
      <c r="BR67" s="35">
        <f t="shared" si="18"/>
        <v>5908.2943573737994</v>
      </c>
      <c r="BS67" s="35">
        <f t="shared" si="18"/>
        <v>3170.9653202419017</v>
      </c>
      <c r="BT67" s="35">
        <f t="shared" si="18"/>
        <v>840.17029852563201</v>
      </c>
      <c r="BU67" s="35">
        <f t="shared" si="18"/>
        <v>0</v>
      </c>
      <c r="BV67" s="35">
        <f t="shared" si="18"/>
        <v>0</v>
      </c>
      <c r="BW67" s="35">
        <f t="shared" si="18"/>
        <v>0</v>
      </c>
      <c r="BX67" s="35">
        <f t="shared" si="18"/>
        <v>0</v>
      </c>
      <c r="BY67" s="35">
        <f t="shared" si="18"/>
        <v>0</v>
      </c>
      <c r="BZ67" s="35">
        <f t="shared" si="18"/>
        <v>0</v>
      </c>
      <c r="CA67" s="244"/>
      <c r="CB67" s="557">
        <f>IF($B65=0,1,IF(AND(CB66&gt;0,$B65&lt;='Input 4_RSV Season'!$AG$27-1),CB66+1,0))</f>
        <v>0</v>
      </c>
      <c r="CC67" s="549">
        <f>IF(AND($CB67&gt;0,$CB67&lt;='Input 6_Product Efficacy'!$Q$12/30),SUM($BO65:$BZ65),0)</f>
        <v>0</v>
      </c>
      <c r="CD67" s="554">
        <f>IF(AND($CB67&gt;0,$CB67&gt;'Input 6_Product Efficacy'!$Q$12/30),SUM($BO65:$BZ65),0)</f>
        <v>0</v>
      </c>
      <c r="CF67" s="690">
        <f>IF(AND($CB67&gt;0,$CB67&gt;'Input 6_Product Efficacy'!$Q$15/30),SUM($BO65:$BZ65),0)</f>
        <v>0</v>
      </c>
      <c r="CG67" s="689"/>
    </row>
    <row r="68" spans="2:85" ht="15" thickBot="1" x14ac:dyDescent="0.35">
      <c r="E68" s="246"/>
      <c r="F68" s="246"/>
      <c r="G68" s="246"/>
      <c r="H68" s="246"/>
      <c r="I68" s="246"/>
      <c r="J68" s="246"/>
      <c r="K68" s="43"/>
      <c r="L68" s="43"/>
      <c r="M68" s="43"/>
      <c r="N68" s="43"/>
      <c r="O68" s="43"/>
      <c r="P68" s="4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S68" s="2" t="s">
        <v>31</v>
      </c>
      <c r="AT68" s="20">
        <f>BG73</f>
        <v>2.2391977745794285</v>
      </c>
      <c r="AU68" s="32"/>
      <c r="AV68" s="32"/>
      <c r="AW68" s="47" t="s">
        <v>22</v>
      </c>
      <c r="AX68" s="48">
        <f>SUM(AS56:BD67)</f>
        <v>66096.789149605931</v>
      </c>
      <c r="AY68" s="48"/>
      <c r="AZ68" s="48"/>
      <c r="BA68" s="48"/>
      <c r="BB68" s="48"/>
      <c r="BC68" s="48"/>
      <c r="BD68" s="48"/>
      <c r="BE68" s="48"/>
      <c r="BF68" s="557">
        <f>IF($B66=0,1,IF(AND(BF67&gt;0,$B66&lt;='Input 4_RSV Season'!$AG$27-1),BF67+1,0))</f>
        <v>0</v>
      </c>
      <c r="BG68" s="549">
        <f>IF(AND($BF68&gt;0,$BF68&lt;='Input 6_Product Efficacy'!$Q$9/30),SUM($AS66:$BD66),0)</f>
        <v>0</v>
      </c>
      <c r="BH68" s="554">
        <f>IF(AND($BF68&gt;0,$BF68&gt;'Input 6_Product Efficacy'!$Q$9/30),SUM($AS66:$BD66),0)</f>
        <v>0</v>
      </c>
      <c r="BJ68" s="549">
        <f>IF(AND($BF68&gt;0,$BF68&lt;='Input 6_Product Efficacy'!$Q$12/30),SUM($AS66:$BD66),0)</f>
        <v>0</v>
      </c>
      <c r="BK68" s="554">
        <f>IF(AND($BF68&gt;0,$BF68&gt;'Input 6_Product Efficacy'!$Q$12/30),SUM($AS66:$BD66),0)</f>
        <v>0</v>
      </c>
      <c r="BL68" s="48"/>
      <c r="BM68" s="48"/>
      <c r="BN68" s="32"/>
      <c r="BO68" s="47" t="s">
        <v>35</v>
      </c>
      <c r="BP68" s="20">
        <f>SUM(BT69:BT70)</f>
        <v>0.15069991467142554</v>
      </c>
      <c r="BQ68" s="32"/>
      <c r="BR68" s="32"/>
      <c r="BS68" s="47" t="s">
        <v>23</v>
      </c>
      <c r="BT68" s="48">
        <f>SUM(BO56:BZ67)</f>
        <v>449466.9487748965</v>
      </c>
      <c r="BU68" s="48"/>
      <c r="BV68" s="48"/>
      <c r="BW68" s="510" t="s">
        <v>278</v>
      </c>
      <c r="BX68" s="510" t="s">
        <v>279</v>
      </c>
      <c r="BY68" s="510" t="s">
        <v>280</v>
      </c>
      <c r="BZ68" s="48"/>
      <c r="CA68" s="36"/>
      <c r="CB68" s="557">
        <f>IF($B66=0,1,IF(AND(CB67&gt;0,$B66&lt;='Input 4_RSV Season'!$AG$27-1),CB67+1,0))</f>
        <v>0</v>
      </c>
      <c r="CC68" s="549">
        <f>IF(AND($CB68&gt;0,$CB68&lt;='Input 6_Product Efficacy'!$Q$12/30),SUM($BO66:$BZ66),0)</f>
        <v>0</v>
      </c>
      <c r="CD68" s="554">
        <f>IF(AND($CB68&gt;0,$CB68&gt;'Input 6_Product Efficacy'!$Q$12/30),SUM($BO66:$BZ66),0)</f>
        <v>0</v>
      </c>
      <c r="CF68" s="690">
        <f>IF(AND($CB68&gt;0,$CB68&gt;'Input 6_Product Efficacy'!$Q$15/30),SUM($BO66:$BZ66),0)</f>
        <v>0</v>
      </c>
      <c r="CG68" s="689"/>
    </row>
    <row r="69" spans="2:85" x14ac:dyDescent="0.3">
      <c r="B69" s="115" t="s">
        <v>247</v>
      </c>
      <c r="C69" s="115" t="s">
        <v>250</v>
      </c>
      <c r="AS69" s="512" t="s">
        <v>117</v>
      </c>
      <c r="AV69" s="2" t="s">
        <v>291</v>
      </c>
      <c r="AW69" s="70">
        <f>BG72</f>
        <v>1.7388614883239231</v>
      </c>
      <c r="BC69" s="70"/>
      <c r="BD69" s="70"/>
      <c r="BE69" s="70"/>
      <c r="BF69" s="557">
        <f>IF($B67=0,1,IF(AND(BF68&gt;0,$B67&lt;='Input 4_RSV Season'!$AG$27-1),BF68+1,0))</f>
        <v>0</v>
      </c>
      <c r="BG69" s="549">
        <f>IF(AND($BF69&gt;0,$BF69&lt;='Input 6_Product Efficacy'!$Q$9/30),SUM($AS67:$BD67),0)</f>
        <v>0</v>
      </c>
      <c r="BH69" s="554">
        <f>IF(AND($BF69&gt;0,$BF69&gt;'Input 6_Product Efficacy'!$Q$9/30),SUM($AS67:$BD67),0)</f>
        <v>0</v>
      </c>
      <c r="BJ69" s="549">
        <f>IF(AND($BF69&gt;0,$BF69&lt;='Input 6_Product Efficacy'!$Q$12/30),SUM($AS67:$BD67),0)</f>
        <v>0</v>
      </c>
      <c r="BK69" s="554">
        <f>IF(AND($BF69&gt;0,$BF69&gt;'Input 6_Product Efficacy'!$Q$12/30),SUM($AS67:$BD67),0)</f>
        <v>0</v>
      </c>
      <c r="BL69" s="70"/>
      <c r="BM69" s="70"/>
      <c r="BP69" s="512" t="s">
        <v>277</v>
      </c>
      <c r="BS69" s="2" t="s">
        <v>286</v>
      </c>
      <c r="BT69" s="617">
        <f>IF('Input 6_Product Efficacy'!$Q$15=120,'WiS percent RSV_high'!BY69,IF('Input 6_Product Efficacy'!$Q$15=60,'WiS percent RSV_high'!BX69,'WiS percent RSV_high'!BW69))</f>
        <v>5.906765590626744E-2</v>
      </c>
      <c r="BV69" s="510" t="s">
        <v>281</v>
      </c>
      <c r="BW69" s="70">
        <f>SUM(BO56:BZ58)/((1-'Input 1_Population'!$G$24)*'WiS percent RSV_base'!$BB$5)</f>
        <v>5.906765590626744E-2</v>
      </c>
      <c r="BX69" s="70">
        <f>SUM(BO56:BZ57)/((1-'Input 1_Population'!$G$24)*'WiS percent RSV_base'!$BB$5)</f>
        <v>3.179567479383863E-2</v>
      </c>
      <c r="BY69" s="70">
        <f>SUM(BO56:BZ59)/((1-'Input 1_Population'!$G$24)*'WiS percent RSV_base'!$BB$5)</f>
        <v>8.6159887600891882E-2</v>
      </c>
      <c r="BZ69" s="70"/>
      <c r="CB69" s="557">
        <f>IF($B67=0,1,IF(AND(CB68&gt;0,$B67&lt;='Input 4_RSV Season'!$AG$27-1),CB68+1,0))</f>
        <v>0</v>
      </c>
      <c r="CC69" s="550">
        <f>IF(AND($CB69&gt;0,$CB69&lt;='Input 6_Product Efficacy'!$Q$12/30),SUM($BO67:$BZ67),0)</f>
        <v>0</v>
      </c>
      <c r="CD69" s="555">
        <f>IF(AND($CB69&gt;0,$CB69&gt;'Input 6_Product Efficacy'!$Q$12/30),SUM($BO67:$BZ67),0)</f>
        <v>0</v>
      </c>
      <c r="CF69" s="691">
        <f>IF(AND($CB69&gt;0,$CB69&gt;'Input 6_Product Efficacy'!$Q$15/30),SUM($BO67:$BZ67),0)</f>
        <v>0</v>
      </c>
      <c r="CG69" s="689"/>
    </row>
    <row r="70" spans="2:85" ht="15" thickBot="1" x14ac:dyDescent="0.35">
      <c r="B70" s="24" t="s">
        <v>248</v>
      </c>
      <c r="C70" s="429">
        <f>SUM(C56:C61)/SUM(C56:C67)</f>
        <v>0.65501537516401853</v>
      </c>
      <c r="AS70" s="70"/>
      <c r="AT70" s="494"/>
      <c r="AU70" s="494"/>
      <c r="AV70" s="12" t="s">
        <v>292</v>
      </c>
      <c r="AW70" s="282">
        <f>BH72</f>
        <v>0.50033628625550552</v>
      </c>
      <c r="BC70" s="70"/>
      <c r="BD70" s="70"/>
      <c r="BE70" s="70"/>
      <c r="BF70" s="2"/>
      <c r="BG70" s="5">
        <f>SUM(BG58:BG69)</f>
        <v>33620.517368676781</v>
      </c>
      <c r="BH70" s="5">
        <f t="shared" ref="BH70" si="21">SUM(BH58:BH69)</f>
        <v>9673.8957732893687</v>
      </c>
      <c r="BI70" s="5"/>
      <c r="BJ70" s="5">
        <f t="shared" ref="BJ70:BK70" si="22">SUM(BJ58:BJ69)</f>
        <v>33620.517368676781</v>
      </c>
      <c r="BK70" s="5">
        <f t="shared" si="22"/>
        <v>9673.8957732893687</v>
      </c>
      <c r="BL70" s="70"/>
      <c r="BM70" s="70"/>
      <c r="BO70" s="12"/>
      <c r="BP70" s="282"/>
      <c r="BQ70" s="494"/>
      <c r="BR70" s="494"/>
      <c r="BS70" s="12" t="s">
        <v>287</v>
      </c>
      <c r="BT70" s="618">
        <f>CF72</f>
        <v>9.1632258765158112E-2</v>
      </c>
      <c r="BU70" s="494"/>
      <c r="BV70" s="509"/>
      <c r="BW70" s="282"/>
      <c r="BX70" s="282"/>
      <c r="BY70" s="282"/>
      <c r="BZ70" s="282"/>
      <c r="CB70" s="2"/>
      <c r="CC70" s="5">
        <f t="shared" ref="CC70:CD70" si="23">SUM(CC58:CC69)</f>
        <v>228623.98540614525</v>
      </c>
      <c r="CD70" s="5">
        <f t="shared" si="23"/>
        <v>65783.776669470244</v>
      </c>
      <c r="CF70" s="692">
        <f t="shared" ref="CF70" si="24">SUM(CF58:CF69)</f>
        <v>179013.02927611477</v>
      </c>
      <c r="CG70" s="689"/>
    </row>
    <row r="71" spans="2:85" ht="15" thickBot="1" x14ac:dyDescent="0.35">
      <c r="B71" s="24" t="s">
        <v>249</v>
      </c>
      <c r="C71" s="429">
        <f>SUM(C62:C67)/SUM(C56:C67)</f>
        <v>0.34498462483598152</v>
      </c>
      <c r="AS71" s="70"/>
      <c r="AU71" s="13"/>
      <c r="AV71" s="14"/>
      <c r="AW71" s="70"/>
      <c r="AX71" s="13"/>
      <c r="AY71" s="510"/>
      <c r="AZ71" s="510"/>
      <c r="BA71" s="510"/>
      <c r="BB71" s="510"/>
      <c r="BC71" s="70"/>
      <c r="BD71" s="70"/>
      <c r="BE71" s="70"/>
      <c r="BL71" s="70"/>
      <c r="BM71" s="70"/>
      <c r="BO71" s="2"/>
      <c r="BP71" s="70"/>
      <c r="BR71" s="13"/>
      <c r="BS71" s="14"/>
      <c r="BT71" s="70"/>
      <c r="BU71" s="13"/>
      <c r="BV71" s="510"/>
      <c r="BW71" s="510"/>
      <c r="BX71" s="510"/>
      <c r="BY71" s="510"/>
      <c r="BZ71" s="510"/>
      <c r="CF71" s="689"/>
      <c r="CG71" s="689"/>
    </row>
    <row r="72" spans="2:85" ht="16.2" thickBot="1" x14ac:dyDescent="0.35">
      <c r="AS72" s="512" t="s">
        <v>216</v>
      </c>
      <c r="AV72" s="2" t="s">
        <v>291</v>
      </c>
      <c r="AW72" s="70">
        <f>BJ72</f>
        <v>1.7388614883239231</v>
      </c>
      <c r="AY72" s="510"/>
      <c r="AZ72" s="70"/>
      <c r="BA72" s="70"/>
      <c r="BB72" s="70"/>
      <c r="BC72" s="70"/>
      <c r="BD72" s="70"/>
      <c r="BE72" s="70"/>
      <c r="BG72" s="864">
        <f>BG70/('Input 1_Population'!$G$24*$BB$5)</f>
        <v>1.7388614883239231</v>
      </c>
      <c r="BH72" s="865">
        <f>BH70/('Input 1_Population'!$G$24*$BB$5)</f>
        <v>0.50033628625550552</v>
      </c>
      <c r="BI72" s="865"/>
      <c r="BJ72" s="866">
        <f>BJ70/('Input 1_Population'!$G$24*$BB$5)</f>
        <v>1.7388614883239231</v>
      </c>
      <c r="BK72" s="867">
        <f>BK70/('Input 1_Population'!$G$24*$BB$5)</f>
        <v>0.50033628625550552</v>
      </c>
      <c r="BL72" s="70"/>
      <c r="BM72" s="70"/>
      <c r="BO72" s="2"/>
      <c r="BP72" s="512" t="s">
        <v>216</v>
      </c>
      <c r="BS72" s="2" t="s">
        <v>286</v>
      </c>
      <c r="BT72" s="70">
        <f>CC72</f>
        <v>0.11702685706940799</v>
      </c>
      <c r="BV72" s="510"/>
      <c r="BW72" s="70"/>
      <c r="BX72" s="70"/>
      <c r="BY72" s="70"/>
      <c r="BZ72" s="70"/>
      <c r="CC72" s="580">
        <f>CC70/((1-'Input 1_Population'!$G$24)*$BB$5)</f>
        <v>0.11702685706940799</v>
      </c>
      <c r="CD72" s="581">
        <f>CD70/((1-'Input 1_Population'!$G$24)*$BB$5)</f>
        <v>3.367305760201756E-2</v>
      </c>
      <c r="CE72" s="27"/>
      <c r="CF72" s="580">
        <f>CF70/((1-'Input 1_Population'!$G$24)*$BB$5)</f>
        <v>9.1632258765158112E-2</v>
      </c>
      <c r="CG72" s="689"/>
    </row>
    <row r="73" spans="2:85" ht="15" thickBot="1" x14ac:dyDescent="0.35">
      <c r="AS73" s="70"/>
      <c r="AT73" s="494"/>
      <c r="AU73" s="494"/>
      <c r="AV73" s="12" t="s">
        <v>292</v>
      </c>
      <c r="AW73" s="282">
        <f>BK72</f>
        <v>0.50033628625550552</v>
      </c>
      <c r="AX73" s="494"/>
      <c r="AY73" s="509"/>
      <c r="AZ73" s="282"/>
      <c r="BA73" s="282"/>
      <c r="BB73" s="282"/>
      <c r="BC73" s="70"/>
      <c r="BD73" s="70"/>
      <c r="BE73" s="70"/>
      <c r="BG73" s="1121">
        <f>SUM(BG72:BH72)</f>
        <v>2.2391977745794285</v>
      </c>
      <c r="BH73" s="1121"/>
      <c r="BJ73" s="1121">
        <f>SUM(BJ72:BK72)</f>
        <v>2.2391977745794285</v>
      </c>
      <c r="BK73" s="1121"/>
      <c r="BL73" s="70"/>
      <c r="BM73" s="70"/>
      <c r="BO73" s="12"/>
      <c r="BP73" s="282"/>
      <c r="BQ73" s="494"/>
      <c r="BR73" s="494"/>
      <c r="BS73" s="12" t="s">
        <v>287</v>
      </c>
      <c r="BT73" s="282">
        <f>CD72</f>
        <v>3.367305760201756E-2</v>
      </c>
      <c r="BU73" s="494"/>
      <c r="BV73" s="509"/>
      <c r="BW73" s="282"/>
      <c r="BX73" s="282"/>
      <c r="BY73" s="282"/>
      <c r="BZ73" s="282"/>
      <c r="CC73" s="582" t="s">
        <v>337</v>
      </c>
      <c r="CD73" s="624">
        <f>SUM(CC72:CD72)</f>
        <v>0.15069991467142554</v>
      </c>
    </row>
    <row r="74" spans="2:85" x14ac:dyDescent="0.3">
      <c r="B74" s="26"/>
    </row>
    <row r="75" spans="2:85" x14ac:dyDescent="0.3">
      <c r="AT75" s="614"/>
      <c r="AU75" s="1"/>
      <c r="BO75" s="614"/>
      <c r="BP75" s="1"/>
    </row>
  </sheetData>
  <mergeCells count="60">
    <mergeCell ref="CF33:CG33"/>
    <mergeCell ref="CF54:CG54"/>
    <mergeCell ref="CF55:CG56"/>
    <mergeCell ref="CF57:CG57"/>
    <mergeCell ref="CF6:CG6"/>
    <mergeCell ref="CF7:CG8"/>
    <mergeCell ref="CF9:CG9"/>
    <mergeCell ref="CF30:CG30"/>
    <mergeCell ref="CF31:CG32"/>
    <mergeCell ref="CC55:CC57"/>
    <mergeCell ref="CD55:CD57"/>
    <mergeCell ref="CC30:CD30"/>
    <mergeCell ref="CC31:CC33"/>
    <mergeCell ref="CD31:CD33"/>
    <mergeCell ref="CC53:CD53"/>
    <mergeCell ref="CC54:CD54"/>
    <mergeCell ref="AS1:BM2"/>
    <mergeCell ref="CC5:CD5"/>
    <mergeCell ref="CC6:CD6"/>
    <mergeCell ref="CC7:CC9"/>
    <mergeCell ref="CD7:CD9"/>
    <mergeCell ref="BG7:BG9"/>
    <mergeCell ref="BH7:BH9"/>
    <mergeCell ref="BJ7:BJ9"/>
    <mergeCell ref="BK7:BK9"/>
    <mergeCell ref="BJ6:BK6"/>
    <mergeCell ref="BG55:BG57"/>
    <mergeCell ref="BH55:BH57"/>
    <mergeCell ref="BJ55:BJ57"/>
    <mergeCell ref="BK55:BK57"/>
    <mergeCell ref="BG73:BH73"/>
    <mergeCell ref="BJ73:BK73"/>
    <mergeCell ref="BG49:BH49"/>
    <mergeCell ref="BJ49:BK49"/>
    <mergeCell ref="BG53:BK53"/>
    <mergeCell ref="BG54:BH54"/>
    <mergeCell ref="BJ54:BK54"/>
    <mergeCell ref="BG29:BK29"/>
    <mergeCell ref="BG30:BH30"/>
    <mergeCell ref="BJ30:BK30"/>
    <mergeCell ref="BG31:BG33"/>
    <mergeCell ref="BH31:BH33"/>
    <mergeCell ref="BJ31:BJ33"/>
    <mergeCell ref="BK31:BK33"/>
    <mergeCell ref="BG25:BH25"/>
    <mergeCell ref="BJ25:BK25"/>
    <mergeCell ref="B54:C54"/>
    <mergeCell ref="B2:C2"/>
    <mergeCell ref="E2:P2"/>
    <mergeCell ref="S2:AQ2"/>
    <mergeCell ref="E3:P3"/>
    <mergeCell ref="S3:AD3"/>
    <mergeCell ref="AF3:AQ3"/>
    <mergeCell ref="E5:P5"/>
    <mergeCell ref="S5:AD5"/>
    <mergeCell ref="AF5:AQ5"/>
    <mergeCell ref="B6:C6"/>
    <mergeCell ref="B30:C30"/>
    <mergeCell ref="BG5:BK5"/>
    <mergeCell ref="BG6:BH6"/>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BJ76"/>
  <sheetViews>
    <sheetView topLeftCell="U55" workbookViewId="0">
      <selection activeCell="H53" sqref="H53"/>
    </sheetView>
  </sheetViews>
  <sheetFormatPr defaultRowHeight="14.4" x14ac:dyDescent="0.3"/>
  <cols>
    <col min="6" max="6" width="10" bestFit="1" customWidth="1"/>
    <col min="9" max="9" width="10" bestFit="1" customWidth="1"/>
    <col min="12" max="12" width="10.109375" bestFit="1" customWidth="1"/>
    <col min="13" max="13" width="9.109375" bestFit="1" customWidth="1"/>
    <col min="18" max="18" width="16" customWidth="1"/>
    <col min="19" max="19" width="11.33203125" customWidth="1"/>
    <col min="27" max="27" width="11" bestFit="1" customWidth="1"/>
    <col min="32" max="32" width="6" customWidth="1"/>
    <col min="33" max="33" width="9.109375" style="538"/>
    <col min="34" max="34" width="16.6640625" customWidth="1"/>
    <col min="35" max="35" width="15" customWidth="1"/>
    <col min="36" max="36" width="2.33203125" customWidth="1"/>
    <col min="37" max="37" width="17.6640625" customWidth="1"/>
    <col min="38" max="38" width="17.44140625" customWidth="1"/>
    <col min="39" max="39" width="21.109375" customWidth="1"/>
    <col min="40" max="40" width="3.5546875" customWidth="1"/>
    <col min="41" max="41" width="9.33203125" customWidth="1"/>
    <col min="42" max="42" width="14.33203125" customWidth="1"/>
    <col min="43" max="43" width="15.109375" customWidth="1"/>
    <col min="58" max="58" width="15.88671875" customWidth="1"/>
    <col min="59" max="59" width="14.88671875" customWidth="1"/>
    <col min="60" max="60" width="4.109375" customWidth="1"/>
    <col min="61" max="61" width="16.109375" customWidth="1"/>
    <col min="62" max="62" width="14.109375" customWidth="1"/>
  </cols>
  <sheetData>
    <row r="1" spans="2:62" ht="15" thickBot="1" x14ac:dyDescent="0.35">
      <c r="U1" s="1142" t="s">
        <v>329</v>
      </c>
      <c r="V1" s="1142"/>
      <c r="W1" s="1142"/>
      <c r="X1" s="1142"/>
      <c r="Y1" s="1142"/>
      <c r="Z1" s="1142"/>
      <c r="AA1" s="1142"/>
      <c r="AB1" s="1142"/>
      <c r="AC1" s="1142"/>
      <c r="AD1" s="1142"/>
      <c r="AE1" s="1142"/>
      <c r="AF1" s="1142"/>
      <c r="AG1" s="1142"/>
      <c r="AH1" s="1142"/>
      <c r="AI1" s="1142"/>
      <c r="AJ1" s="1142"/>
      <c r="AK1" s="1142"/>
      <c r="AL1" s="1142"/>
      <c r="AM1" s="1142"/>
      <c r="AN1" s="599"/>
    </row>
    <row r="2" spans="2:62" ht="18.600000000000001" thickBot="1" x14ac:dyDescent="0.4">
      <c r="R2" s="1130" t="s">
        <v>327</v>
      </c>
      <c r="S2" s="1131"/>
      <c r="U2" s="932"/>
      <c r="V2" s="932"/>
      <c r="W2" s="932"/>
      <c r="X2" s="932"/>
      <c r="Y2" s="932"/>
      <c r="Z2" s="932"/>
      <c r="AA2" s="932"/>
      <c r="AB2" s="932"/>
      <c r="AC2" s="932"/>
      <c r="AD2" s="932"/>
      <c r="AE2" s="932"/>
      <c r="AF2" s="932"/>
      <c r="AG2" s="932"/>
      <c r="AH2" s="932"/>
      <c r="AI2" s="932"/>
      <c r="AJ2" s="932"/>
      <c r="AK2" s="932"/>
      <c r="AL2" s="932"/>
      <c r="AM2" s="932"/>
      <c r="AN2" s="599"/>
    </row>
    <row r="3" spans="2:62" ht="15" thickBot="1" x14ac:dyDescent="0.35">
      <c r="S3" s="1141" t="s">
        <v>293</v>
      </c>
      <c r="T3" s="1141"/>
      <c r="U3" s="1141"/>
      <c r="V3" s="1141"/>
      <c r="W3" s="1141"/>
      <c r="X3" s="1141"/>
      <c r="Y3" s="1141"/>
      <c r="Z3" s="1141"/>
      <c r="AA3" s="1141"/>
      <c r="AB3" s="1141"/>
      <c r="AC3" s="1141"/>
      <c r="AD3" s="1141"/>
      <c r="AE3" s="545"/>
      <c r="AF3" s="545"/>
      <c r="AG3" s="560"/>
      <c r="AH3" s="545"/>
      <c r="AI3" s="545"/>
      <c r="AJ3" s="545"/>
      <c r="AK3" s="545"/>
      <c r="AL3" s="545"/>
      <c r="AM3" s="545"/>
      <c r="AN3" s="600"/>
      <c r="AO3" s="545"/>
      <c r="AP3" s="545"/>
      <c r="AQ3" s="1141" t="s">
        <v>300</v>
      </c>
      <c r="AR3" s="1141"/>
      <c r="AS3" s="1141"/>
      <c r="AT3" s="1141"/>
      <c r="AU3" s="1141"/>
      <c r="AV3" s="1141"/>
      <c r="AW3" s="1141"/>
      <c r="AX3" s="1141"/>
      <c r="AY3" s="1141"/>
      <c r="AZ3" s="1141"/>
      <c r="BA3" s="1141"/>
      <c r="BB3" s="1141"/>
      <c r="BC3" s="545"/>
      <c r="BD3" s="545"/>
      <c r="BE3" s="560"/>
      <c r="BF3" s="545"/>
      <c r="BG3" s="545"/>
      <c r="BH3" s="545"/>
    </row>
    <row r="4" spans="2:62" x14ac:dyDescent="0.3">
      <c r="C4" s="843"/>
      <c r="D4" s="24"/>
      <c r="E4" s="844" t="s">
        <v>156</v>
      </c>
      <c r="F4" s="28">
        <f>'WiS percent RSV_base'!$AY$6</f>
        <v>3945875</v>
      </c>
      <c r="H4" s="40" t="s">
        <v>514</v>
      </c>
      <c r="I4" s="553">
        <f>'WiS percent RSV_base'!$BB$6</f>
        <v>1972937.5</v>
      </c>
      <c r="AG4" s="544"/>
      <c r="AH4" s="230"/>
      <c r="AI4" s="230"/>
      <c r="AJ4" s="230"/>
      <c r="AK4" s="230"/>
      <c r="AL4" s="230"/>
      <c r="AM4" s="230"/>
      <c r="AN4" s="600"/>
      <c r="BE4" s="544"/>
      <c r="BF4" s="230"/>
      <c r="BG4" s="230"/>
      <c r="BH4" s="230"/>
    </row>
    <row r="5" spans="2:62" x14ac:dyDescent="0.3">
      <c r="H5" s="2" t="s">
        <v>515</v>
      </c>
      <c r="I5">
        <f>I4/F4</f>
        <v>0.5</v>
      </c>
      <c r="V5" s="22"/>
      <c r="W5" s="515"/>
      <c r="X5" s="870"/>
      <c r="Y5" s="557"/>
      <c r="Z5" s="515"/>
      <c r="AA5" s="871"/>
      <c r="AB5" s="515"/>
      <c r="AC5" s="872"/>
      <c r="AG5" s="544"/>
      <c r="AH5" s="230"/>
      <c r="AI5" s="230"/>
      <c r="AJ5" s="230"/>
      <c r="AK5" s="230"/>
      <c r="AL5" s="230"/>
      <c r="AN5" s="599"/>
      <c r="AT5" s="515"/>
      <c r="AU5" s="515"/>
      <c r="AV5" s="870"/>
      <c r="AW5" s="557"/>
      <c r="AX5" s="515"/>
      <c r="AY5" s="871"/>
      <c r="AZ5" s="515"/>
      <c r="BA5" s="872"/>
      <c r="BE5" s="544"/>
      <c r="BF5" s="230"/>
      <c r="BG5" s="230"/>
    </row>
    <row r="6" spans="2:62" x14ac:dyDescent="0.3">
      <c r="S6" s="500" t="s">
        <v>321</v>
      </c>
      <c r="T6" s="22"/>
      <c r="U6" s="22"/>
      <c r="AD6" s="22"/>
      <c r="AE6" s="22"/>
      <c r="AM6" s="538"/>
      <c r="AN6" s="601"/>
      <c r="AO6" s="230"/>
      <c r="AQ6" s="500" t="s">
        <v>321</v>
      </c>
      <c r="AR6" s="22"/>
      <c r="AS6" s="22"/>
      <c r="BB6" s="22"/>
      <c r="BC6" s="22"/>
      <c r="BE6" s="538"/>
      <c r="BH6" s="538"/>
    </row>
    <row r="7" spans="2:62" x14ac:dyDescent="0.3">
      <c r="S7" t="s">
        <v>322</v>
      </c>
      <c r="T7" s="28">
        <f>IF(T11&lt;='Input 6_Product Efficacy'!$Q$9/30,1,0)</f>
        <v>1</v>
      </c>
      <c r="U7" s="28">
        <f>IF(U11&lt;='Input 6_Product Efficacy'!$Q$9/30,1,0)</f>
        <v>1</v>
      </c>
      <c r="V7" s="28">
        <f>IF(V11&lt;='Input 6_Product Efficacy'!$Q$9/30,1,0)</f>
        <v>1</v>
      </c>
      <c r="W7" s="28">
        <f>IF(W11&lt;='Input 6_Product Efficacy'!$Q$9/30,1,0)</f>
        <v>1</v>
      </c>
      <c r="X7" s="28">
        <f>IF(X11&lt;='Input 6_Product Efficacy'!$Q$9/30,1,0)</f>
        <v>1</v>
      </c>
      <c r="Y7" s="28">
        <f>IF(Y11&lt;='Input 6_Product Efficacy'!$Q$9/30,1,0)</f>
        <v>0</v>
      </c>
      <c r="Z7" s="28">
        <f>IF(Z11&lt;='Input 6_Product Efficacy'!$Q$9/30,1,0)</f>
        <v>0</v>
      </c>
      <c r="AA7" s="28">
        <f>IF(AA11&lt;='Input 6_Product Efficacy'!$Q$9/30,1,0)</f>
        <v>0</v>
      </c>
      <c r="AB7" s="28">
        <f>IF(AB11&lt;='Input 6_Product Efficacy'!$Q$9/30,1,0)</f>
        <v>0</v>
      </c>
      <c r="AC7" s="28">
        <f>IF(AC11&lt;='Input 6_Product Efficacy'!$Q$9/30,1,0)</f>
        <v>0</v>
      </c>
      <c r="AD7" s="28">
        <f>IF(AD11&lt;='Input 6_Product Efficacy'!$Q$9/30,1,0)</f>
        <v>0</v>
      </c>
      <c r="AE7" s="28">
        <f>IF(AE11&lt;='Input 6_Product Efficacy'!$Q$9/30,1,0)</f>
        <v>0</v>
      </c>
      <c r="AF7" s="22"/>
      <c r="AN7" s="599"/>
      <c r="AQ7" t="s">
        <v>346</v>
      </c>
      <c r="AR7" s="28">
        <f>IF(AR11&lt;=('Input 6_Product Efficacy'!$Q$15/30),1,0)</f>
        <v>1</v>
      </c>
      <c r="AS7" s="28">
        <f>IF(AS11&lt;=('Input 6_Product Efficacy'!$Q$15/30),1,0)</f>
        <v>1</v>
      </c>
      <c r="AT7" s="28">
        <f>IF(AT11&lt;=('Input 6_Product Efficacy'!$Q$15/30),1,0)</f>
        <v>1</v>
      </c>
      <c r="AU7" s="28">
        <f>IF(AU11&lt;=('Input 6_Product Efficacy'!$Q$15/30),1,0)</f>
        <v>0</v>
      </c>
      <c r="AV7" s="28">
        <f>IF(AV11&lt;=('Input 6_Product Efficacy'!$Q$15/30),1,0)</f>
        <v>0</v>
      </c>
      <c r="AW7" s="28">
        <f>IF(AW11&lt;=('Input 6_Product Efficacy'!$Q$15/30),1,0)</f>
        <v>0</v>
      </c>
      <c r="AX7" s="28">
        <f>IF(AX11&lt;=('Input 6_Product Efficacy'!$Q$15/30),1,0)</f>
        <v>0</v>
      </c>
      <c r="AY7" s="28">
        <f>IF(AY11&lt;=('Input 6_Product Efficacy'!$Q$15/30),1,0)</f>
        <v>0</v>
      </c>
      <c r="AZ7" s="28">
        <f>IF(AZ11&lt;=('Input 6_Product Efficacy'!$Q$15/30),1,0)</f>
        <v>0</v>
      </c>
      <c r="BA7" s="28">
        <f>IF(BA11&lt;=('Input 6_Product Efficacy'!$Q$15/30),1,0)</f>
        <v>0</v>
      </c>
      <c r="BB7" s="28">
        <f>IF(BB11&lt;=('Input 6_Product Efficacy'!$Q$15/30),1,0)</f>
        <v>0</v>
      </c>
      <c r="BC7" s="28">
        <f>IF(BC11&lt;=('Input 6_Product Efficacy'!$Q$15/30),1,0)</f>
        <v>0</v>
      </c>
      <c r="BD7" s="22"/>
      <c r="BE7" s="538"/>
    </row>
    <row r="8" spans="2:62" ht="15" customHeight="1" thickBot="1" x14ac:dyDescent="0.35">
      <c r="C8" s="1141" t="s">
        <v>518</v>
      </c>
      <c r="D8" s="1141"/>
      <c r="E8" s="1141"/>
      <c r="F8" s="1141"/>
      <c r="G8" s="1141"/>
      <c r="H8" s="1141"/>
      <c r="I8" s="1141"/>
      <c r="J8" s="1141"/>
      <c r="K8" s="1141"/>
      <c r="L8" s="1141"/>
      <c r="M8" s="1141"/>
      <c r="N8" s="1141"/>
      <c r="O8" s="847"/>
      <c r="P8" s="847"/>
      <c r="S8" t="s">
        <v>323</v>
      </c>
      <c r="T8" s="28">
        <f>IF(T11&lt;='Input 6_Product Efficacy'!$Q$12/30,1,0)</f>
        <v>1</v>
      </c>
      <c r="U8" s="28">
        <f>IF(U11&lt;='Input 6_Product Efficacy'!$Q$12/30,1,0)</f>
        <v>1</v>
      </c>
      <c r="V8" s="28">
        <f>IF(V11&lt;='Input 6_Product Efficacy'!$Q$12/30,1,0)</f>
        <v>1</v>
      </c>
      <c r="W8" s="28">
        <f>IF(W11&lt;='Input 6_Product Efficacy'!$Q$12/30,1,0)</f>
        <v>1</v>
      </c>
      <c r="X8" s="28">
        <f>IF(X11&lt;='Input 6_Product Efficacy'!$Q$12/30,1,0)</f>
        <v>1</v>
      </c>
      <c r="Y8" s="28">
        <f>IF(Y11&lt;='Input 6_Product Efficacy'!$Q$12/30,1,0)</f>
        <v>0</v>
      </c>
      <c r="Z8" s="28">
        <f>IF(Z11&lt;='Input 6_Product Efficacy'!$Q$12/30,1,0)</f>
        <v>0</v>
      </c>
      <c r="AA8" s="28">
        <f>IF(AA11&lt;='Input 6_Product Efficacy'!$Q$12/30,1,0)</f>
        <v>0</v>
      </c>
      <c r="AB8" s="28">
        <f>IF(AB11&lt;='Input 6_Product Efficacy'!$Q$12/30,1,0)</f>
        <v>0</v>
      </c>
      <c r="AC8" s="28">
        <f>IF(AC11&lt;='Input 6_Product Efficacy'!$Q$12/30,1,0)</f>
        <v>0</v>
      </c>
      <c r="AD8" s="28">
        <f>IF(AD11&lt;='Input 6_Product Efficacy'!$Q$12/30,1,0)</f>
        <v>0</v>
      </c>
      <c r="AE8" s="28">
        <f>IF(AE11&lt;='Input 6_Product Efficacy'!$Q$12/30,1,0)</f>
        <v>0</v>
      </c>
      <c r="AF8" s="22"/>
      <c r="AG8" s="1117" t="s">
        <v>316</v>
      </c>
      <c r="AH8" s="1117"/>
      <c r="AI8" s="1117"/>
      <c r="AJ8" s="1117"/>
      <c r="AK8" s="1117"/>
      <c r="AL8" s="1117"/>
      <c r="AM8" s="1117"/>
      <c r="AN8" s="602"/>
      <c r="AQ8" t="s">
        <v>323</v>
      </c>
      <c r="AR8" s="28">
        <f>IF(AR11&lt;='Input 6_Product Efficacy'!$Q$12/30,1,0)</f>
        <v>1</v>
      </c>
      <c r="AS8" s="28">
        <f>IF(AS11&lt;='Input 6_Product Efficacy'!$Q$12/30,1,0)</f>
        <v>1</v>
      </c>
      <c r="AT8" s="28">
        <f>IF(AT11&lt;='Input 6_Product Efficacy'!$Q$12/30,1,0)</f>
        <v>1</v>
      </c>
      <c r="AU8" s="28">
        <f>IF(AU11&lt;='Input 6_Product Efficacy'!$Q$12/30,1,0)</f>
        <v>1</v>
      </c>
      <c r="AV8" s="28">
        <f>IF(AV11&lt;='Input 6_Product Efficacy'!$Q$12/30,1,0)</f>
        <v>1</v>
      </c>
      <c r="AW8" s="28">
        <f>IF(AW11&lt;='Input 6_Product Efficacy'!$Q$12/30,1,0)</f>
        <v>0</v>
      </c>
      <c r="AX8" s="28">
        <f>IF(AX11&lt;='Input 6_Product Efficacy'!$Q$12/30,1,0)</f>
        <v>0</v>
      </c>
      <c r="AY8" s="28">
        <f>IF(AY11&lt;='Input 6_Product Efficacy'!$Q$12/30,1,0)</f>
        <v>0</v>
      </c>
      <c r="AZ8" s="28">
        <f>IF(AZ11&lt;='Input 6_Product Efficacy'!$Q$12/30,1,0)</f>
        <v>0</v>
      </c>
      <c r="BA8" s="28">
        <f>IF(BA11&lt;='Input 6_Product Efficacy'!$Q$12/30,1,0)</f>
        <v>0</v>
      </c>
      <c r="BB8" s="28">
        <f>IF(BB11&lt;='Input 6_Product Efficacy'!$Q$12/30,1,0)</f>
        <v>0</v>
      </c>
      <c r="BC8" s="28">
        <f>IF(BC11&lt;='Input 6_Product Efficacy'!$Q$12/30,1,0)</f>
        <v>0</v>
      </c>
      <c r="BD8" s="22"/>
      <c r="BE8" s="603" t="s">
        <v>316</v>
      </c>
      <c r="BF8" s="542"/>
      <c r="BG8" s="542"/>
      <c r="BH8" s="542"/>
    </row>
    <row r="9" spans="2:62" x14ac:dyDescent="0.3">
      <c r="G9" s="845" t="s">
        <v>516</v>
      </c>
      <c r="H9" s="8">
        <f>'WiS percent RSV_high'!AX20-SUM('WiS percent RSV_high'!BG22:BH22)</f>
        <v>1197.553337544226</v>
      </c>
      <c r="L9" s="845" t="s">
        <v>520</v>
      </c>
      <c r="M9" s="8">
        <f>'WiS percent RSV_high'!BT20-SUM('WiS percent RSV_high'!CC22:CD22)</f>
        <v>11026.382809246279</v>
      </c>
      <c r="N9" s="845"/>
      <c r="O9" s="8"/>
      <c r="T9" s="28"/>
      <c r="U9" s="28"/>
      <c r="V9" s="28"/>
      <c r="W9" s="28"/>
      <c r="X9" s="28"/>
      <c r="Y9" s="28"/>
      <c r="Z9" s="28"/>
      <c r="AA9" s="28"/>
      <c r="AB9" s="28"/>
      <c r="AC9" s="28"/>
      <c r="AD9" s="28"/>
      <c r="AE9" s="28"/>
      <c r="AF9" s="22"/>
      <c r="AH9" s="539"/>
      <c r="AI9" s="539"/>
      <c r="AJ9" s="539"/>
      <c r="AK9" s="539"/>
      <c r="AL9" s="539"/>
      <c r="AN9" s="599"/>
      <c r="AR9" s="28"/>
      <c r="AS9" s="28"/>
      <c r="AT9" s="28"/>
      <c r="AU9" s="28"/>
      <c r="AV9" s="28"/>
      <c r="AW9" s="28"/>
      <c r="AX9" s="28"/>
      <c r="AY9" s="28"/>
      <c r="AZ9" s="28"/>
      <c r="BA9" s="28"/>
      <c r="BB9" s="28"/>
      <c r="BC9" s="28"/>
      <c r="BD9" s="22"/>
      <c r="BE9" s="538"/>
      <c r="BF9" s="539"/>
      <c r="BG9" s="539"/>
    </row>
    <row r="10" spans="2:62" x14ac:dyDescent="0.3">
      <c r="B10" s="592" t="s">
        <v>108</v>
      </c>
      <c r="G10" s="40" t="s">
        <v>517</v>
      </c>
      <c r="H10" s="22">
        <f>SUM(D12:O23)</f>
        <v>0.51688722927557895</v>
      </c>
      <c r="L10" s="40" t="s">
        <v>521</v>
      </c>
      <c r="M10" s="22">
        <f>H10</f>
        <v>0.51688722927557895</v>
      </c>
      <c r="N10" s="40"/>
      <c r="O10" s="22"/>
      <c r="R10" s="592" t="s">
        <v>108</v>
      </c>
      <c r="AF10" s="1"/>
      <c r="AN10" s="599"/>
      <c r="AP10" s="592" t="s">
        <v>108</v>
      </c>
      <c r="BD10" s="1"/>
      <c r="BE10" s="538"/>
      <c r="BI10" s="1" t="s">
        <v>348</v>
      </c>
    </row>
    <row r="11" spans="2:62" ht="57.6" x14ac:dyDescent="0.3">
      <c r="B11" s="558" t="s">
        <v>519</v>
      </c>
      <c r="D11" s="13">
        <v>1</v>
      </c>
      <c r="E11" s="13">
        <v>2</v>
      </c>
      <c r="F11" s="13">
        <v>3</v>
      </c>
      <c r="G11" s="13">
        <v>4</v>
      </c>
      <c r="H11" s="13">
        <v>5</v>
      </c>
      <c r="I11" s="13">
        <v>6</v>
      </c>
      <c r="J11" s="13">
        <v>7</v>
      </c>
      <c r="K11" s="13">
        <v>8</v>
      </c>
      <c r="L11" s="13">
        <v>9</v>
      </c>
      <c r="M11" s="13">
        <v>10</v>
      </c>
      <c r="N11" s="13">
        <v>11</v>
      </c>
      <c r="O11" s="13">
        <v>12</v>
      </c>
      <c r="R11" s="558" t="s">
        <v>320</v>
      </c>
      <c r="T11" s="500">
        <v>1</v>
      </c>
      <c r="U11" s="500">
        <v>2</v>
      </c>
      <c r="V11" s="500">
        <v>3</v>
      </c>
      <c r="W11" s="500">
        <v>4</v>
      </c>
      <c r="X11" s="500">
        <v>5</v>
      </c>
      <c r="Y11" s="500">
        <v>6</v>
      </c>
      <c r="Z11" s="500">
        <v>7</v>
      </c>
      <c r="AA11" s="500">
        <v>8</v>
      </c>
      <c r="AB11" s="500">
        <v>9</v>
      </c>
      <c r="AC11" s="500">
        <v>10</v>
      </c>
      <c r="AD11" s="500">
        <v>11</v>
      </c>
      <c r="AE11" s="500">
        <v>12</v>
      </c>
      <c r="AG11" s="544" t="s">
        <v>315</v>
      </c>
      <c r="AH11" s="1112" t="s">
        <v>324</v>
      </c>
      <c r="AI11" s="1112"/>
      <c r="AK11" s="1112" t="s">
        <v>325</v>
      </c>
      <c r="AL11" s="1112"/>
      <c r="AN11" s="599"/>
      <c r="AP11" s="558" t="s">
        <v>320</v>
      </c>
      <c r="AR11" s="500">
        <v>1</v>
      </c>
      <c r="AS11" s="500">
        <v>2</v>
      </c>
      <c r="AT11" s="500">
        <v>3</v>
      </c>
      <c r="AU11" s="500">
        <v>4</v>
      </c>
      <c r="AV11" s="500">
        <v>5</v>
      </c>
      <c r="AW11" s="500">
        <v>6</v>
      </c>
      <c r="AX11" s="500">
        <v>7</v>
      </c>
      <c r="AY11" s="500">
        <v>8</v>
      </c>
      <c r="AZ11" s="500">
        <v>9</v>
      </c>
      <c r="BA11" s="500">
        <v>10</v>
      </c>
      <c r="BB11" s="500">
        <v>11</v>
      </c>
      <c r="BC11" s="500">
        <v>12</v>
      </c>
      <c r="BE11" s="544" t="s">
        <v>315</v>
      </c>
      <c r="BF11" s="1112" t="s">
        <v>325</v>
      </c>
      <c r="BG11" s="1112"/>
      <c r="BI11" s="1112" t="s">
        <v>345</v>
      </c>
      <c r="BJ11" s="1112"/>
    </row>
    <row r="12" spans="2:62" ht="34.5" customHeight="1" x14ac:dyDescent="0.3">
      <c r="B12" s="26">
        <v>0</v>
      </c>
      <c r="D12" s="276"/>
      <c r="E12" s="276"/>
      <c r="F12" s="276"/>
      <c r="G12" s="276"/>
      <c r="H12" s="276"/>
      <c r="I12" s="276"/>
      <c r="J12" s="276"/>
      <c r="K12" s="276"/>
      <c r="L12" s="276"/>
      <c r="M12" s="276"/>
      <c r="N12" s="276"/>
      <c r="O12" s="276"/>
      <c r="R12" s="26">
        <v>0</v>
      </c>
      <c r="T12" s="275"/>
      <c r="U12" s="275"/>
      <c r="V12" s="275"/>
      <c r="W12" s="275"/>
      <c r="X12" s="275"/>
      <c r="Y12" s="275"/>
      <c r="Z12" s="35"/>
      <c r="AA12" s="35"/>
      <c r="AB12" s="35"/>
      <c r="AC12" s="35"/>
      <c r="AD12" s="35"/>
      <c r="AE12" s="35"/>
      <c r="AF12" s="275"/>
      <c r="AG12" s="546" t="s">
        <v>317</v>
      </c>
      <c r="AH12" s="594" t="s">
        <v>312</v>
      </c>
      <c r="AI12" s="595" t="s">
        <v>313</v>
      </c>
      <c r="AJ12" s="572"/>
      <c r="AK12" s="570" t="s">
        <v>312</v>
      </c>
      <c r="AL12" s="571" t="s">
        <v>313</v>
      </c>
      <c r="AN12" s="599"/>
      <c r="AP12" s="26">
        <v>0</v>
      </c>
      <c r="AR12" s="275"/>
      <c r="AS12" s="275"/>
      <c r="AT12" s="275"/>
      <c r="AU12" s="275"/>
      <c r="AV12" s="275"/>
      <c r="AW12" s="275"/>
      <c r="AX12" s="35"/>
      <c r="AY12" s="35"/>
      <c r="AZ12" s="35"/>
      <c r="BA12" s="35"/>
      <c r="BB12" s="35"/>
      <c r="BC12" s="35"/>
      <c r="BD12" s="275"/>
      <c r="BE12" s="546" t="s">
        <v>317</v>
      </c>
      <c r="BF12" s="570" t="s">
        <v>312</v>
      </c>
      <c r="BG12" s="571" t="s">
        <v>313</v>
      </c>
      <c r="BI12" s="570" t="s">
        <v>312</v>
      </c>
      <c r="BJ12" s="571" t="s">
        <v>313</v>
      </c>
    </row>
    <row r="13" spans="2:62" x14ac:dyDescent="0.3">
      <c r="B13" s="26">
        <v>1</v>
      </c>
      <c r="D13" s="856">
        <f>'WiS percent RSV_high'!E9</f>
        <v>1.8171769977595221E-2</v>
      </c>
      <c r="E13" s="856">
        <f>'WiS percent RSV_high'!F10</f>
        <v>3.0442120985810308E-2</v>
      </c>
      <c r="F13" s="856">
        <f>'WiS percent RSV_high'!G11</f>
        <v>3.2867811799850634E-2</v>
      </c>
      <c r="G13" s="856">
        <f>'WiS percent RSV_high'!H12</f>
        <v>1.9211351755041076E-2</v>
      </c>
      <c r="H13" s="856">
        <f>'WiS percent RSV_high'!I13</f>
        <v>6.1165048543689324E-3</v>
      </c>
      <c r="I13" s="856">
        <f>'WiS percent RSV_high'!J14</f>
        <v>1.4353995519044063E-3</v>
      </c>
      <c r="J13" s="856">
        <f>'WiS percent RSV_high'!K15</f>
        <v>0</v>
      </c>
      <c r="K13" s="856">
        <f>'WiS percent RSV_high'!L16</f>
        <v>0</v>
      </c>
      <c r="L13" s="856">
        <f>'WiS percent RSV_high'!M17</f>
        <v>0</v>
      </c>
      <c r="M13" s="856">
        <f>'WiS percent RSV_high'!N18</f>
        <v>0</v>
      </c>
      <c r="N13" s="856">
        <f>'WiS percent RSV_high'!O19</f>
        <v>0</v>
      </c>
      <c r="O13" s="246"/>
      <c r="R13" s="26">
        <v>1</v>
      </c>
      <c r="T13" s="275">
        <f>D13/$H$10*$H$9</f>
        <v>42.101376380016667</v>
      </c>
      <c r="U13" s="275">
        <f t="shared" ref="U13:AD23" si="0">E13/$H$10*$H$9</f>
        <v>70.530014137853016</v>
      </c>
      <c r="V13" s="275">
        <f t="shared" si="0"/>
        <v>76.149990731733254</v>
      </c>
      <c r="W13" s="275">
        <f t="shared" si="0"/>
        <v>44.509937777393915</v>
      </c>
      <c r="X13" s="275">
        <f t="shared" si="0"/>
        <v>14.171061669913552</v>
      </c>
      <c r="Y13" s="275">
        <f t="shared" si="0"/>
        <v>3.3256142282751946</v>
      </c>
      <c r="Z13" s="275">
        <f t="shared" si="0"/>
        <v>0</v>
      </c>
      <c r="AA13" s="275">
        <f t="shared" si="0"/>
        <v>0</v>
      </c>
      <c r="AB13" s="275">
        <f t="shared" si="0"/>
        <v>0</v>
      </c>
      <c r="AC13" s="275">
        <f t="shared" si="0"/>
        <v>0</v>
      </c>
      <c r="AD13" s="275">
        <f t="shared" si="0"/>
        <v>0</v>
      </c>
      <c r="AE13" s="35"/>
      <c r="AF13" s="275"/>
      <c r="AG13" s="170"/>
      <c r="AH13" s="551"/>
      <c r="AI13" s="556"/>
      <c r="AK13" s="551"/>
      <c r="AL13" s="556"/>
      <c r="AN13" s="599"/>
      <c r="AP13" s="26">
        <v>1</v>
      </c>
      <c r="AR13" s="275">
        <f>D13/$M$10*$M$9</f>
        <v>387.64527491877089</v>
      </c>
      <c r="AS13" s="275">
        <f t="shared" ref="AS13:BB23" si="1">E13/$M$10*$M$9</f>
        <v>649.39983134304384</v>
      </c>
      <c r="AT13" s="275">
        <f t="shared" si="1"/>
        <v>701.1453456014757</v>
      </c>
      <c r="AU13" s="275">
        <f t="shared" si="1"/>
        <v>409.82192388667033</v>
      </c>
      <c r="AV13" s="275">
        <f t="shared" si="1"/>
        <v>130.47899069475315</v>
      </c>
      <c r="AW13" s="275">
        <f t="shared" si="1"/>
        <v>30.620344336424367</v>
      </c>
      <c r="AX13" s="275">
        <f t="shared" si="1"/>
        <v>0</v>
      </c>
      <c r="AY13" s="275">
        <f t="shared" si="1"/>
        <v>0</v>
      </c>
      <c r="AZ13" s="275">
        <f t="shared" si="1"/>
        <v>0</v>
      </c>
      <c r="BA13" s="275">
        <f t="shared" si="1"/>
        <v>0</v>
      </c>
      <c r="BB13" s="275">
        <f t="shared" si="1"/>
        <v>0</v>
      </c>
      <c r="BC13" s="35"/>
      <c r="BD13" s="275"/>
      <c r="BE13" s="170"/>
      <c r="BF13" s="551"/>
      <c r="BG13" s="556"/>
      <c r="BI13" s="551"/>
      <c r="BJ13" s="556"/>
    </row>
    <row r="14" spans="2:62" x14ac:dyDescent="0.3">
      <c r="B14" s="26">
        <v>2</v>
      </c>
      <c r="D14" s="856">
        <f>'WiS percent RSV_high'!E10</f>
        <v>1.0501867064973863E-2</v>
      </c>
      <c r="E14" s="856">
        <f>'WiS percent RSV_high'!F11</f>
        <v>2.3088125466766241E-2</v>
      </c>
      <c r="F14" s="856">
        <f>'WiS percent RSV_high'!G12</f>
        <v>2.8728902165795371E-2</v>
      </c>
      <c r="G14" s="856">
        <f>'WiS percent RSV_high'!H13</f>
        <v>1.1396564600448095E-2</v>
      </c>
      <c r="H14" s="856">
        <f>'WiS percent RSV_high'!I14</f>
        <v>5.4174757281553396E-3</v>
      </c>
      <c r="I14" s="856">
        <f>'WiS percent RSV_high'!J15</f>
        <v>1.8521284540702016E-3</v>
      </c>
      <c r="J14" s="856">
        <f>'WiS percent RSV_high'!K16</f>
        <v>0</v>
      </c>
      <c r="K14" s="856">
        <f>'WiS percent RSV_high'!L17</f>
        <v>0</v>
      </c>
      <c r="L14" s="856">
        <f>'WiS percent RSV_high'!M18</f>
        <v>0</v>
      </c>
      <c r="M14" s="856">
        <f>'WiS percent RSV_high'!N19</f>
        <v>0</v>
      </c>
      <c r="N14" s="246"/>
      <c r="O14" s="246"/>
      <c r="R14" s="26">
        <v>2</v>
      </c>
      <c r="T14" s="275">
        <f t="shared" ref="T14:T23" si="2">D14/$H$10*$H$9</f>
        <v>24.331314920918729</v>
      </c>
      <c r="U14" s="275">
        <f t="shared" si="0"/>
        <v>53.491864655113233</v>
      </c>
      <c r="V14" s="275">
        <f t="shared" si="0"/>
        <v>66.560732639589077</v>
      </c>
      <c r="W14" s="275">
        <f t="shared" si="0"/>
        <v>26.404200376420121</v>
      </c>
      <c r="X14" s="275">
        <f t="shared" si="0"/>
        <v>12.551511764780573</v>
      </c>
      <c r="Y14" s="275">
        <f t="shared" si="0"/>
        <v>4.291115133258316</v>
      </c>
      <c r="Z14" s="275">
        <f t="shared" si="0"/>
        <v>0</v>
      </c>
      <c r="AA14" s="275">
        <f t="shared" si="0"/>
        <v>0</v>
      </c>
      <c r="AB14" s="275">
        <f t="shared" si="0"/>
        <v>0</v>
      </c>
      <c r="AC14" s="275">
        <f t="shared" si="0"/>
        <v>0</v>
      </c>
      <c r="AD14" s="275">
        <f t="shared" si="0"/>
        <v>0</v>
      </c>
      <c r="AE14" s="35"/>
      <c r="AF14" s="275"/>
      <c r="AG14" s="562">
        <f>IF(AND(R12&gt;0,12-'Input 4_RSV Season'!$AG$27+1&gt;R12),IF(AG13&gt;0,AG13+1,1),0)</f>
        <v>0</v>
      </c>
      <c r="AH14" s="549">
        <f>IF($AG14&gt;0,SUMIF($T$7:$AE$7,"&gt;0",$T12:$AE12),0)</f>
        <v>0</v>
      </c>
      <c r="AI14" s="549">
        <f>IF($AG14&gt;0,SUMIF($T$7:$AE$7,0,$T12:$AE12),0)</f>
        <v>0</v>
      </c>
      <c r="AK14" s="563">
        <f>IF($AG14&gt;0,SUMIF($T$8:$AE$8,"&gt;0",$T12:$AE12),0)</f>
        <v>0</v>
      </c>
      <c r="AL14" s="564">
        <f>IF($AG14&gt;0,SUMIF($T$8:$AE$8,0,$T12:$AE12),0)</f>
        <v>0</v>
      </c>
      <c r="AN14" s="599"/>
      <c r="AP14" s="26">
        <v>2</v>
      </c>
      <c r="AR14" s="275">
        <f t="shared" ref="AR14:AR23" si="3">D14/$M$10*$M$9</f>
        <v>224.02876277773129</v>
      </c>
      <c r="AS14" s="275">
        <f t="shared" si="1"/>
        <v>492.5223439961286</v>
      </c>
      <c r="AT14" s="275">
        <f t="shared" si="1"/>
        <v>612.85296874795665</v>
      </c>
      <c r="AU14" s="275">
        <f t="shared" si="1"/>
        <v>243.11470061073663</v>
      </c>
      <c r="AV14" s="275">
        <f t="shared" si="1"/>
        <v>115.56710604392421</v>
      </c>
      <c r="AW14" s="275">
        <f t="shared" si="1"/>
        <v>39.510121724418539</v>
      </c>
      <c r="AX14" s="275">
        <f t="shared" si="1"/>
        <v>0</v>
      </c>
      <c r="AY14" s="275">
        <f t="shared" si="1"/>
        <v>0</v>
      </c>
      <c r="AZ14" s="275">
        <f t="shared" si="1"/>
        <v>0</v>
      </c>
      <c r="BA14" s="275">
        <f t="shared" si="1"/>
        <v>0</v>
      </c>
      <c r="BB14" s="275">
        <f t="shared" si="1"/>
        <v>0</v>
      </c>
      <c r="BC14" s="35"/>
      <c r="BD14" s="275"/>
      <c r="BE14" s="562">
        <f>IF(AND(AP12&gt;0,12-'Input 4_RSV Season'!$AG$27+1&gt;AP12),IF(BE13&gt;0,BE13+1,1),0)</f>
        <v>0</v>
      </c>
      <c r="BF14" s="549">
        <f>IF($BE14&gt;0,SUMIF($AR$8:$BC$8,"&gt;0",$AR12:$BC12),0)</f>
        <v>0</v>
      </c>
      <c r="BG14" s="564">
        <f>IF($BE14&gt;0,SUMIF($AR$8:$BC$8,0,$AR12:$BC12),0)</f>
        <v>0</v>
      </c>
      <c r="BI14" s="693"/>
      <c r="BJ14" s="564"/>
    </row>
    <row r="15" spans="2:62" x14ac:dyDescent="0.3">
      <c r="B15" s="26">
        <v>3</v>
      </c>
      <c r="D15" s="856">
        <f>'WiS percent RSV_high'!E11</f>
        <v>7.9648991784914119E-3</v>
      </c>
      <c r="E15" s="856">
        <f>'WiS percent RSV_high'!F12</f>
        <v>2.0180731889469752E-2</v>
      </c>
      <c r="F15" s="856">
        <f>'WiS percent RSV_high'!G13</f>
        <v>1.7042569081404033E-2</v>
      </c>
      <c r="G15" s="856">
        <f>'WiS percent RSV_high'!H14</f>
        <v>1.0094100074682599E-2</v>
      </c>
      <c r="H15" s="856">
        <f>'WiS percent RSV_high'!I15</f>
        <v>6.9902912621359224E-3</v>
      </c>
      <c r="I15" s="856">
        <f>'WiS percent RSV_high'!J16</f>
        <v>1.2038834951456309E-3</v>
      </c>
      <c r="J15" s="856">
        <f>'WiS percent RSV_high'!K17</f>
        <v>0</v>
      </c>
      <c r="K15" s="856">
        <f>'WiS percent RSV_high'!L18</f>
        <v>0</v>
      </c>
      <c r="L15" s="856">
        <f>'WiS percent RSV_high'!M19</f>
        <v>0</v>
      </c>
      <c r="M15" s="246"/>
      <c r="N15" s="246"/>
      <c r="O15" s="246"/>
      <c r="R15" s="26">
        <v>3</v>
      </c>
      <c r="T15" s="275">
        <f t="shared" si="2"/>
        <v>18.453525361370946</v>
      </c>
      <c r="U15" s="275">
        <f t="shared" si="0"/>
        <v>46.755852068913796</v>
      </c>
      <c r="V15" s="275">
        <f t="shared" si="0"/>
        <v>39.485180379417244</v>
      </c>
      <c r="W15" s="275">
        <f t="shared" si="0"/>
        <v>23.38657747625782</v>
      </c>
      <c r="X15" s="275">
        <f t="shared" si="0"/>
        <v>16.195499051329772</v>
      </c>
      <c r="Y15" s="275">
        <f t="shared" si="0"/>
        <v>2.7892248366179047</v>
      </c>
      <c r="Z15" s="275">
        <f t="shared" si="0"/>
        <v>0</v>
      </c>
      <c r="AA15" s="275">
        <f t="shared" si="0"/>
        <v>0</v>
      </c>
      <c r="AB15" s="275">
        <f t="shared" si="0"/>
        <v>0</v>
      </c>
      <c r="AC15" s="275">
        <f t="shared" si="0"/>
        <v>0</v>
      </c>
      <c r="AD15" s="275">
        <f t="shared" si="0"/>
        <v>0</v>
      </c>
      <c r="AE15" s="35"/>
      <c r="AF15" s="275"/>
      <c r="AG15" s="562">
        <f>IF(AND(R13&gt;0,12-'Input 4_RSV Season'!$AG$27+1&gt;R13),IF(AG14&gt;0,AG14+1,1),0)</f>
        <v>1</v>
      </c>
      <c r="AH15" s="549">
        <f t="shared" ref="AH15:AH25" si="4">IF($AG15&gt;0,SUMIF($T$7:$AE$7,"&gt;0",$T13:$AE13),0)</f>
        <v>247.4623806969104</v>
      </c>
      <c r="AI15" s="549">
        <f t="shared" ref="AI15:AI25" si="5">IF($AG15&gt;0,SUMIF($T$7:$AE$7,0,$T13:$AE13),0)</f>
        <v>3.3256142282751946</v>
      </c>
      <c r="AK15" s="549">
        <f t="shared" ref="AK15:AK25" si="6">IF($AG15&gt;0,SUMIF($T$8:$AE$8,"&gt;0",$T13:$AE13),0)</f>
        <v>247.4623806969104</v>
      </c>
      <c r="AL15" s="565">
        <f t="shared" ref="AL15:AL25" si="7">IF($AG15&gt;0,SUMIF($T$8:$AE$8,0,$T13:$AE13),0)</f>
        <v>3.3256142282751946</v>
      </c>
      <c r="AN15" s="599"/>
      <c r="AP15" s="26">
        <v>3</v>
      </c>
      <c r="AR15" s="275">
        <f t="shared" si="3"/>
        <v>169.90945491569505</v>
      </c>
      <c r="AS15" s="275">
        <f t="shared" si="1"/>
        <v>430.50101178920875</v>
      </c>
      <c r="AT15" s="275">
        <f t="shared" si="1"/>
        <v>363.55684586743189</v>
      </c>
      <c r="AU15" s="275">
        <f t="shared" si="1"/>
        <v>215.330163398081</v>
      </c>
      <c r="AV15" s="275">
        <f t="shared" si="1"/>
        <v>149.11884650828932</v>
      </c>
      <c r="AW15" s="275">
        <f t="shared" si="1"/>
        <v>25.681579120872044</v>
      </c>
      <c r="AX15" s="275">
        <f t="shared" si="1"/>
        <v>0</v>
      </c>
      <c r="AY15" s="275">
        <f t="shared" si="1"/>
        <v>0</v>
      </c>
      <c r="AZ15" s="275">
        <f t="shared" si="1"/>
        <v>0</v>
      </c>
      <c r="BA15" s="275">
        <f t="shared" si="1"/>
        <v>0</v>
      </c>
      <c r="BB15" s="275">
        <f t="shared" si="1"/>
        <v>0</v>
      </c>
      <c r="BC15" s="35"/>
      <c r="BD15" s="275"/>
      <c r="BE15" s="562">
        <f>IF(AND(AP13&gt;0,12-'Input 4_RSV Season'!$AG$27+1&gt;AP13),IF(BE14&gt;0,BE14+1,1),0)</f>
        <v>1</v>
      </c>
      <c r="BF15" s="549">
        <f t="shared" ref="BF15:BF25" si="8">IF($BE15&gt;0,SUMIF($AR$8:$BC$8,"&gt;0",$AR13:$BC13),0)</f>
        <v>2278.491366444714</v>
      </c>
      <c r="BG15" s="565">
        <f t="shared" ref="BG15:BG25" si="9">IF($BE15&gt;0,SUMIF($AR$8:$BC$8,0,$AR13:$BC13),0)</f>
        <v>30.620344336424367</v>
      </c>
      <c r="BI15" s="693">
        <f>IF(SUM($AR$7:$BC$7)=4,SUM(AR13:AU13),IF(SUM($AR$7:$BC$7)=3,SUM(AR13:AT13),IF(SUM($AR$7:$BC$7)=2,SUM(AR13:AS13),IF(SUM($AR$7:$BC$7)=1,AR13,0))))</f>
        <v>1738.1904518632905</v>
      </c>
      <c r="BJ15" s="565">
        <f t="shared" ref="BJ15:BJ25" si="10">IF($BE15&gt;0,SUM($AR13:$BC13)-BI15,0)</f>
        <v>570.92125891784781</v>
      </c>
    </row>
    <row r="16" spans="2:62" x14ac:dyDescent="0.3">
      <c r="B16" s="26">
        <v>4</v>
      </c>
      <c r="D16" s="856">
        <f>'WiS percent RSV_high'!E12</f>
        <v>6.9619118745332343E-3</v>
      </c>
      <c r="E16" s="856">
        <f>'WiS percent RSV_high'!F13</f>
        <v>1.197162061239731E-2</v>
      </c>
      <c r="F16" s="856">
        <f>'WiS percent RSV_high'!G14</f>
        <v>1.5094846900672143E-2</v>
      </c>
      <c r="G16" s="856">
        <f>'WiS percent RSV_high'!H15</f>
        <v>1.3024645257654966E-2</v>
      </c>
      <c r="H16" s="856">
        <f>'WiS percent RSV_high'!I16</f>
        <v>4.5436893203883496E-3</v>
      </c>
      <c r="I16" s="856">
        <f>'WiS percent RSV_high'!J17</f>
        <v>1.3890963405526512E-3</v>
      </c>
      <c r="J16" s="856">
        <f>'WiS percent RSV_high'!K18</f>
        <v>0</v>
      </c>
      <c r="K16" s="856">
        <f>'WiS percent RSV_high'!L19</f>
        <v>0</v>
      </c>
      <c r="L16" s="246"/>
      <c r="M16" s="246"/>
      <c r="N16" s="246"/>
      <c r="O16" s="246"/>
      <c r="R16" s="26">
        <v>4</v>
      </c>
      <c r="T16" s="275">
        <f t="shared" si="2"/>
        <v>16.129748093642753</v>
      </c>
      <c r="U16" s="275">
        <f t="shared" si="0"/>
        <v>27.736522413762419</v>
      </c>
      <c r="V16" s="275">
        <f t="shared" si="0"/>
        <v>34.972588336055274</v>
      </c>
      <c r="W16" s="275">
        <f t="shared" si="0"/>
        <v>30.176229001622993</v>
      </c>
      <c r="X16" s="275">
        <f t="shared" si="0"/>
        <v>10.527074383364353</v>
      </c>
      <c r="Y16" s="275">
        <f t="shared" si="0"/>
        <v>3.218336349943737</v>
      </c>
      <c r="Z16" s="275">
        <f t="shared" si="0"/>
        <v>0</v>
      </c>
      <c r="AA16" s="275">
        <f t="shared" si="0"/>
        <v>0</v>
      </c>
      <c r="AB16" s="275">
        <f t="shared" si="0"/>
        <v>0</v>
      </c>
      <c r="AC16" s="275">
        <f t="shared" si="0"/>
        <v>0</v>
      </c>
      <c r="AD16" s="275">
        <f t="shared" si="0"/>
        <v>0</v>
      </c>
      <c r="AE16" s="35"/>
      <c r="AF16" s="275"/>
      <c r="AG16" s="562">
        <f>IF(AND(R14&gt;0,12-'Input 4_RSV Season'!$AG$27+1&gt;R14),IF(AG15&gt;0,AG15+1,1),0)</f>
        <v>2</v>
      </c>
      <c r="AH16" s="549">
        <f t="shared" si="4"/>
        <v>183.33962435682173</v>
      </c>
      <c r="AI16" s="549">
        <f t="shared" si="5"/>
        <v>4.291115133258316</v>
      </c>
      <c r="AK16" s="549">
        <f t="shared" si="6"/>
        <v>183.33962435682173</v>
      </c>
      <c r="AL16" s="565">
        <f t="shared" si="7"/>
        <v>4.291115133258316</v>
      </c>
      <c r="AN16" s="599"/>
      <c r="AP16" s="26">
        <v>4</v>
      </c>
      <c r="AR16" s="275">
        <f t="shared" si="3"/>
        <v>148.51344948186679</v>
      </c>
      <c r="AS16" s="275">
        <f t="shared" si="1"/>
        <v>255.38195614614077</v>
      </c>
      <c r="AT16" s="275">
        <f t="shared" si="1"/>
        <v>322.0074920540111</v>
      </c>
      <c r="AU16" s="275">
        <f t="shared" si="1"/>
        <v>277.84537212655619</v>
      </c>
      <c r="AV16" s="275">
        <f t="shared" si="1"/>
        <v>96.927250230388054</v>
      </c>
      <c r="AW16" s="275">
        <f t="shared" si="1"/>
        <v>29.632591293313904</v>
      </c>
      <c r="AX16" s="275">
        <f t="shared" si="1"/>
        <v>0</v>
      </c>
      <c r="AY16" s="275">
        <f t="shared" si="1"/>
        <v>0</v>
      </c>
      <c r="AZ16" s="275">
        <f t="shared" si="1"/>
        <v>0</v>
      </c>
      <c r="BA16" s="275">
        <f t="shared" si="1"/>
        <v>0</v>
      </c>
      <c r="BB16" s="275">
        <f t="shared" si="1"/>
        <v>0</v>
      </c>
      <c r="BC16" s="35"/>
      <c r="BD16" s="275"/>
      <c r="BE16" s="562">
        <f>IF(AND(AP14&gt;0,12-'Input 4_RSV Season'!$AG$27+1&gt;AP14),IF(BE15&gt;0,BE15+1,1),0)</f>
        <v>2</v>
      </c>
      <c r="BF16" s="549">
        <f t="shared" si="8"/>
        <v>1688.0858821764775</v>
      </c>
      <c r="BG16" s="565">
        <f t="shared" si="9"/>
        <v>39.510121724418539</v>
      </c>
      <c r="BI16" s="693">
        <f>IF(SUM($AR$7:$BC$7)=4,SUM(AR14:AT14),IF(SUM($AR$7:$BC$7)=3,SUM(AR14:AS14),IF(SUM($AR$7:$BC$7)=2,AR14,0)))</f>
        <v>716.55110677385983</v>
      </c>
      <c r="BJ16" s="565">
        <f t="shared" si="10"/>
        <v>1011.0448971270362</v>
      </c>
    </row>
    <row r="17" spans="2:62" x14ac:dyDescent="0.3">
      <c r="B17" s="26">
        <v>5</v>
      </c>
      <c r="D17" s="856">
        <f>'WiS percent RSV_high'!E13</f>
        <v>4.129947722180732E-3</v>
      </c>
      <c r="E17" s="856">
        <f>'WiS percent RSV_high'!F14</f>
        <v>1.0603435399551903E-2</v>
      </c>
      <c r="F17" s="856">
        <f>'WiS percent RSV_high'!G15</f>
        <v>1.9477221807318895E-2</v>
      </c>
      <c r="G17" s="856">
        <f>'WiS percent RSV_high'!H16</f>
        <v>8.4660194174757276E-3</v>
      </c>
      <c r="H17" s="856">
        <f>'WiS percent RSV_high'!I17</f>
        <v>5.2427184466019416E-3</v>
      </c>
      <c r="I17" s="856">
        <f>'WiS percent RSV_high'!J18</f>
        <v>1.3196415235250186E-3</v>
      </c>
      <c r="J17" s="856">
        <f>'WiS percent RSV_high'!K19</f>
        <v>0</v>
      </c>
      <c r="K17" s="246"/>
      <c r="L17" s="246"/>
      <c r="M17" s="246"/>
      <c r="N17" s="246"/>
      <c r="O17" s="246"/>
      <c r="R17" s="26">
        <v>5</v>
      </c>
      <c r="T17" s="275">
        <f t="shared" si="2"/>
        <v>9.5684946318219701</v>
      </c>
      <c r="U17" s="275">
        <f t="shared" si="0"/>
        <v>24.566634137903858</v>
      </c>
      <c r="V17" s="275">
        <f t="shared" si="0"/>
        <v>45.125920433619712</v>
      </c>
      <c r="W17" s="275">
        <f t="shared" si="0"/>
        <v>19.614548851054945</v>
      </c>
      <c r="X17" s="275">
        <f t="shared" si="0"/>
        <v>12.146624288497328</v>
      </c>
      <c r="Y17" s="275">
        <f t="shared" si="0"/>
        <v>3.0574195324465498</v>
      </c>
      <c r="Z17" s="275">
        <f t="shared" si="0"/>
        <v>0</v>
      </c>
      <c r="AA17" s="275">
        <f t="shared" si="0"/>
        <v>0</v>
      </c>
      <c r="AB17" s="275">
        <f t="shared" si="0"/>
        <v>0</v>
      </c>
      <c r="AC17" s="275">
        <f t="shared" si="0"/>
        <v>0</v>
      </c>
      <c r="AD17" s="275">
        <f t="shared" si="0"/>
        <v>0</v>
      </c>
      <c r="AE17" s="35"/>
      <c r="AF17" s="275"/>
      <c r="AG17" s="562">
        <f>IF(AND(R15&gt;0,12-'Input 4_RSV Season'!$AG$27+1&gt;R15),IF(AG16&gt;0,AG16+1,1),0)</f>
        <v>3</v>
      </c>
      <c r="AH17" s="549">
        <f t="shared" si="4"/>
        <v>144.27663433728958</v>
      </c>
      <c r="AI17" s="549">
        <f t="shared" si="5"/>
        <v>2.7892248366179047</v>
      </c>
      <c r="AK17" s="549">
        <f t="shared" si="6"/>
        <v>144.27663433728958</v>
      </c>
      <c r="AL17" s="565">
        <f t="shared" si="7"/>
        <v>2.7892248366179047</v>
      </c>
      <c r="AN17" s="599"/>
      <c r="AP17" s="26">
        <v>5</v>
      </c>
      <c r="AR17" s="275">
        <f t="shared" si="3"/>
        <v>88.101198845175205</v>
      </c>
      <c r="AS17" s="275">
        <f t="shared" si="1"/>
        <v>226.19544687229612</v>
      </c>
      <c r="AT17" s="275">
        <f t="shared" si="1"/>
        <v>415.49353813420788</v>
      </c>
      <c r="AU17" s="275">
        <f t="shared" si="1"/>
        <v>180.5994918822615</v>
      </c>
      <c r="AV17" s="275">
        <f t="shared" si="1"/>
        <v>111.83913488121699</v>
      </c>
      <c r="AW17" s="275">
        <f t="shared" si="1"/>
        <v>28.150961728648209</v>
      </c>
      <c r="AX17" s="275">
        <f t="shared" si="1"/>
        <v>0</v>
      </c>
      <c r="AY17" s="275">
        <f t="shared" si="1"/>
        <v>0</v>
      </c>
      <c r="AZ17" s="275">
        <f t="shared" si="1"/>
        <v>0</v>
      </c>
      <c r="BA17" s="275">
        <f t="shared" si="1"/>
        <v>0</v>
      </c>
      <c r="BB17" s="275">
        <f t="shared" si="1"/>
        <v>0</v>
      </c>
      <c r="BC17" s="35"/>
      <c r="BD17" s="275"/>
      <c r="BE17" s="562">
        <f>IF(AND(AP15&gt;0,12-'Input 4_RSV Season'!$AG$27+1&gt;AP15),IF(BE16&gt;0,BE16+1,1),0)</f>
        <v>3</v>
      </c>
      <c r="BF17" s="549">
        <f t="shared" si="8"/>
        <v>1328.416322478706</v>
      </c>
      <c r="BG17" s="565">
        <f t="shared" si="9"/>
        <v>25.681579120872044</v>
      </c>
      <c r="BI17" s="693">
        <f>IF(SUM($AR$7:$BC$7)=4,SUM(AR15:AS15),IF(SUM($AR$7:$BC$7)=3,AR15,0))</f>
        <v>169.90945491569505</v>
      </c>
      <c r="BJ17" s="565">
        <f t="shared" si="10"/>
        <v>1184.1884466838831</v>
      </c>
    </row>
    <row r="18" spans="2:62" x14ac:dyDescent="0.3">
      <c r="B18" s="26">
        <v>6</v>
      </c>
      <c r="D18" s="856">
        <f>'WiS percent RSV_high'!E14</f>
        <v>3.6579536967886483E-3</v>
      </c>
      <c r="E18" s="856">
        <f>'WiS percent RSV_high'!F15</f>
        <v>1.368185212845407E-2</v>
      </c>
      <c r="F18" s="856">
        <f>'WiS percent RSV_high'!G16</f>
        <v>1.2660194174757281E-2</v>
      </c>
      <c r="G18" s="856">
        <f>'WiS percent RSV_high'!H17</f>
        <v>9.7684839432412244E-3</v>
      </c>
      <c r="H18" s="856">
        <f>'WiS percent RSV_high'!I18</f>
        <v>4.9805825242718446E-3</v>
      </c>
      <c r="I18" s="856">
        <f>'WiS percent RSV_high'!J19</f>
        <v>1.111277072442121E-3</v>
      </c>
      <c r="J18" s="246"/>
      <c r="K18" s="246"/>
      <c r="L18" s="246"/>
      <c r="M18" s="246"/>
      <c r="N18" s="246"/>
      <c r="O18" s="246"/>
      <c r="R18" s="26">
        <v>6</v>
      </c>
      <c r="T18" s="275">
        <f t="shared" si="2"/>
        <v>8.4749523881851729</v>
      </c>
      <c r="U18" s="275">
        <f t="shared" si="0"/>
        <v>31.698882758585622</v>
      </c>
      <c r="V18" s="275">
        <f t="shared" si="0"/>
        <v>29.33184828185281</v>
      </c>
      <c r="W18" s="275">
        <f t="shared" si="0"/>
        <v>22.632171751217246</v>
      </c>
      <c r="X18" s="275">
        <f t="shared" si="0"/>
        <v>11.539293074072463</v>
      </c>
      <c r="Y18" s="275">
        <f t="shared" si="0"/>
        <v>2.5746690799549894</v>
      </c>
      <c r="Z18" s="275">
        <f t="shared" si="0"/>
        <v>0</v>
      </c>
      <c r="AA18" s="275">
        <f t="shared" si="0"/>
        <v>0</v>
      </c>
      <c r="AB18" s="275">
        <f t="shared" si="0"/>
        <v>0</v>
      </c>
      <c r="AC18" s="275">
        <f t="shared" si="0"/>
        <v>0</v>
      </c>
      <c r="AD18" s="275">
        <f t="shared" si="0"/>
        <v>0</v>
      </c>
      <c r="AE18" s="35"/>
      <c r="AF18" s="275"/>
      <c r="AG18" s="562">
        <f>IF(AND(R16&gt;0,12-'Input 4_RSV Season'!$AG$27+1&gt;R16),IF(AG17&gt;0,AG17+1,1),0)</f>
        <v>4</v>
      </c>
      <c r="AH18" s="549">
        <f t="shared" si="4"/>
        <v>119.54216222844781</v>
      </c>
      <c r="AI18" s="549">
        <f t="shared" si="5"/>
        <v>3.218336349943737</v>
      </c>
      <c r="AK18" s="549">
        <f t="shared" si="6"/>
        <v>119.54216222844781</v>
      </c>
      <c r="AL18" s="565">
        <f t="shared" si="7"/>
        <v>3.218336349943737</v>
      </c>
      <c r="AN18" s="599"/>
      <c r="AP18" s="26">
        <v>6</v>
      </c>
      <c r="AR18" s="275">
        <f t="shared" si="3"/>
        <v>78.032490405726605</v>
      </c>
      <c r="AS18" s="275">
        <f t="shared" si="1"/>
        <v>291.86509273844661</v>
      </c>
      <c r="AT18" s="275">
        <f t="shared" si="1"/>
        <v>270.0707997872351</v>
      </c>
      <c r="AU18" s="275">
        <f t="shared" si="1"/>
        <v>208.38402909491714</v>
      </c>
      <c r="AV18" s="275">
        <f t="shared" si="1"/>
        <v>106.24717813715614</v>
      </c>
      <c r="AW18" s="275">
        <f t="shared" si="1"/>
        <v>23.706073034651123</v>
      </c>
      <c r="AX18" s="275">
        <f t="shared" si="1"/>
        <v>0</v>
      </c>
      <c r="AY18" s="275">
        <f t="shared" si="1"/>
        <v>0</v>
      </c>
      <c r="AZ18" s="275">
        <f t="shared" si="1"/>
        <v>0</v>
      </c>
      <c r="BA18" s="275">
        <f t="shared" si="1"/>
        <v>0</v>
      </c>
      <c r="BB18" s="275">
        <f t="shared" si="1"/>
        <v>0</v>
      </c>
      <c r="BC18" s="35"/>
      <c r="BD18" s="275"/>
      <c r="BE18" s="562">
        <f>IF(AND(AP16&gt;0,12-'Input 4_RSV Season'!$AG$27+1&gt;AP16),IF(BE17&gt;0,BE17+1,1),0)</f>
        <v>4</v>
      </c>
      <c r="BF18" s="549">
        <f t="shared" si="8"/>
        <v>1100.675520038963</v>
      </c>
      <c r="BG18" s="565">
        <f t="shared" si="9"/>
        <v>29.632591293313904</v>
      </c>
      <c r="BI18" s="693">
        <f>IF(SUM($AR$7:$BC$7)=4,AR16,0)</f>
        <v>0</v>
      </c>
      <c r="BJ18" s="565">
        <f t="shared" si="10"/>
        <v>1130.3081113322769</v>
      </c>
    </row>
    <row r="19" spans="2:62" x14ac:dyDescent="0.3">
      <c r="B19" s="26">
        <v>7</v>
      </c>
      <c r="D19" s="856">
        <f>'WiS percent RSV_high'!E15</f>
        <v>4.7199402539208363E-3</v>
      </c>
      <c r="E19" s="856">
        <f>'WiS percent RSV_high'!F16</f>
        <v>8.8932038834951439E-3</v>
      </c>
      <c r="F19" s="856">
        <f>'WiS percent RSV_high'!G17</f>
        <v>1.4607916355489171E-2</v>
      </c>
      <c r="G19" s="856">
        <f>'WiS percent RSV_high'!H18</f>
        <v>9.2800597460791622E-3</v>
      </c>
      <c r="H19" s="856">
        <f>'WiS percent RSV_high'!I19</f>
        <v>4.1941747572815536E-3</v>
      </c>
      <c r="I19" s="246"/>
      <c r="J19" s="246"/>
      <c r="K19" s="246"/>
      <c r="L19" s="246"/>
      <c r="M19" s="246"/>
      <c r="N19" s="246"/>
      <c r="O19" s="246"/>
      <c r="R19" s="26">
        <v>7</v>
      </c>
      <c r="T19" s="275">
        <f t="shared" si="2"/>
        <v>10.935422436367967</v>
      </c>
      <c r="U19" s="275">
        <f t="shared" si="0"/>
        <v>20.604273793080655</v>
      </c>
      <c r="V19" s="275">
        <f t="shared" si="0"/>
        <v>33.844440325214784</v>
      </c>
      <c r="W19" s="275">
        <f t="shared" si="0"/>
        <v>21.500563163656381</v>
      </c>
      <c r="X19" s="275">
        <f t="shared" si="0"/>
        <v>9.7172994307978637</v>
      </c>
      <c r="Y19" s="275">
        <f t="shared" si="0"/>
        <v>0</v>
      </c>
      <c r="Z19" s="275">
        <f t="shared" si="0"/>
        <v>0</v>
      </c>
      <c r="AA19" s="275">
        <f t="shared" si="0"/>
        <v>0</v>
      </c>
      <c r="AB19" s="275">
        <f t="shared" si="0"/>
        <v>0</v>
      </c>
      <c r="AC19" s="275">
        <f t="shared" si="0"/>
        <v>0</v>
      </c>
      <c r="AD19" s="275">
        <f t="shared" si="0"/>
        <v>0</v>
      </c>
      <c r="AE19" s="35"/>
      <c r="AF19" s="275"/>
      <c r="AG19" s="562">
        <f>IF(AND(R17&gt;0,12-'Input 4_RSV Season'!$AG$27+1&gt;R17),IF(AG18&gt;0,AG18+1,1),0)</f>
        <v>5</v>
      </c>
      <c r="AH19" s="549">
        <f t="shared" si="4"/>
        <v>111.02222234289781</v>
      </c>
      <c r="AI19" s="549">
        <f t="shared" si="5"/>
        <v>3.0574195324465498</v>
      </c>
      <c r="AK19" s="549">
        <f t="shared" si="6"/>
        <v>111.02222234289781</v>
      </c>
      <c r="AL19" s="565">
        <f t="shared" si="7"/>
        <v>3.0574195324465498</v>
      </c>
      <c r="AN19" s="599"/>
      <c r="AP19" s="26">
        <v>7</v>
      </c>
      <c r="AR19" s="275">
        <f t="shared" si="3"/>
        <v>100.68708439448595</v>
      </c>
      <c r="AS19" s="275">
        <f t="shared" si="1"/>
        <v>189.71231027999028</v>
      </c>
      <c r="AT19" s="275">
        <f t="shared" si="1"/>
        <v>311.6201536006559</v>
      </c>
      <c r="AU19" s="275">
        <f t="shared" si="1"/>
        <v>197.96482764017125</v>
      </c>
      <c r="AV19" s="275">
        <f t="shared" si="1"/>
        <v>89.4713079049736</v>
      </c>
      <c r="AW19" s="275">
        <f t="shared" si="1"/>
        <v>0</v>
      </c>
      <c r="AX19" s="275">
        <f t="shared" si="1"/>
        <v>0</v>
      </c>
      <c r="AY19" s="275">
        <f t="shared" si="1"/>
        <v>0</v>
      </c>
      <c r="AZ19" s="275">
        <f t="shared" si="1"/>
        <v>0</v>
      </c>
      <c r="BA19" s="275">
        <f t="shared" si="1"/>
        <v>0</v>
      </c>
      <c r="BB19" s="275">
        <f t="shared" si="1"/>
        <v>0</v>
      </c>
      <c r="BC19" s="35"/>
      <c r="BD19" s="275"/>
      <c r="BE19" s="562">
        <f>IF(AND(AP17&gt;0,12-'Input 4_RSV Season'!$AG$27+1&gt;AP17),IF(BE18&gt;0,BE18+1,1),0)</f>
        <v>5</v>
      </c>
      <c r="BF19" s="549">
        <f t="shared" si="8"/>
        <v>1022.2288106151577</v>
      </c>
      <c r="BG19" s="565">
        <f t="shared" si="9"/>
        <v>28.150961728648209</v>
      </c>
      <c r="BI19" s="693"/>
      <c r="BJ19" s="565">
        <f>IF($BE19&gt;0,SUM($AR17:$BC17)-BI19,0)</f>
        <v>1050.3797723438058</v>
      </c>
    </row>
    <row r="20" spans="2:62" x14ac:dyDescent="0.3">
      <c r="B20" s="26">
        <v>8</v>
      </c>
      <c r="D20" s="856">
        <f>'WiS percent RSV_high'!E16</f>
        <v>3.0679611650485435E-3</v>
      </c>
      <c r="E20" s="856">
        <f>'WiS percent RSV_high'!F17</f>
        <v>1.0261389096340551E-2</v>
      </c>
      <c r="F20" s="856">
        <f>'WiS percent RSV_high'!G18</f>
        <v>1.3877520537714712E-2</v>
      </c>
      <c r="G20" s="856">
        <f>'WiS percent RSV_high'!H19</f>
        <v>7.8147871545929792E-3</v>
      </c>
      <c r="H20" s="246"/>
      <c r="I20" s="246"/>
      <c r="J20" s="246"/>
      <c r="K20" s="246"/>
      <c r="L20" s="246"/>
      <c r="M20" s="246"/>
      <c r="N20" s="246"/>
      <c r="O20" s="246"/>
      <c r="R20" s="26">
        <v>8</v>
      </c>
      <c r="T20" s="275">
        <f t="shared" si="2"/>
        <v>7.1080245836391773</v>
      </c>
      <c r="U20" s="275">
        <f t="shared" si="0"/>
        <v>23.774162068939212</v>
      </c>
      <c r="V20" s="275">
        <f t="shared" si="0"/>
        <v>32.152218308954041</v>
      </c>
      <c r="W20" s="275">
        <f t="shared" si="0"/>
        <v>18.105737400973798</v>
      </c>
      <c r="X20" s="275">
        <f t="shared" si="0"/>
        <v>0</v>
      </c>
      <c r="Y20" s="275">
        <f t="shared" si="0"/>
        <v>0</v>
      </c>
      <c r="Z20" s="275">
        <f t="shared" si="0"/>
        <v>0</v>
      </c>
      <c r="AA20" s="275">
        <f t="shared" si="0"/>
        <v>0</v>
      </c>
      <c r="AB20" s="275">
        <f t="shared" si="0"/>
        <v>0</v>
      </c>
      <c r="AC20" s="275">
        <f t="shared" si="0"/>
        <v>0</v>
      </c>
      <c r="AD20" s="275">
        <f t="shared" si="0"/>
        <v>0</v>
      </c>
      <c r="AE20" s="35"/>
      <c r="AF20" s="275"/>
      <c r="AG20" s="562">
        <f>IF(AND(R18&gt;0,12-'Input 4_RSV Season'!$AG$27+1&gt;R18),IF(AG19&gt;0,AG19+1,1),0)</f>
        <v>6</v>
      </c>
      <c r="AH20" s="549">
        <f t="shared" si="4"/>
        <v>103.67714825391332</v>
      </c>
      <c r="AI20" s="549">
        <f t="shared" si="5"/>
        <v>2.5746690799549894</v>
      </c>
      <c r="AK20" s="549">
        <f t="shared" si="6"/>
        <v>103.67714825391332</v>
      </c>
      <c r="AL20" s="565">
        <f t="shared" si="7"/>
        <v>2.5746690799549894</v>
      </c>
      <c r="AN20" s="599"/>
      <c r="AP20" s="26">
        <v>8</v>
      </c>
      <c r="AR20" s="275">
        <f t="shared" si="3"/>
        <v>65.44660485641586</v>
      </c>
      <c r="AS20" s="275">
        <f t="shared" si="1"/>
        <v>218.89881955383493</v>
      </c>
      <c r="AT20" s="275">
        <f t="shared" si="1"/>
        <v>296.03914592062307</v>
      </c>
      <c r="AU20" s="275">
        <f t="shared" si="1"/>
        <v>166.7072232759337</v>
      </c>
      <c r="AV20" s="275">
        <f t="shared" si="1"/>
        <v>0</v>
      </c>
      <c r="AW20" s="275">
        <f t="shared" si="1"/>
        <v>0</v>
      </c>
      <c r="AX20" s="275">
        <f t="shared" si="1"/>
        <v>0</v>
      </c>
      <c r="AY20" s="275">
        <f t="shared" si="1"/>
        <v>0</v>
      </c>
      <c r="AZ20" s="275">
        <f t="shared" si="1"/>
        <v>0</v>
      </c>
      <c r="BA20" s="275">
        <f t="shared" si="1"/>
        <v>0</v>
      </c>
      <c r="BB20" s="275">
        <f t="shared" si="1"/>
        <v>0</v>
      </c>
      <c r="BC20" s="35"/>
      <c r="BD20" s="275"/>
      <c r="BE20" s="562">
        <f>IF(AND(AP18&gt;0,12-'Input 4_RSV Season'!$AG$27+1&gt;AP18),IF(BE19&gt;0,BE19+1,1),0)</f>
        <v>6</v>
      </c>
      <c r="BF20" s="549">
        <f t="shared" si="8"/>
        <v>954.59959016348171</v>
      </c>
      <c r="BG20" s="565">
        <f t="shared" si="9"/>
        <v>23.706073034651123</v>
      </c>
      <c r="BI20" s="693"/>
      <c r="BJ20" s="565">
        <f t="shared" si="10"/>
        <v>978.30566319813283</v>
      </c>
    </row>
    <row r="21" spans="2:62" x14ac:dyDescent="0.3">
      <c r="B21" s="26">
        <v>9</v>
      </c>
      <c r="D21" s="856">
        <f>'WiS percent RSV_high'!E17</f>
        <v>3.5399551904406273E-3</v>
      </c>
      <c r="E21" s="856">
        <f>'WiS percent RSV_high'!F18</f>
        <v>9.7483196415235236E-3</v>
      </c>
      <c r="F21" s="856">
        <f>'WiS percent RSV_high'!G19</f>
        <v>1.1686333084391336E-2</v>
      </c>
      <c r="G21" s="246"/>
      <c r="H21" s="246"/>
      <c r="I21" s="246"/>
      <c r="J21" s="246"/>
      <c r="K21" s="246"/>
      <c r="L21" s="246"/>
      <c r="M21" s="246"/>
      <c r="N21" s="246"/>
      <c r="O21" s="246"/>
      <c r="R21" s="26">
        <v>9</v>
      </c>
      <c r="T21" s="275">
        <f t="shared" si="2"/>
        <v>8.2015668272759736</v>
      </c>
      <c r="U21" s="275">
        <f t="shared" si="0"/>
        <v>22.585453965492253</v>
      </c>
      <c r="V21" s="275">
        <f t="shared" si="0"/>
        <v>27.075552260171825</v>
      </c>
      <c r="W21" s="275">
        <f t="shared" si="0"/>
        <v>0</v>
      </c>
      <c r="X21" s="275">
        <f t="shared" si="0"/>
        <v>0</v>
      </c>
      <c r="Y21" s="275">
        <f t="shared" si="0"/>
        <v>0</v>
      </c>
      <c r="Z21" s="275">
        <f t="shared" si="0"/>
        <v>0</v>
      </c>
      <c r="AA21" s="275">
        <f t="shared" si="0"/>
        <v>0</v>
      </c>
      <c r="AB21" s="275">
        <f t="shared" si="0"/>
        <v>0</v>
      </c>
      <c r="AC21" s="275">
        <f t="shared" si="0"/>
        <v>0</v>
      </c>
      <c r="AD21" s="275">
        <f t="shared" si="0"/>
        <v>0</v>
      </c>
      <c r="AE21" s="35"/>
      <c r="AF21" s="275"/>
      <c r="AG21" s="562">
        <f>IF(AND(R19&gt;0,12-'Input 4_RSV Season'!$AG$27+1&gt;R19),IF(AG20&gt;0,AG20+1,1),0)</f>
        <v>0</v>
      </c>
      <c r="AH21" s="549">
        <f t="shared" si="4"/>
        <v>0</v>
      </c>
      <c r="AI21" s="549">
        <f t="shared" si="5"/>
        <v>0</v>
      </c>
      <c r="AK21" s="549">
        <f t="shared" si="6"/>
        <v>0</v>
      </c>
      <c r="AL21" s="565">
        <f t="shared" si="7"/>
        <v>0</v>
      </c>
      <c r="AN21" s="599"/>
      <c r="AP21" s="26">
        <v>9</v>
      </c>
      <c r="AR21" s="275">
        <f t="shared" si="3"/>
        <v>75.515313295864459</v>
      </c>
      <c r="AS21" s="275">
        <f t="shared" si="1"/>
        <v>207.95387857614318</v>
      </c>
      <c r="AT21" s="275">
        <f t="shared" si="1"/>
        <v>249.29612288052471</v>
      </c>
      <c r="AU21" s="275">
        <f t="shared" si="1"/>
        <v>0</v>
      </c>
      <c r="AV21" s="275">
        <f t="shared" si="1"/>
        <v>0</v>
      </c>
      <c r="AW21" s="275">
        <f t="shared" si="1"/>
        <v>0</v>
      </c>
      <c r="AX21" s="275">
        <f t="shared" si="1"/>
        <v>0</v>
      </c>
      <c r="AY21" s="275">
        <f t="shared" si="1"/>
        <v>0</v>
      </c>
      <c r="AZ21" s="275">
        <f t="shared" si="1"/>
        <v>0</v>
      </c>
      <c r="BA21" s="275">
        <f t="shared" si="1"/>
        <v>0</v>
      </c>
      <c r="BB21" s="275">
        <f t="shared" si="1"/>
        <v>0</v>
      </c>
      <c r="BC21" s="35"/>
      <c r="BD21" s="275"/>
      <c r="BE21" s="562">
        <f>IF(AND(AP19&gt;0,12-'Input 4_RSV Season'!$AG$27+1&gt;AP19),IF(BE20&gt;0,BE20+1,1),0)</f>
        <v>0</v>
      </c>
      <c r="BF21" s="549">
        <f t="shared" si="8"/>
        <v>0</v>
      </c>
      <c r="BG21" s="565">
        <f t="shared" si="9"/>
        <v>0</v>
      </c>
      <c r="BI21" s="693"/>
      <c r="BJ21" s="565">
        <f t="shared" si="10"/>
        <v>0</v>
      </c>
    </row>
    <row r="22" spans="2:62" x14ac:dyDescent="0.3">
      <c r="B22" s="26">
        <v>10</v>
      </c>
      <c r="D22" s="856">
        <f>'WiS percent RSV_high'!E18</f>
        <v>3.3629574309185957E-3</v>
      </c>
      <c r="E22" s="856">
        <f>'WiS percent RSV_high'!F19</f>
        <v>8.2091112770724412E-3</v>
      </c>
      <c r="F22" s="246"/>
      <c r="G22" s="246"/>
      <c r="H22" s="246"/>
      <c r="I22" s="246"/>
      <c r="J22" s="246"/>
      <c r="K22" s="246"/>
      <c r="L22" s="246"/>
      <c r="M22" s="246"/>
      <c r="N22" s="246"/>
      <c r="O22" s="246"/>
      <c r="R22" s="26">
        <v>10</v>
      </c>
      <c r="T22" s="275">
        <f t="shared" si="2"/>
        <v>7.7914884859121756</v>
      </c>
      <c r="U22" s="275">
        <f t="shared" si="0"/>
        <v>19.019329655151374</v>
      </c>
      <c r="V22" s="275">
        <f t="shared" si="0"/>
        <v>0</v>
      </c>
      <c r="W22" s="275">
        <f t="shared" si="0"/>
        <v>0</v>
      </c>
      <c r="X22" s="275">
        <f t="shared" si="0"/>
        <v>0</v>
      </c>
      <c r="Y22" s="275">
        <f t="shared" si="0"/>
        <v>0</v>
      </c>
      <c r="Z22" s="275">
        <f t="shared" si="0"/>
        <v>0</v>
      </c>
      <c r="AA22" s="275">
        <f t="shared" si="0"/>
        <v>0</v>
      </c>
      <c r="AB22" s="275">
        <f t="shared" si="0"/>
        <v>0</v>
      </c>
      <c r="AC22" s="275">
        <f t="shared" si="0"/>
        <v>0</v>
      </c>
      <c r="AD22" s="275">
        <f t="shared" si="0"/>
        <v>0</v>
      </c>
      <c r="AE22" s="35"/>
      <c r="AF22" s="275"/>
      <c r="AG22" s="562">
        <f>IF(AND(R20&gt;0,12-'Input 4_RSV Season'!$AG$27+1&gt;R20),IF(AG21&gt;0,AG21+1,1),0)</f>
        <v>0</v>
      </c>
      <c r="AH22" s="549">
        <f t="shared" si="4"/>
        <v>0</v>
      </c>
      <c r="AI22" s="549">
        <f t="shared" si="5"/>
        <v>0</v>
      </c>
      <c r="AK22" s="549">
        <f t="shared" si="6"/>
        <v>0</v>
      </c>
      <c r="AL22" s="565">
        <f t="shared" si="7"/>
        <v>0</v>
      </c>
      <c r="AN22" s="599"/>
      <c r="AP22" s="26">
        <v>10</v>
      </c>
      <c r="AR22" s="275">
        <f t="shared" si="3"/>
        <v>71.739547631071233</v>
      </c>
      <c r="AS22" s="275">
        <f t="shared" si="1"/>
        <v>175.11905564306795</v>
      </c>
      <c r="AT22" s="275">
        <f t="shared" si="1"/>
        <v>0</v>
      </c>
      <c r="AU22" s="275">
        <f t="shared" si="1"/>
        <v>0</v>
      </c>
      <c r="AV22" s="275">
        <f t="shared" si="1"/>
        <v>0</v>
      </c>
      <c r="AW22" s="275">
        <f t="shared" si="1"/>
        <v>0</v>
      </c>
      <c r="AX22" s="275">
        <f t="shared" si="1"/>
        <v>0</v>
      </c>
      <c r="AY22" s="275">
        <f t="shared" si="1"/>
        <v>0</v>
      </c>
      <c r="AZ22" s="275">
        <f t="shared" si="1"/>
        <v>0</v>
      </c>
      <c r="BA22" s="275">
        <f t="shared" si="1"/>
        <v>0</v>
      </c>
      <c r="BB22" s="275">
        <f t="shared" si="1"/>
        <v>0</v>
      </c>
      <c r="BC22" s="35"/>
      <c r="BD22" s="275"/>
      <c r="BE22" s="562">
        <f>IF(AND(AP20&gt;0,12-'Input 4_RSV Season'!$AG$27+1&gt;AP20),IF(BE21&gt;0,BE21+1,1),0)</f>
        <v>0</v>
      </c>
      <c r="BF22" s="549">
        <f t="shared" si="8"/>
        <v>0</v>
      </c>
      <c r="BG22" s="565">
        <f t="shared" si="9"/>
        <v>0</v>
      </c>
      <c r="BI22" s="693"/>
      <c r="BJ22" s="565">
        <f t="shared" si="10"/>
        <v>0</v>
      </c>
    </row>
    <row r="23" spans="2:62" x14ac:dyDescent="0.3">
      <c r="B23" s="26">
        <v>11</v>
      </c>
      <c r="D23" s="856">
        <f>'WiS percent RSV_high'!E19</f>
        <v>2.8319641523525019E-3</v>
      </c>
      <c r="E23" s="246"/>
      <c r="F23" s="246"/>
      <c r="G23" s="246"/>
      <c r="H23" s="246"/>
      <c r="I23" s="246"/>
      <c r="J23" s="246"/>
      <c r="K23" s="246"/>
      <c r="L23" s="246"/>
      <c r="M23" s="246"/>
      <c r="N23" s="246"/>
      <c r="O23" s="246"/>
      <c r="R23" s="26">
        <v>11</v>
      </c>
      <c r="T23" s="275">
        <f t="shared" si="2"/>
        <v>6.5612534618207805</v>
      </c>
      <c r="U23" s="275">
        <f t="shared" si="0"/>
        <v>0</v>
      </c>
      <c r="V23" s="275">
        <f t="shared" si="0"/>
        <v>0</v>
      </c>
      <c r="W23" s="275">
        <f t="shared" si="0"/>
        <v>0</v>
      </c>
      <c r="X23" s="275">
        <f t="shared" si="0"/>
        <v>0</v>
      </c>
      <c r="Y23" s="275">
        <f t="shared" si="0"/>
        <v>0</v>
      </c>
      <c r="Z23" s="275">
        <f t="shared" si="0"/>
        <v>0</v>
      </c>
      <c r="AA23" s="275">
        <f t="shared" si="0"/>
        <v>0</v>
      </c>
      <c r="AB23" s="275">
        <f t="shared" si="0"/>
        <v>0</v>
      </c>
      <c r="AC23" s="275">
        <f t="shared" si="0"/>
        <v>0</v>
      </c>
      <c r="AD23" s="275">
        <f t="shared" si="0"/>
        <v>0</v>
      </c>
      <c r="AF23" s="275"/>
      <c r="AG23" s="562">
        <f>IF(AND(R21&gt;0,12-'Input 4_RSV Season'!$AG$27+1&gt;R21),IF(AG22&gt;0,AG22+1,1),0)</f>
        <v>0</v>
      </c>
      <c r="AH23" s="549">
        <f t="shared" si="4"/>
        <v>0</v>
      </c>
      <c r="AI23" s="549">
        <f t="shared" si="5"/>
        <v>0</v>
      </c>
      <c r="AK23" s="549">
        <f t="shared" si="6"/>
        <v>0</v>
      </c>
      <c r="AL23" s="565">
        <f t="shared" si="7"/>
        <v>0</v>
      </c>
      <c r="AN23" s="599"/>
      <c r="AP23" s="26">
        <v>11</v>
      </c>
      <c r="AR23" s="275">
        <f t="shared" si="3"/>
        <v>60.412250636691574</v>
      </c>
      <c r="AS23" s="275">
        <f t="shared" si="1"/>
        <v>0</v>
      </c>
      <c r="AT23" s="275">
        <f t="shared" si="1"/>
        <v>0</v>
      </c>
      <c r="AU23" s="275">
        <f t="shared" si="1"/>
        <v>0</v>
      </c>
      <c r="AV23" s="275">
        <f t="shared" si="1"/>
        <v>0</v>
      </c>
      <c r="AW23" s="275">
        <f t="shared" si="1"/>
        <v>0</v>
      </c>
      <c r="AX23" s="275">
        <f t="shared" si="1"/>
        <v>0</v>
      </c>
      <c r="AY23" s="275">
        <f t="shared" si="1"/>
        <v>0</v>
      </c>
      <c r="AZ23" s="275">
        <f t="shared" si="1"/>
        <v>0</v>
      </c>
      <c r="BA23" s="275">
        <f t="shared" si="1"/>
        <v>0</v>
      </c>
      <c r="BB23" s="275">
        <f t="shared" si="1"/>
        <v>0</v>
      </c>
      <c r="BD23" s="275"/>
      <c r="BE23" s="562">
        <f>IF(AND(AP21&gt;0,12-'Input 4_RSV Season'!$AG$27+1&gt;AP21),IF(BE22&gt;0,BE22+1,1),0)</f>
        <v>0</v>
      </c>
      <c r="BF23" s="549">
        <f t="shared" si="8"/>
        <v>0</v>
      </c>
      <c r="BG23" s="565">
        <f t="shared" si="9"/>
        <v>0</v>
      </c>
      <c r="BI23" s="693"/>
      <c r="BJ23" s="565">
        <f t="shared" si="10"/>
        <v>0</v>
      </c>
    </row>
    <row r="24" spans="2:62" x14ac:dyDescent="0.3">
      <c r="C24" s="13"/>
      <c r="D24" s="14"/>
      <c r="E24" s="547"/>
      <c r="F24" s="13"/>
      <c r="G24" s="13"/>
      <c r="H24" s="14"/>
      <c r="I24" s="574"/>
      <c r="J24" s="574"/>
      <c r="K24" s="574"/>
      <c r="L24" s="597"/>
      <c r="M24" s="574"/>
      <c r="N24" s="574"/>
      <c r="O24" s="574"/>
      <c r="S24" s="13"/>
      <c r="T24" s="14"/>
      <c r="U24" s="547"/>
      <c r="V24" s="13"/>
      <c r="W24" s="13"/>
      <c r="X24" s="14"/>
      <c r="Y24" s="574"/>
      <c r="Z24" s="574"/>
      <c r="AA24" s="574"/>
      <c r="AB24" s="597"/>
      <c r="AC24" s="574"/>
      <c r="AD24" s="574"/>
      <c r="AE24" s="574"/>
      <c r="AF24" s="36"/>
      <c r="AG24" s="562">
        <f>IF(AND(R22&gt;0,12-'Input 4_RSV Season'!$AG$27+1&gt;R22),IF(AG23&gt;0,AG23+1,1),0)</f>
        <v>0</v>
      </c>
      <c r="AH24" s="549">
        <f t="shared" si="4"/>
        <v>0</v>
      </c>
      <c r="AI24" s="549">
        <f t="shared" si="5"/>
        <v>0</v>
      </c>
      <c r="AK24" s="549">
        <f t="shared" si="6"/>
        <v>0</v>
      </c>
      <c r="AL24" s="565">
        <f t="shared" si="7"/>
        <v>0</v>
      </c>
      <c r="AN24" s="599"/>
      <c r="AQ24" s="13"/>
      <c r="AR24" s="14"/>
      <c r="AS24" s="547"/>
      <c r="AT24" s="13"/>
      <c r="AU24" s="13"/>
      <c r="AV24" s="14"/>
      <c r="AW24" s="574"/>
      <c r="AX24" s="574"/>
      <c r="AY24" s="574"/>
      <c r="AZ24" s="597"/>
      <c r="BA24" s="574"/>
      <c r="BB24" s="574"/>
      <c r="BC24" s="574"/>
      <c r="BD24" s="36"/>
      <c r="BE24" s="562">
        <f>IF(AND(AP22&gt;0,12-'Input 4_RSV Season'!$AG$27+1&gt;AP22),IF(BE23&gt;0,BE23+1,1),0)</f>
        <v>0</v>
      </c>
      <c r="BF24" s="549">
        <f t="shared" si="8"/>
        <v>0</v>
      </c>
      <c r="BG24" s="565">
        <f t="shared" si="9"/>
        <v>0</v>
      </c>
      <c r="BI24" s="693"/>
      <c r="BJ24" s="565">
        <f t="shared" si="10"/>
        <v>0</v>
      </c>
    </row>
    <row r="25" spans="2:62" x14ac:dyDescent="0.3">
      <c r="C25" s="13"/>
      <c r="D25" s="13"/>
      <c r="E25" s="575"/>
      <c r="F25" s="13"/>
      <c r="G25" s="14"/>
      <c r="H25" s="88"/>
      <c r="I25" s="70"/>
      <c r="L25" s="13"/>
      <c r="M25" s="13"/>
      <c r="N25" s="13"/>
      <c r="O25" s="70"/>
      <c r="S25" s="13"/>
      <c r="T25" s="13"/>
      <c r="U25" s="575"/>
      <c r="V25" s="13"/>
      <c r="W25" s="13"/>
      <c r="X25" s="14"/>
      <c r="Y25" s="70"/>
      <c r="Z25" s="13"/>
      <c r="AA25" s="596"/>
      <c r="AB25" s="13"/>
      <c r="AC25" s="13"/>
      <c r="AD25" s="13"/>
      <c r="AE25" s="70"/>
      <c r="AF25" s="70"/>
      <c r="AG25" s="562">
        <f>IF(AND(R23&gt;0,12-'Input 4_RSV Season'!$AG$27+1&gt;R23),IF(AG24&gt;0,AG24+1,1),0)</f>
        <v>0</v>
      </c>
      <c r="AH25" s="550">
        <f t="shared" si="4"/>
        <v>0</v>
      </c>
      <c r="AI25" s="550">
        <f t="shared" si="5"/>
        <v>0</v>
      </c>
      <c r="AJ25" s="13"/>
      <c r="AK25" s="550">
        <f t="shared" si="6"/>
        <v>0</v>
      </c>
      <c r="AL25" s="566">
        <f t="shared" si="7"/>
        <v>0</v>
      </c>
      <c r="AN25" s="599"/>
      <c r="AQ25" s="13"/>
      <c r="AR25" s="13"/>
      <c r="AS25" s="575"/>
      <c r="AT25" s="13"/>
      <c r="AU25" s="13"/>
      <c r="AV25" s="14"/>
      <c r="AW25" s="70"/>
      <c r="AX25" s="13"/>
      <c r="AY25" s="596"/>
      <c r="AZ25" s="13"/>
      <c r="BA25" s="13"/>
      <c r="BB25" s="13"/>
      <c r="BC25" s="70"/>
      <c r="BD25" s="70"/>
      <c r="BE25" s="562">
        <f>IF(AND(AP23&gt;0,12-'Input 4_RSV Season'!$AG$27+1&gt;AP23),IF(BE24&gt;0,BE24+1,1),0)</f>
        <v>0</v>
      </c>
      <c r="BF25" s="550">
        <f t="shared" si="8"/>
        <v>0</v>
      </c>
      <c r="BG25" s="566">
        <f t="shared" si="9"/>
        <v>0</v>
      </c>
      <c r="BI25" s="694"/>
      <c r="BJ25" s="566">
        <f t="shared" si="10"/>
        <v>0</v>
      </c>
    </row>
    <row r="26" spans="2:62" x14ac:dyDescent="0.3">
      <c r="S26" s="13"/>
      <c r="T26" s="14"/>
      <c r="U26" s="70"/>
      <c r="V26" s="13"/>
      <c r="W26" s="13"/>
      <c r="X26" s="14"/>
      <c r="Y26" s="70"/>
      <c r="Z26" s="13"/>
      <c r="AA26" s="13"/>
      <c r="AB26" s="13"/>
      <c r="AC26" s="13"/>
      <c r="AD26" s="13"/>
      <c r="AE26" s="70"/>
      <c r="AF26" s="70"/>
      <c r="AH26" s="5">
        <f>SUM(AH14:AH25)</f>
        <v>909.32017221628064</v>
      </c>
      <c r="AI26" s="5">
        <f>SUM(AI14:AI25)</f>
        <v>19.256379160496692</v>
      </c>
      <c r="AJ26" s="593"/>
      <c r="AK26" s="5">
        <f>SUM(AK14:AK25)</f>
        <v>909.32017221628064</v>
      </c>
      <c r="AL26" s="5">
        <f>SUM(AL14:AL25)</f>
        <v>19.256379160496692</v>
      </c>
      <c r="AN26" s="599"/>
      <c r="AQ26" s="13"/>
      <c r="AR26" s="14"/>
      <c r="AS26" s="70"/>
      <c r="AT26" s="13"/>
      <c r="AU26" s="13"/>
      <c r="AV26" s="14"/>
      <c r="AW26" s="70"/>
      <c r="AX26" s="13"/>
      <c r="AY26" s="13"/>
      <c r="AZ26" s="13"/>
      <c r="BA26" s="13"/>
      <c r="BB26" s="13"/>
      <c r="BC26" s="70"/>
      <c r="BD26" s="70"/>
      <c r="BE26" s="538"/>
      <c r="BF26" s="5">
        <f>SUM(BF14:BF25)</f>
        <v>8372.4974919175002</v>
      </c>
      <c r="BG26" s="5">
        <f>SUM(BG14:BG25)</f>
        <v>177.3016712383282</v>
      </c>
      <c r="BI26" s="5">
        <f>SUM(BI14:BI25)</f>
        <v>2624.6510135528451</v>
      </c>
      <c r="BJ26" s="5">
        <f>SUM(BJ14:BJ25)</f>
        <v>5925.1481496029819</v>
      </c>
    </row>
    <row r="27" spans="2:62" ht="15" thickBot="1" x14ac:dyDescent="0.35">
      <c r="S27" s="13"/>
      <c r="T27" s="14"/>
      <c r="U27" s="70"/>
      <c r="V27" s="13"/>
      <c r="W27" s="13"/>
      <c r="X27" s="14"/>
      <c r="Y27" s="70"/>
      <c r="Z27" s="13"/>
      <c r="AA27" s="510"/>
      <c r="AB27" s="510"/>
      <c r="AC27" s="510"/>
      <c r="AD27" s="510"/>
      <c r="AE27" s="70"/>
      <c r="AF27" s="70"/>
      <c r="AN27" s="599"/>
      <c r="AQ27" s="13"/>
      <c r="AR27" s="14"/>
      <c r="AS27" s="70"/>
      <c r="AT27" s="13"/>
      <c r="AU27" s="13"/>
      <c r="AV27" s="14"/>
      <c r="AW27" s="70"/>
      <c r="AX27" s="13"/>
      <c r="AY27" s="510"/>
      <c r="AZ27" s="510"/>
      <c r="BA27" s="510"/>
      <c r="BB27" s="510"/>
      <c r="BC27" s="70"/>
      <c r="BD27" s="70"/>
      <c r="BE27" s="538"/>
    </row>
    <row r="28" spans="2:62" ht="16.2" thickBot="1" x14ac:dyDescent="0.35">
      <c r="S28" s="13"/>
      <c r="T28" s="14"/>
      <c r="U28" s="575"/>
      <c r="V28" s="13"/>
      <c r="W28" s="13"/>
      <c r="X28" s="14"/>
      <c r="Y28" s="70"/>
      <c r="Z28" s="13"/>
      <c r="AA28" s="510"/>
      <c r="AB28" s="70"/>
      <c r="AC28" s="70"/>
      <c r="AD28" s="70"/>
      <c r="AE28" s="70"/>
      <c r="AF28" s="70"/>
      <c r="AH28" s="577">
        <f>AH26/('Input 1_Population'!$G$24*$I$4)</f>
        <v>4.7030264605508632E-2</v>
      </c>
      <c r="AI28" s="578">
        <f>AI26/('Input 1_Population'!$G$24*$I$4)</f>
        <v>9.9594470125398036E-4</v>
      </c>
      <c r="AJ28" s="873"/>
      <c r="AK28" s="577">
        <f>AK26/('Input 1_Population'!$G$24*$I$4)</f>
        <v>4.7030264605508632E-2</v>
      </c>
      <c r="AL28" s="578">
        <f>AL26/('Input 1_Population'!$G$24*$I$4)</f>
        <v>9.9594470125398036E-4</v>
      </c>
      <c r="AN28" s="599"/>
      <c r="AQ28" s="13"/>
      <c r="AR28" s="14"/>
      <c r="AS28" s="575"/>
      <c r="AT28" s="13"/>
      <c r="AU28" s="13"/>
      <c r="AV28" s="14"/>
      <c r="AW28" s="70"/>
      <c r="AX28" s="13"/>
      <c r="AY28" s="510"/>
      <c r="AZ28" s="70"/>
      <c r="BA28" s="70"/>
      <c r="BB28" s="70"/>
      <c r="BC28" s="70"/>
      <c r="BD28" s="70"/>
      <c r="BE28" s="538"/>
      <c r="BF28" s="577">
        <f>BF26/((1-'Input 1_Population'!$G$24)*$I$4)</f>
        <v>4.285670488859695E-3</v>
      </c>
      <c r="BG28" s="577">
        <f>BG26/((1-'Input 1_Population'!$G$24)*$I$4)</f>
        <v>9.0756257709858292E-5</v>
      </c>
      <c r="BH28" s="27"/>
      <c r="BI28" s="577">
        <f>BI26/((1-'Input 1_Population'!$G$24)*$I$4)</f>
        <v>1.3434927156679229E-3</v>
      </c>
      <c r="BJ28" s="577">
        <f>BJ26/((1-'Input 1_Population'!$G$24)*$I$4)</f>
        <v>3.0329340309016295E-3</v>
      </c>
    </row>
    <row r="29" spans="2:62" ht="16.2" thickBot="1" x14ac:dyDescent="0.35">
      <c r="C29" s="1141" t="s">
        <v>518</v>
      </c>
      <c r="D29" s="1141"/>
      <c r="E29" s="1141"/>
      <c r="F29" s="1141"/>
      <c r="G29" s="1141"/>
      <c r="H29" s="1141"/>
      <c r="I29" s="1141"/>
      <c r="J29" s="1141"/>
      <c r="K29" s="1141"/>
      <c r="L29" s="1141"/>
      <c r="M29" s="1141"/>
      <c r="N29" s="1141"/>
      <c r="O29" s="847"/>
      <c r="P29" s="847"/>
      <c r="AH29" s="598" t="s">
        <v>326</v>
      </c>
      <c r="AI29" s="578">
        <f>SUM(AH28:AI28)</f>
        <v>4.8026209306762609E-2</v>
      </c>
      <c r="AK29" s="598" t="s">
        <v>326</v>
      </c>
      <c r="AL29" s="578">
        <f>SUM(AK28:AL28)</f>
        <v>4.8026209306762609E-2</v>
      </c>
      <c r="AN29" s="599"/>
      <c r="BE29" s="538"/>
      <c r="BF29" s="598" t="s">
        <v>326</v>
      </c>
      <c r="BG29" s="578">
        <f>SUM(BF28:BG28)</f>
        <v>4.3764267465695537E-3</v>
      </c>
      <c r="BI29" s="598" t="s">
        <v>326</v>
      </c>
      <c r="BJ29" s="578">
        <f>SUM(BI28:BJ28)</f>
        <v>4.3764267465695519E-3</v>
      </c>
    </row>
    <row r="30" spans="2:62" x14ac:dyDescent="0.3">
      <c r="G30" s="845" t="s">
        <v>516</v>
      </c>
      <c r="H30" s="8">
        <f>'WiS percent RSV_high'!AX44-SUM('WiS percent RSV_high'!BG46:BH46)</f>
        <v>8710.3902311280981</v>
      </c>
      <c r="L30" s="845" t="s">
        <v>520</v>
      </c>
      <c r="M30" s="8">
        <f>'WiS percent RSV_high'!BT44-SUM('WiS percent RSV_high'!CC46:CD46)</f>
        <v>59231.810957751411</v>
      </c>
      <c r="N30" s="845"/>
      <c r="O30" s="8"/>
      <c r="AI30" s="559"/>
      <c r="AN30" s="599"/>
      <c r="BE30" s="538"/>
    </row>
    <row r="31" spans="2:62" x14ac:dyDescent="0.3">
      <c r="B31" s="592" t="s">
        <v>7</v>
      </c>
      <c r="G31" s="40" t="s">
        <v>517</v>
      </c>
      <c r="H31" s="22">
        <f>SUM(D33:O44)</f>
        <v>0.73855596354460895</v>
      </c>
      <c r="L31" s="40" t="s">
        <v>521</v>
      </c>
      <c r="M31" s="22">
        <f>H31</f>
        <v>0.73855596354460895</v>
      </c>
      <c r="N31" s="40"/>
      <c r="O31" s="22"/>
      <c r="R31" s="592" t="s">
        <v>7</v>
      </c>
      <c r="AF31" s="1"/>
      <c r="AN31" s="599"/>
      <c r="AP31" s="592" t="s">
        <v>7</v>
      </c>
      <c r="BD31" s="1"/>
      <c r="BE31" s="538"/>
      <c r="BI31" s="1" t="s">
        <v>348</v>
      </c>
    </row>
    <row r="32" spans="2:62" ht="60" customHeight="1" x14ac:dyDescent="0.3">
      <c r="B32" s="558" t="s">
        <v>519</v>
      </c>
      <c r="D32" s="13">
        <v>1</v>
      </c>
      <c r="E32" s="13">
        <v>2</v>
      </c>
      <c r="F32" s="13">
        <v>3</v>
      </c>
      <c r="G32" s="13">
        <v>4</v>
      </c>
      <c r="H32" s="13">
        <v>5</v>
      </c>
      <c r="I32" s="13">
        <v>6</v>
      </c>
      <c r="J32" s="13">
        <v>7</v>
      </c>
      <c r="K32" s="13">
        <v>8</v>
      </c>
      <c r="L32" s="13">
        <v>9</v>
      </c>
      <c r="M32" s="13">
        <v>10</v>
      </c>
      <c r="N32" s="13">
        <v>11</v>
      </c>
      <c r="O32" s="13">
        <v>12</v>
      </c>
      <c r="R32" s="558" t="s">
        <v>320</v>
      </c>
      <c r="T32" s="500">
        <v>1</v>
      </c>
      <c r="U32" s="500">
        <v>2</v>
      </c>
      <c r="V32" s="500">
        <v>3</v>
      </c>
      <c r="W32" s="500">
        <v>4</v>
      </c>
      <c r="X32" s="500">
        <v>5</v>
      </c>
      <c r="Y32" s="500">
        <v>6</v>
      </c>
      <c r="Z32" s="500">
        <v>7</v>
      </c>
      <c r="AA32" s="500">
        <v>8</v>
      </c>
      <c r="AB32" s="500">
        <v>9</v>
      </c>
      <c r="AC32" s="500">
        <v>10</v>
      </c>
      <c r="AD32" s="500">
        <v>11</v>
      </c>
      <c r="AE32" s="500">
        <v>12</v>
      </c>
      <c r="AG32" s="544" t="s">
        <v>315</v>
      </c>
      <c r="AH32" s="1112" t="s">
        <v>117</v>
      </c>
      <c r="AI32" s="1112"/>
      <c r="AK32" s="1112" t="s">
        <v>216</v>
      </c>
      <c r="AL32" s="1112"/>
      <c r="AN32" s="599"/>
      <c r="AP32" s="558" t="s">
        <v>320</v>
      </c>
      <c r="AR32" s="500">
        <v>1</v>
      </c>
      <c r="AS32" s="500">
        <v>2</v>
      </c>
      <c r="AT32" s="500">
        <v>3</v>
      </c>
      <c r="AU32" s="500">
        <v>4</v>
      </c>
      <c r="AV32" s="500">
        <v>5</v>
      </c>
      <c r="AW32" s="500">
        <v>6</v>
      </c>
      <c r="AX32" s="500">
        <v>7</v>
      </c>
      <c r="AY32" s="500">
        <v>8</v>
      </c>
      <c r="AZ32" s="500">
        <v>9</v>
      </c>
      <c r="BA32" s="500">
        <v>10</v>
      </c>
      <c r="BB32" s="500">
        <v>11</v>
      </c>
      <c r="BC32" s="500">
        <v>12</v>
      </c>
      <c r="BE32" s="544" t="s">
        <v>315</v>
      </c>
      <c r="BF32" s="1112" t="s">
        <v>216</v>
      </c>
      <c r="BG32" s="1112"/>
      <c r="BI32" s="1112" t="s">
        <v>345</v>
      </c>
      <c r="BJ32" s="1112"/>
    </row>
    <row r="33" spans="2:62" ht="34.5" customHeight="1" x14ac:dyDescent="0.3">
      <c r="B33" s="26">
        <v>0</v>
      </c>
      <c r="D33" s="276"/>
      <c r="E33" s="276"/>
      <c r="F33" s="276"/>
      <c r="G33" s="276"/>
      <c r="H33" s="276"/>
      <c r="I33" s="276"/>
      <c r="J33" s="276"/>
      <c r="K33" s="276"/>
      <c r="L33" s="276"/>
      <c r="M33" s="276"/>
      <c r="N33" s="276"/>
      <c r="O33" s="276"/>
      <c r="R33" s="26">
        <v>0</v>
      </c>
      <c r="T33" s="35"/>
      <c r="U33" s="35"/>
      <c r="V33" s="35"/>
      <c r="W33" s="35"/>
      <c r="X33" s="35"/>
      <c r="Y33" s="35"/>
      <c r="Z33" s="35"/>
      <c r="AA33" s="35"/>
      <c r="AB33" s="35"/>
      <c r="AC33" s="35"/>
      <c r="AD33" s="35"/>
      <c r="AE33" s="35"/>
      <c r="AF33" s="275"/>
      <c r="AG33" s="546" t="s">
        <v>317</v>
      </c>
      <c r="AH33" s="570" t="s">
        <v>312</v>
      </c>
      <c r="AI33" s="571" t="s">
        <v>313</v>
      </c>
      <c r="AJ33" s="572"/>
      <c r="AK33" s="570" t="s">
        <v>312</v>
      </c>
      <c r="AL33" s="571" t="s">
        <v>313</v>
      </c>
      <c r="AN33" s="599"/>
      <c r="AP33" s="26">
        <v>0</v>
      </c>
      <c r="AR33" s="35"/>
      <c r="AS33" s="35"/>
      <c r="AT33" s="35"/>
      <c r="AU33" s="35"/>
      <c r="AV33" s="35"/>
      <c r="AW33" s="35"/>
      <c r="AX33" s="35"/>
      <c r="AY33" s="35"/>
      <c r="AZ33" s="35"/>
      <c r="BA33" s="35"/>
      <c r="BB33" s="35"/>
      <c r="BC33" s="35"/>
      <c r="BD33" s="275"/>
      <c r="BE33" s="546" t="s">
        <v>317</v>
      </c>
      <c r="BF33" s="570" t="s">
        <v>312</v>
      </c>
      <c r="BG33" s="571" t="s">
        <v>313</v>
      </c>
      <c r="BI33" s="570" t="s">
        <v>312</v>
      </c>
      <c r="BJ33" s="571" t="s">
        <v>313</v>
      </c>
    </row>
    <row r="34" spans="2:62" x14ac:dyDescent="0.3">
      <c r="B34" s="26">
        <v>1</v>
      </c>
      <c r="D34" s="856">
        <f>'WiS percent RSV_high'!E33</f>
        <v>7.0972959740895573E-3</v>
      </c>
      <c r="E34" s="856">
        <f>'WiS percent RSV_high'!F34</f>
        <v>2.3235914962527769E-2</v>
      </c>
      <c r="F34" s="856">
        <f>'WiS percent RSV_high'!G35</f>
        <v>4.8041200617632659E-2</v>
      </c>
      <c r="G34" s="856">
        <f>'WiS percent RSV_high'!H36</f>
        <v>3.5407656385342517E-2</v>
      </c>
      <c r="H34" s="856">
        <f>'WiS percent RSV_high'!I37</f>
        <v>1.1685459270138967E-2</v>
      </c>
      <c r="I34" s="856">
        <f>'WiS percent RSV_high'!J38</f>
        <v>2.7318947011637099E-3</v>
      </c>
      <c r="J34" s="856">
        <f>'WiS percent RSV_high'!K39</f>
        <v>0</v>
      </c>
      <c r="K34" s="856">
        <f>'WiS percent RSV_high'!L40</f>
        <v>0</v>
      </c>
      <c r="L34" s="856">
        <f>'WiS percent RSV_high'!M41</f>
        <v>0</v>
      </c>
      <c r="M34" s="856">
        <f>'WiS percent RSV_high'!N42</f>
        <v>0</v>
      </c>
      <c r="N34" s="856">
        <f>'WiS percent RSV_high'!O43</f>
        <v>0</v>
      </c>
      <c r="O34" s="246"/>
      <c r="R34" s="26">
        <v>1</v>
      </c>
      <c r="T34" s="35">
        <f>D34/$H$31*$H$30</f>
        <v>83.704174865010756</v>
      </c>
      <c r="U34" s="35">
        <f t="shared" ref="U34:AD44" si="11">E34/$H$31*$H$30</f>
        <v>274.0400141508037</v>
      </c>
      <c r="V34" s="35">
        <f t="shared" si="11"/>
        <v>566.5888913050768</v>
      </c>
      <c r="W34" s="35">
        <f t="shared" si="11"/>
        <v>417.59124495567028</v>
      </c>
      <c r="X34" s="35">
        <f t="shared" si="11"/>
        <v>137.81611048722633</v>
      </c>
      <c r="Y34" s="35">
        <f t="shared" si="11"/>
        <v>32.219452678009169</v>
      </c>
      <c r="Z34" s="35">
        <f t="shared" si="11"/>
        <v>0</v>
      </c>
      <c r="AA34" s="35">
        <f t="shared" si="11"/>
        <v>0</v>
      </c>
      <c r="AB34" s="35">
        <f t="shared" si="11"/>
        <v>0</v>
      </c>
      <c r="AC34" s="35">
        <f t="shared" si="11"/>
        <v>0</v>
      </c>
      <c r="AD34" s="35">
        <f t="shared" si="11"/>
        <v>0</v>
      </c>
      <c r="AE34" s="35"/>
      <c r="AF34" s="275"/>
      <c r="AG34" s="170"/>
      <c r="AH34" s="551"/>
      <c r="AI34" s="556"/>
      <c r="AK34" s="551"/>
      <c r="AL34" s="556"/>
      <c r="AN34" s="599"/>
      <c r="AP34" s="26">
        <v>1</v>
      </c>
      <c r="AR34" s="35">
        <f>D34/$M$31*$M$30</f>
        <v>569.19951120683277</v>
      </c>
      <c r="AS34" s="35">
        <f t="shared" ref="AS34:BB44" si="12">E34/$M$31*$M$30</f>
        <v>1863.5085090714365</v>
      </c>
      <c r="AT34" s="35">
        <f t="shared" si="12"/>
        <v>3852.8797459167158</v>
      </c>
      <c r="AU34" s="35">
        <f t="shared" si="12"/>
        <v>2839.6759527986028</v>
      </c>
      <c r="AV34" s="35">
        <f t="shared" si="12"/>
        <v>937.16786351772384</v>
      </c>
      <c r="AW34" s="35">
        <f t="shared" si="12"/>
        <v>219.09655934426422</v>
      </c>
      <c r="AX34" s="35">
        <f t="shared" si="12"/>
        <v>0</v>
      </c>
      <c r="AY34" s="35">
        <f t="shared" si="12"/>
        <v>0</v>
      </c>
      <c r="AZ34" s="35">
        <f t="shared" si="12"/>
        <v>0</v>
      </c>
      <c r="BA34" s="35">
        <f t="shared" si="12"/>
        <v>0</v>
      </c>
      <c r="BB34" s="35">
        <f t="shared" si="12"/>
        <v>0</v>
      </c>
      <c r="BC34" s="35"/>
      <c r="BD34" s="275"/>
      <c r="BE34" s="170"/>
      <c r="BF34" s="551"/>
      <c r="BG34" s="556"/>
      <c r="BI34" s="551"/>
      <c r="BJ34" s="556"/>
    </row>
    <row r="35" spans="2:62" x14ac:dyDescent="0.3">
      <c r="B35" s="26">
        <v>2</v>
      </c>
      <c r="D35" s="856">
        <f>'WiS percent RSV_high'!E34</f>
        <v>8.0158833276842544E-3</v>
      </c>
      <c r="E35" s="856">
        <f>'WiS percent RSV_high'!F35</f>
        <v>3.3746732949195946E-2</v>
      </c>
      <c r="F35" s="856">
        <f>'WiS percent RSV_high'!G36</f>
        <v>5.2949064135879173E-2</v>
      </c>
      <c r="G35" s="856">
        <f>'WiS percent RSV_high'!H37</f>
        <v>2.1772907016156366E-2</v>
      </c>
      <c r="H35" s="856">
        <f>'WiS percent RSV_high'!I38</f>
        <v>1.031069935600497E-2</v>
      </c>
      <c r="I35" s="856">
        <f>'WiS percent RSV_high'!J39</f>
        <v>1.8737995706699807E-3</v>
      </c>
      <c r="J35" s="856">
        <f>'WiS percent RSV_high'!K40</f>
        <v>0</v>
      </c>
      <c r="K35" s="856">
        <f>'WiS percent RSV_high'!L41</f>
        <v>0</v>
      </c>
      <c r="L35" s="856">
        <f>'WiS percent RSV_high'!M42</f>
        <v>0</v>
      </c>
      <c r="M35" s="856">
        <f>'WiS percent RSV_high'!N43</f>
        <v>0</v>
      </c>
      <c r="N35" s="246"/>
      <c r="O35" s="246"/>
      <c r="R35" s="26">
        <v>2</v>
      </c>
      <c r="T35" s="35">
        <f t="shared" ref="T35:T44" si="13">D35/$H$31*$H$30</f>
        <v>94.537821475604801</v>
      </c>
      <c r="U35" s="35">
        <f t="shared" si="11"/>
        <v>398.0026261008054</v>
      </c>
      <c r="V35" s="35">
        <f t="shared" si="11"/>
        <v>624.47131126398392</v>
      </c>
      <c r="W35" s="35">
        <f t="shared" si="11"/>
        <v>256.78557338645589</v>
      </c>
      <c r="X35" s="35">
        <f t="shared" si="11"/>
        <v>121.60245042990559</v>
      </c>
      <c r="Y35" s="35">
        <f t="shared" si="11"/>
        <v>22.099239977865267</v>
      </c>
      <c r="Z35" s="35">
        <f t="shared" si="11"/>
        <v>0</v>
      </c>
      <c r="AA35" s="35">
        <f t="shared" si="11"/>
        <v>0</v>
      </c>
      <c r="AB35" s="35">
        <f t="shared" si="11"/>
        <v>0</v>
      </c>
      <c r="AC35" s="35">
        <f t="shared" si="11"/>
        <v>0</v>
      </c>
      <c r="AD35" s="35">
        <f t="shared" si="11"/>
        <v>0</v>
      </c>
      <c r="AE35" s="35"/>
      <c r="AF35" s="275"/>
      <c r="AG35" s="562">
        <f>IF(AND(R33&gt;0,12-'Input 4_RSV Season'!$AG$27+1&gt;R33),IF(AG34&gt;0,AG34+1,1),0)</f>
        <v>0</v>
      </c>
      <c r="AH35" s="549">
        <f>IF($AG35&gt;0,SUMIF($T$7:$AE$7,"&gt;0",$T33:$AE33),0)</f>
        <v>0</v>
      </c>
      <c r="AI35" s="549">
        <f>IF($AG35&gt;0,SUMIF($T$7:$AE$7,0,$T33:$AE33),0)</f>
        <v>0</v>
      </c>
      <c r="AK35" s="563">
        <f>IF($AG35&gt;0,SUMIF($T$8:$AE$8,"&gt;0",$T33:$AE33),0)</f>
        <v>0</v>
      </c>
      <c r="AL35" s="564">
        <f>IF($AG35&gt;0,SUMIF($T$8:$AE$8,0,$T33:$AE33),0)</f>
        <v>0</v>
      </c>
      <c r="AN35" s="599"/>
      <c r="AP35" s="26">
        <v>2</v>
      </c>
      <c r="AR35" s="35">
        <f t="shared" ref="AR35:AR44" si="14">D35/$M$31*$M$30</f>
        <v>642.86974767093238</v>
      </c>
      <c r="AS35" s="35">
        <f t="shared" si="12"/>
        <v>2706.4707417635823</v>
      </c>
      <c r="AT35" s="35">
        <f t="shared" si="12"/>
        <v>4246.4878927171758</v>
      </c>
      <c r="AU35" s="35">
        <f t="shared" si="12"/>
        <v>1746.176019203964</v>
      </c>
      <c r="AV35" s="35">
        <f t="shared" si="12"/>
        <v>826.91282075093272</v>
      </c>
      <c r="AW35" s="35">
        <f t="shared" si="12"/>
        <v>150.27776826818123</v>
      </c>
      <c r="AX35" s="35">
        <f t="shared" si="12"/>
        <v>0</v>
      </c>
      <c r="AY35" s="35">
        <f t="shared" si="12"/>
        <v>0</v>
      </c>
      <c r="AZ35" s="35">
        <f t="shared" si="12"/>
        <v>0</v>
      </c>
      <c r="BA35" s="35">
        <f t="shared" si="12"/>
        <v>0</v>
      </c>
      <c r="BB35" s="35">
        <f t="shared" si="12"/>
        <v>0</v>
      </c>
      <c r="BC35" s="35"/>
      <c r="BD35" s="275"/>
      <c r="BE35" s="562">
        <f>IF(AND(AP33&gt;0,12-'Input 4_RSV Season'!$AG$27+1&gt;AP33),IF(BE34&gt;0,BE34+1,1),0)</f>
        <v>0</v>
      </c>
      <c r="BF35" s="549">
        <f>IF($BE35&gt;0,SUMIF($AR$8:$BC$8,"&gt;0",$AR33:$BC33),0)</f>
        <v>0</v>
      </c>
      <c r="BG35" s="564">
        <f>IF($BE35&gt;0,SUMIF($AR$8:$BC$8,0,$AR33:$BC33),0)</f>
        <v>0</v>
      </c>
      <c r="BI35" s="693"/>
      <c r="BJ35" s="564"/>
    </row>
    <row r="36" spans="2:62" x14ac:dyDescent="0.3">
      <c r="B36" s="26">
        <v>3</v>
      </c>
      <c r="D36" s="856">
        <f>'WiS percent RSV_high'!E35</f>
        <v>1.164188603924227E-2</v>
      </c>
      <c r="E36" s="856">
        <f>'WiS percent RSV_high'!F36</f>
        <v>3.7194281248823097E-2</v>
      </c>
      <c r="F36" s="856">
        <f>'WiS percent RSV_high'!G37</f>
        <v>3.2559484803976947E-2</v>
      </c>
      <c r="G36" s="856">
        <f>'WiS percent RSV_high'!H38</f>
        <v>1.9211388543667378E-2</v>
      </c>
      <c r="H36" s="856">
        <f>'WiS percent RSV_high'!I39</f>
        <v>7.0720822505931534E-3</v>
      </c>
      <c r="I36" s="856">
        <f>'WiS percent RSV_high'!J40</f>
        <v>1.8533687342296536E-3</v>
      </c>
      <c r="J36" s="856">
        <f>'WiS percent RSV_high'!K41</f>
        <v>0</v>
      </c>
      <c r="K36" s="856">
        <f>'WiS percent RSV_high'!L42</f>
        <v>0</v>
      </c>
      <c r="L36" s="856">
        <f>'WiS percent RSV_high'!M43</f>
        <v>0</v>
      </c>
      <c r="M36" s="246"/>
      <c r="N36" s="246"/>
      <c r="O36" s="246"/>
      <c r="R36" s="26">
        <v>3</v>
      </c>
      <c r="T36" s="35">
        <f t="shared" si="13"/>
        <v>137.30221599110757</v>
      </c>
      <c r="U36" s="35">
        <f t="shared" si="11"/>
        <v>438.66236282040586</v>
      </c>
      <c r="V36" s="35">
        <f t="shared" si="11"/>
        <v>384.00044460543404</v>
      </c>
      <c r="W36" s="35">
        <f t="shared" si="11"/>
        <v>226.57550592922576</v>
      </c>
      <c r="X36" s="35">
        <f t="shared" si="11"/>
        <v>83.406808948717298</v>
      </c>
      <c r="Y36" s="35">
        <f t="shared" si="11"/>
        <v>21.858282532623743</v>
      </c>
      <c r="Z36" s="35">
        <f t="shared" si="11"/>
        <v>0</v>
      </c>
      <c r="AA36" s="35">
        <f t="shared" si="11"/>
        <v>0</v>
      </c>
      <c r="AB36" s="35">
        <f t="shared" si="11"/>
        <v>0</v>
      </c>
      <c r="AC36" s="35">
        <f t="shared" si="11"/>
        <v>0</v>
      </c>
      <c r="AD36" s="35">
        <f t="shared" si="11"/>
        <v>0</v>
      </c>
      <c r="AE36" s="35"/>
      <c r="AF36" s="275"/>
      <c r="AG36" s="562">
        <f>IF(AND(R34&gt;0,12-'Input 4_RSV Season'!$AG$27+1&gt;R34),IF(AG35&gt;0,AG35+1,1),0)</f>
        <v>1</v>
      </c>
      <c r="AH36" s="549">
        <f t="shared" ref="AH36:AH46" si="15">IF($AG36&gt;0,SUMIF($T$7:$AE$7,"&gt;0",$T34:$AE34),0)</f>
        <v>1479.7404357637877</v>
      </c>
      <c r="AI36" s="549">
        <f t="shared" ref="AI36:AI46" si="16">IF($AG36&gt;0,SUMIF($T$7:$AE$7,0,$T34:$AE34),0)</f>
        <v>32.219452678009169</v>
      </c>
      <c r="AK36" s="549">
        <f t="shared" ref="AK36:AK46" si="17">IF($AG36&gt;0,SUMIF($T$8:$AE$8,"&gt;0",$T34:$AE34),0)</f>
        <v>1479.7404357637877</v>
      </c>
      <c r="AL36" s="565">
        <f t="shared" ref="AL36:AL46" si="18">IF($AG36&gt;0,SUMIF($T$8:$AE$8,0,$T34:$AE34),0)</f>
        <v>32.219452678009169</v>
      </c>
      <c r="AN36" s="599"/>
      <c r="AP36" s="26">
        <v>3</v>
      </c>
      <c r="AR36" s="35">
        <f t="shared" si="14"/>
        <v>933.67331266079918</v>
      </c>
      <c r="AS36" s="35">
        <f t="shared" si="12"/>
        <v>2982.9623540866055</v>
      </c>
      <c r="AT36" s="35">
        <f t="shared" si="12"/>
        <v>2611.2540470664781</v>
      </c>
      <c r="AU36" s="35">
        <f t="shared" si="12"/>
        <v>1540.7435463564386</v>
      </c>
      <c r="AV36" s="35">
        <f t="shared" si="12"/>
        <v>567.17738346378087</v>
      </c>
      <c r="AW36" s="35">
        <f t="shared" si="12"/>
        <v>148.63922562351257</v>
      </c>
      <c r="AX36" s="35">
        <f t="shared" si="12"/>
        <v>0</v>
      </c>
      <c r="AY36" s="35">
        <f t="shared" si="12"/>
        <v>0</v>
      </c>
      <c r="AZ36" s="35">
        <f t="shared" si="12"/>
        <v>0</v>
      </c>
      <c r="BA36" s="35">
        <f t="shared" si="12"/>
        <v>0</v>
      </c>
      <c r="BB36" s="35">
        <f t="shared" si="12"/>
        <v>0</v>
      </c>
      <c r="BC36" s="35"/>
      <c r="BD36" s="275"/>
      <c r="BE36" s="562">
        <f>IF(AND(AP34&gt;0,12-'Input 4_RSV Season'!$AG$27+1&gt;AP34),IF(BE35&gt;0,BE35+1,1),0)</f>
        <v>1</v>
      </c>
      <c r="BF36" s="549">
        <f t="shared" ref="BF36:BF46" si="19">IF($BE36&gt;0,SUMIF($AR$8:$BC$8,"&gt;0",$AR34:$BC34),0)</f>
        <v>10062.431582511312</v>
      </c>
      <c r="BG36" s="565">
        <f t="shared" ref="BG36:BG46" si="20">IF($BE36&gt;0,SUMIF($AR$8:$BC$8,0,$AR34:$BC34),0)</f>
        <v>219.09655934426422</v>
      </c>
      <c r="BI36" s="693">
        <f>IF(SUM($AR$7:$BC$7)=4,SUM(AR34:AU34),IF(SUM($AR$7:$BC$7)=3,SUM(AR34:AT34),IF(SUM($AR$7:$BC$7)=2,SUM(AR34:AS34),IF(SUM($AR$7:$BC$7)=1,AR34,0))))</f>
        <v>6285.5877661949853</v>
      </c>
      <c r="BJ36" s="565">
        <f t="shared" ref="BJ36:BJ39" si="21">IF($BE36&gt;0,SUM($AR34:$BC34)-BI36,0)</f>
        <v>3995.9403756605898</v>
      </c>
    </row>
    <row r="37" spans="2:62" x14ac:dyDescent="0.3">
      <c r="B37" s="26">
        <v>4</v>
      </c>
      <c r="D37" s="856">
        <f>'WiS percent RSV_high'!E36</f>
        <v>1.2831214928633298E-2</v>
      </c>
      <c r="E37" s="856">
        <f>'WiS percent RSV_high'!F37</f>
        <v>2.2871539938989941E-2</v>
      </c>
      <c r="F37" s="856">
        <f>'WiS percent RSV_high'!G38</f>
        <v>2.8728957179979659E-2</v>
      </c>
      <c r="G37" s="856">
        <f>'WiS percent RSV_high'!H39</f>
        <v>1.3177042142130833E-2</v>
      </c>
      <c r="H37" s="856">
        <f>'WiS percent RSV_high'!I40</f>
        <v>6.994972319511919E-3</v>
      </c>
      <c r="I37" s="856">
        <f>'WiS percent RSV_high'!J41</f>
        <v>1.8562874251497005E-3</v>
      </c>
      <c r="J37" s="856">
        <f>'WiS percent RSV_high'!K42</f>
        <v>0</v>
      </c>
      <c r="K37" s="856">
        <f>'WiS percent RSV_high'!L43</f>
        <v>0</v>
      </c>
      <c r="L37" s="246"/>
      <c r="M37" s="246"/>
      <c r="N37" s="246"/>
      <c r="O37" s="246"/>
      <c r="R37" s="26">
        <v>4</v>
      </c>
      <c r="T37" s="35">
        <f t="shared" si="13"/>
        <v>151.32893739219242</v>
      </c>
      <c r="U37" s="35">
        <f t="shared" si="11"/>
        <v>269.74264360320365</v>
      </c>
      <c r="V37" s="35">
        <f t="shared" si="11"/>
        <v>338.8239217106771</v>
      </c>
      <c r="W37" s="35">
        <f t="shared" si="11"/>
        <v>155.40755855402028</v>
      </c>
      <c r="X37" s="35">
        <f t="shared" si="11"/>
        <v>82.497388913450905</v>
      </c>
      <c r="Y37" s="35">
        <f t="shared" si="11"/>
        <v>21.892705024801106</v>
      </c>
      <c r="Z37" s="35">
        <f t="shared" si="11"/>
        <v>0</v>
      </c>
      <c r="AA37" s="35">
        <f t="shared" si="11"/>
        <v>0</v>
      </c>
      <c r="AB37" s="35">
        <f t="shared" si="11"/>
        <v>0</v>
      </c>
      <c r="AC37" s="35">
        <f t="shared" si="11"/>
        <v>0</v>
      </c>
      <c r="AD37" s="35">
        <f t="shared" si="11"/>
        <v>0</v>
      </c>
      <c r="AE37" s="35"/>
      <c r="AF37" s="275"/>
      <c r="AG37" s="562">
        <f>IF(AND(R35&gt;0,12-'Input 4_RSV Season'!$AG$27+1&gt;R35),IF(AG36&gt;0,AG36+1,1),0)</f>
        <v>2</v>
      </c>
      <c r="AH37" s="549">
        <f t="shared" si="15"/>
        <v>1495.3997826567554</v>
      </c>
      <c r="AI37" s="549">
        <f t="shared" si="16"/>
        <v>22.099239977865267</v>
      </c>
      <c r="AK37" s="549">
        <f t="shared" si="17"/>
        <v>1495.3997826567554</v>
      </c>
      <c r="AL37" s="565">
        <f t="shared" si="18"/>
        <v>22.099239977865267</v>
      </c>
      <c r="AN37" s="599"/>
      <c r="AP37" s="26">
        <v>4</v>
      </c>
      <c r="AR37" s="35">
        <f t="shared" si="14"/>
        <v>1029.0568819774753</v>
      </c>
      <c r="AS37" s="35">
        <f t="shared" si="12"/>
        <v>1834.2858183381088</v>
      </c>
      <c r="AT37" s="35">
        <f t="shared" si="12"/>
        <v>2304.0476885880689</v>
      </c>
      <c r="AU37" s="35">
        <f t="shared" si="12"/>
        <v>1056.7920478214037</v>
      </c>
      <c r="AV37" s="35">
        <f t="shared" si="12"/>
        <v>560.99320638551535</v>
      </c>
      <c r="AW37" s="35">
        <f t="shared" si="12"/>
        <v>148.87330314417954</v>
      </c>
      <c r="AX37" s="35">
        <f t="shared" si="12"/>
        <v>0</v>
      </c>
      <c r="AY37" s="35">
        <f t="shared" si="12"/>
        <v>0</v>
      </c>
      <c r="AZ37" s="35">
        <f t="shared" si="12"/>
        <v>0</v>
      </c>
      <c r="BA37" s="35">
        <f t="shared" si="12"/>
        <v>0</v>
      </c>
      <c r="BB37" s="35">
        <f t="shared" si="12"/>
        <v>0</v>
      </c>
      <c r="BC37" s="35"/>
      <c r="BD37" s="275"/>
      <c r="BE37" s="562">
        <f>IF(AND(AP35&gt;0,12-'Input 4_RSV Season'!$AG$27+1&gt;AP35),IF(BE36&gt;0,BE36+1,1),0)</f>
        <v>2</v>
      </c>
      <c r="BF37" s="549">
        <f t="shared" si="19"/>
        <v>10168.917222106587</v>
      </c>
      <c r="BG37" s="565">
        <f t="shared" si="20"/>
        <v>150.27776826818123</v>
      </c>
      <c r="BI37" s="693">
        <f>IF(SUM($AR$7:$BC$7)=4,SUM(AR35:AT35),IF(SUM($AR$7:$BC$7)=3,SUM(AR35:AS35),IF(SUM($AR$7:$BC$7)=2,AR35,0)))</f>
        <v>3349.3404894345149</v>
      </c>
      <c r="BJ37" s="565">
        <f t="shared" si="21"/>
        <v>6969.8545009402533</v>
      </c>
    </row>
    <row r="38" spans="2:62" x14ac:dyDescent="0.3">
      <c r="B38" s="26">
        <v>5</v>
      </c>
      <c r="D38" s="856">
        <f>'WiS percent RSV_high'!E37</f>
        <v>7.8901819003502419E-3</v>
      </c>
      <c r="E38" s="856">
        <f>'WiS percent RSV_high'!F38</f>
        <v>2.0180770534402887E-2</v>
      </c>
      <c r="F38" s="856">
        <f>'WiS percent RSV_high'!G39</f>
        <v>1.9705118065755284E-2</v>
      </c>
      <c r="G38" s="856">
        <f>'WiS percent RSV_high'!H40</f>
        <v>1.3033367227808533E-2</v>
      </c>
      <c r="H38" s="856">
        <f>'WiS percent RSV_high'!I41</f>
        <v>7.0059880239520958E-3</v>
      </c>
      <c r="I38" s="856">
        <f>'WiS percent RSV_high'!J42</f>
        <v>1.348435205061575E-3</v>
      </c>
      <c r="J38" s="856">
        <f>'WiS percent RSV_high'!K43</f>
        <v>0</v>
      </c>
      <c r="K38" s="246"/>
      <c r="L38" s="246"/>
      <c r="M38" s="246"/>
      <c r="N38" s="246"/>
      <c r="O38" s="246"/>
      <c r="R38" s="26">
        <v>5</v>
      </c>
      <c r="T38" s="35">
        <f t="shared" si="13"/>
        <v>93.055322465734008</v>
      </c>
      <c r="U38" s="35">
        <f t="shared" si="11"/>
        <v>238.00821494400321</v>
      </c>
      <c r="V38" s="35">
        <f t="shared" si="11"/>
        <v>232.39845912206701</v>
      </c>
      <c r="W38" s="35">
        <f t="shared" si="11"/>
        <v>153.71308361651538</v>
      </c>
      <c r="X38" s="35">
        <f t="shared" si="11"/>
        <v>82.627306061346118</v>
      </c>
      <c r="Y38" s="35">
        <f t="shared" si="11"/>
        <v>15.903191385940426</v>
      </c>
      <c r="Z38" s="35">
        <f t="shared" si="11"/>
        <v>0</v>
      </c>
      <c r="AA38" s="35">
        <f t="shared" si="11"/>
        <v>0</v>
      </c>
      <c r="AB38" s="35">
        <f t="shared" si="11"/>
        <v>0</v>
      </c>
      <c r="AC38" s="35">
        <f t="shared" si="11"/>
        <v>0</v>
      </c>
      <c r="AD38" s="35">
        <f t="shared" si="11"/>
        <v>0</v>
      </c>
      <c r="AE38" s="35"/>
      <c r="AF38" s="275"/>
      <c r="AG38" s="562">
        <f>IF(AND(R36&gt;0,12-'Input 4_RSV Season'!$AG$27+1&gt;R36),IF(AG37&gt;0,AG37+1,1),0)</f>
        <v>3</v>
      </c>
      <c r="AH38" s="549">
        <f t="shared" si="15"/>
        <v>1269.9473382948904</v>
      </c>
      <c r="AI38" s="549">
        <f t="shared" si="16"/>
        <v>21.858282532623743</v>
      </c>
      <c r="AK38" s="549">
        <f t="shared" si="17"/>
        <v>1269.9473382948904</v>
      </c>
      <c r="AL38" s="565">
        <f t="shared" si="18"/>
        <v>21.858282532623743</v>
      </c>
      <c r="AN38" s="599"/>
      <c r="AP38" s="26">
        <v>5</v>
      </c>
      <c r="AR38" s="35">
        <f t="shared" si="14"/>
        <v>632.78855741795019</v>
      </c>
      <c r="AS38" s="35">
        <f t="shared" si="12"/>
        <v>1618.4874867689193</v>
      </c>
      <c r="AT38" s="35">
        <f t="shared" si="12"/>
        <v>1580.3404017879707</v>
      </c>
      <c r="AU38" s="35">
        <f t="shared" si="12"/>
        <v>1045.269393094379</v>
      </c>
      <c r="AV38" s="35">
        <f t="shared" si="12"/>
        <v>561.87666025383896</v>
      </c>
      <c r="AW38" s="35">
        <f t="shared" si="12"/>
        <v>108.14381454813042</v>
      </c>
      <c r="AX38" s="35">
        <f t="shared" si="12"/>
        <v>0</v>
      </c>
      <c r="AY38" s="35">
        <f t="shared" si="12"/>
        <v>0</v>
      </c>
      <c r="AZ38" s="35">
        <f t="shared" si="12"/>
        <v>0</v>
      </c>
      <c r="BA38" s="35">
        <f t="shared" si="12"/>
        <v>0</v>
      </c>
      <c r="BB38" s="35">
        <f t="shared" si="12"/>
        <v>0</v>
      </c>
      <c r="BC38" s="35"/>
      <c r="BD38" s="275"/>
      <c r="BE38" s="562">
        <f>IF(AND(AP36&gt;0,12-'Input 4_RSV Season'!$AG$27+1&gt;AP36),IF(BE37&gt;0,BE37+1,1),0)</f>
        <v>3</v>
      </c>
      <c r="BF38" s="549">
        <f t="shared" si="19"/>
        <v>8635.8106436341022</v>
      </c>
      <c r="BG38" s="565">
        <f t="shared" si="20"/>
        <v>148.63922562351257</v>
      </c>
      <c r="BI38" s="693">
        <f>IF(SUM($AR$7:$BC$7)=4,SUM(AR36:AS36),IF(SUM($AR$7:$BC$7)=3,AR36,0))</f>
        <v>933.67331266079918</v>
      </c>
      <c r="BJ38" s="565">
        <f t="shared" si="21"/>
        <v>7850.7765565968148</v>
      </c>
    </row>
    <row r="39" spans="2:62" x14ac:dyDescent="0.3">
      <c r="B39" s="26">
        <v>6</v>
      </c>
      <c r="D39" s="856">
        <f>'WiS percent RSV_high'!E38</f>
        <v>6.9619252061913894E-3</v>
      </c>
      <c r="E39" s="856">
        <f>'WiS percent RSV_high'!F39</f>
        <v>1.384193876398147E-2</v>
      </c>
      <c r="F39" s="856">
        <f>'WiS percent RSV_high'!G40</f>
        <v>1.9490264753511843E-2</v>
      </c>
      <c r="G39" s="856">
        <f>'WiS percent RSV_high'!H41</f>
        <v>1.3053892215568861E-2</v>
      </c>
      <c r="H39" s="856">
        <f>'WiS percent RSV_high'!I42</f>
        <v>5.0892554513614283E-3</v>
      </c>
      <c r="I39" s="856">
        <f>'WiS percent RSV_high'!J43</f>
        <v>1.8562874251497005E-3</v>
      </c>
      <c r="J39" s="246"/>
      <c r="K39" s="246"/>
      <c r="L39" s="246"/>
      <c r="M39" s="246"/>
      <c r="N39" s="246"/>
      <c r="O39" s="246"/>
      <c r="R39" s="26">
        <v>6</v>
      </c>
      <c r="T39" s="35">
        <f t="shared" si="13"/>
        <v>82.107637469765308</v>
      </c>
      <c r="U39" s="35">
        <f t="shared" si="11"/>
        <v>163.2492243526176</v>
      </c>
      <c r="V39" s="35">
        <f t="shared" si="11"/>
        <v>229.8645195366239</v>
      </c>
      <c r="W39" s="35">
        <f t="shared" si="11"/>
        <v>153.95515146473033</v>
      </c>
      <c r="X39" s="35">
        <f t="shared" si="11"/>
        <v>60.021722327581614</v>
      </c>
      <c r="Y39" s="35">
        <f t="shared" si="11"/>
        <v>21.892705024801106</v>
      </c>
      <c r="Z39" s="35">
        <f t="shared" si="11"/>
        <v>0</v>
      </c>
      <c r="AA39" s="35">
        <f t="shared" si="11"/>
        <v>0</v>
      </c>
      <c r="AB39" s="35">
        <f t="shared" si="11"/>
        <v>0</v>
      </c>
      <c r="AC39" s="35">
        <f t="shared" si="11"/>
        <v>0</v>
      </c>
      <c r="AD39" s="35">
        <f t="shared" si="11"/>
        <v>0</v>
      </c>
      <c r="AE39" s="35"/>
      <c r="AF39" s="275"/>
      <c r="AG39" s="562">
        <f>IF(AND(R37&gt;0,12-'Input 4_RSV Season'!$AG$27+1&gt;R37),IF(AG38&gt;0,AG38+1,1),0)</f>
        <v>4</v>
      </c>
      <c r="AH39" s="549">
        <f t="shared" si="15"/>
        <v>997.80045017354428</v>
      </c>
      <c r="AI39" s="549">
        <f t="shared" si="16"/>
        <v>21.892705024801106</v>
      </c>
      <c r="AK39" s="549">
        <f t="shared" si="17"/>
        <v>997.80045017354428</v>
      </c>
      <c r="AL39" s="565">
        <f t="shared" si="18"/>
        <v>21.892705024801106</v>
      </c>
      <c r="AN39" s="599"/>
      <c r="AP39" s="26">
        <v>6</v>
      </c>
      <c r="AR39" s="35">
        <f t="shared" si="14"/>
        <v>558.34284478054428</v>
      </c>
      <c r="AS39" s="35">
        <f t="shared" si="12"/>
        <v>1110.1164172068873</v>
      </c>
      <c r="AT39" s="35">
        <f t="shared" si="12"/>
        <v>1563.1092759117776</v>
      </c>
      <c r="AU39" s="35">
        <f t="shared" si="12"/>
        <v>1046.9154866268109</v>
      </c>
      <c r="AV39" s="35">
        <f t="shared" si="12"/>
        <v>408.15568716552457</v>
      </c>
      <c r="AW39" s="35">
        <f t="shared" si="12"/>
        <v>148.87330314417954</v>
      </c>
      <c r="AX39" s="35">
        <f t="shared" si="12"/>
        <v>0</v>
      </c>
      <c r="AY39" s="35">
        <f t="shared" si="12"/>
        <v>0</v>
      </c>
      <c r="AZ39" s="35">
        <f t="shared" si="12"/>
        <v>0</v>
      </c>
      <c r="BA39" s="35">
        <f t="shared" si="12"/>
        <v>0</v>
      </c>
      <c r="BB39" s="35">
        <f t="shared" si="12"/>
        <v>0</v>
      </c>
      <c r="BC39" s="35"/>
      <c r="BD39" s="275"/>
      <c r="BE39" s="562">
        <f>IF(AND(AP37&gt;0,12-'Input 4_RSV Season'!$AG$27+1&gt;AP37),IF(BE38&gt;0,BE38+1,1),0)</f>
        <v>4</v>
      </c>
      <c r="BF39" s="549">
        <f t="shared" si="19"/>
        <v>6785.1756431105714</v>
      </c>
      <c r="BG39" s="565">
        <f t="shared" si="20"/>
        <v>148.87330314417954</v>
      </c>
      <c r="BI39" s="693">
        <f>IF(SUM($AR$7:$BC$7)=4,AR37,0)</f>
        <v>0</v>
      </c>
      <c r="BJ39" s="565">
        <f t="shared" si="21"/>
        <v>6934.0489462547512</v>
      </c>
    </row>
    <row r="40" spans="2:62" x14ac:dyDescent="0.3">
      <c r="B40" s="26">
        <v>7</v>
      </c>
      <c r="D40" s="856">
        <f>'WiS percent RSV_high'!E39</f>
        <v>4.7751666478364025E-3</v>
      </c>
      <c r="E40" s="856">
        <f>'WiS percent RSV_high'!F40</f>
        <v>1.3691014198019054E-2</v>
      </c>
      <c r="F40" s="856">
        <f>'WiS percent RSV_high'!G41</f>
        <v>1.9520958083832335E-2</v>
      </c>
      <c r="G40" s="856">
        <f>'WiS percent RSV_high'!H42</f>
        <v>9.4825443452717199E-3</v>
      </c>
      <c r="H40" s="856">
        <f>'WiS percent RSV_high'!I43</f>
        <v>7.0059880239520958E-3</v>
      </c>
      <c r="I40" s="246"/>
      <c r="J40" s="246"/>
      <c r="K40" s="246"/>
      <c r="L40" s="246"/>
      <c r="M40" s="246"/>
      <c r="N40" s="246"/>
      <c r="O40" s="246"/>
      <c r="R40" s="26">
        <v>7</v>
      </c>
      <c r="T40" s="35">
        <f t="shared" si="13"/>
        <v>56.317418008108255</v>
      </c>
      <c r="U40" s="35">
        <f t="shared" si="11"/>
        <v>161.46924838615601</v>
      </c>
      <c r="V40" s="35">
        <f t="shared" si="11"/>
        <v>230.2265109059729</v>
      </c>
      <c r="W40" s="35">
        <f t="shared" si="11"/>
        <v>111.83534587532299</v>
      </c>
      <c r="X40" s="35">
        <f t="shared" si="11"/>
        <v>82.627306061346118</v>
      </c>
      <c r="Y40" s="35">
        <f t="shared" si="11"/>
        <v>0</v>
      </c>
      <c r="Z40" s="35">
        <f t="shared" si="11"/>
        <v>0</v>
      </c>
      <c r="AA40" s="35">
        <f t="shared" si="11"/>
        <v>0</v>
      </c>
      <c r="AB40" s="35">
        <f t="shared" si="11"/>
        <v>0</v>
      </c>
      <c r="AC40" s="35">
        <f t="shared" si="11"/>
        <v>0</v>
      </c>
      <c r="AD40" s="35">
        <f t="shared" si="11"/>
        <v>0</v>
      </c>
      <c r="AE40" s="35"/>
      <c r="AF40" s="275"/>
      <c r="AG40" s="562">
        <f>IF(AND(R38&gt;0,12-'Input 4_RSV Season'!$AG$27+1&gt;R38),IF(AG39&gt;0,AG39+1,1),0)</f>
        <v>5</v>
      </c>
      <c r="AH40" s="549">
        <f t="shared" si="15"/>
        <v>799.80238620966577</v>
      </c>
      <c r="AI40" s="549">
        <f t="shared" si="16"/>
        <v>15.903191385940426</v>
      </c>
      <c r="AK40" s="549">
        <f t="shared" si="17"/>
        <v>799.80238620966577</v>
      </c>
      <c r="AL40" s="565">
        <f t="shared" si="18"/>
        <v>15.903191385940426</v>
      </c>
      <c r="AN40" s="599"/>
      <c r="AP40" s="26">
        <v>7</v>
      </c>
      <c r="AR40" s="35">
        <f t="shared" si="14"/>
        <v>382.96592558665543</v>
      </c>
      <c r="AS40" s="35">
        <f t="shared" si="12"/>
        <v>1098.0123441220767</v>
      </c>
      <c r="AT40" s="35">
        <f t="shared" si="12"/>
        <v>1565.5708653226623</v>
      </c>
      <c r="AU40" s="35">
        <f t="shared" si="12"/>
        <v>760.49521198362675</v>
      </c>
      <c r="AV40" s="35">
        <f t="shared" si="12"/>
        <v>561.87666025383896</v>
      </c>
      <c r="AW40" s="35">
        <f t="shared" si="12"/>
        <v>0</v>
      </c>
      <c r="AX40" s="35">
        <f t="shared" si="12"/>
        <v>0</v>
      </c>
      <c r="AY40" s="35">
        <f t="shared" si="12"/>
        <v>0</v>
      </c>
      <c r="AZ40" s="35">
        <f t="shared" si="12"/>
        <v>0</v>
      </c>
      <c r="BA40" s="35">
        <f t="shared" si="12"/>
        <v>0</v>
      </c>
      <c r="BB40" s="35">
        <f t="shared" si="12"/>
        <v>0</v>
      </c>
      <c r="BC40" s="35"/>
      <c r="BD40" s="275"/>
      <c r="BE40" s="562">
        <f>IF(AND(AP38&gt;0,12-'Input 4_RSV Season'!$AG$27+1&gt;AP38),IF(BE39&gt;0,BE39+1,1),0)</f>
        <v>5</v>
      </c>
      <c r="BF40" s="549">
        <f t="shared" si="19"/>
        <v>5438.7624993230584</v>
      </c>
      <c r="BG40" s="565">
        <f t="shared" si="20"/>
        <v>108.14381454813042</v>
      </c>
      <c r="BI40" s="693"/>
      <c r="BJ40" s="565">
        <f>IF($BE40&gt;0,SUM($AR38:$BC38)-BI40,0)</f>
        <v>5546.906313871189</v>
      </c>
    </row>
    <row r="41" spans="2:62" x14ac:dyDescent="0.3">
      <c r="B41" s="26">
        <v>8</v>
      </c>
      <c r="D41" s="856">
        <f>'WiS percent RSV_high'!E40</f>
        <v>4.7231009678755697E-3</v>
      </c>
      <c r="E41" s="856">
        <f>'WiS percent RSV_high'!F41</f>
        <v>1.3712574850299399E-2</v>
      </c>
      <c r="F41" s="856">
        <f>'WiS percent RSV_high'!G42</f>
        <v>1.4180318608066886E-2</v>
      </c>
      <c r="G41" s="856">
        <f>'WiS percent RSV_high'!H43</f>
        <v>1.3053892215568861E-2</v>
      </c>
      <c r="H41" s="246"/>
      <c r="I41" s="246"/>
      <c r="J41" s="246"/>
      <c r="K41" s="246"/>
      <c r="L41" s="246"/>
      <c r="M41" s="246"/>
      <c r="N41" s="246"/>
      <c r="O41" s="246"/>
      <c r="R41" s="26">
        <v>8</v>
      </c>
      <c r="T41" s="35">
        <f t="shared" si="13"/>
        <v>55.703365163783097</v>
      </c>
      <c r="U41" s="35">
        <f t="shared" si="11"/>
        <v>161.7235306670791</v>
      </c>
      <c r="V41" s="35">
        <f t="shared" si="11"/>
        <v>167.2400126392445</v>
      </c>
      <c r="W41" s="35">
        <f t="shared" si="11"/>
        <v>153.95515146473033</v>
      </c>
      <c r="X41" s="35">
        <f t="shared" si="11"/>
        <v>0</v>
      </c>
      <c r="Y41" s="35">
        <f t="shared" si="11"/>
        <v>0</v>
      </c>
      <c r="Z41" s="35">
        <f t="shared" si="11"/>
        <v>0</v>
      </c>
      <c r="AA41" s="35">
        <f t="shared" si="11"/>
        <v>0</v>
      </c>
      <c r="AB41" s="35">
        <f t="shared" si="11"/>
        <v>0</v>
      </c>
      <c r="AC41" s="35">
        <f t="shared" si="11"/>
        <v>0</v>
      </c>
      <c r="AD41" s="35">
        <f t="shared" si="11"/>
        <v>0</v>
      </c>
      <c r="AE41" s="35"/>
      <c r="AF41" s="275"/>
      <c r="AG41" s="562">
        <f>IF(AND(R39&gt;0,12-'Input 4_RSV Season'!$AG$27+1&gt;R39),IF(AG40&gt;0,AG40+1,1),0)</f>
        <v>6</v>
      </c>
      <c r="AH41" s="549">
        <f t="shared" si="15"/>
        <v>689.19825515131879</v>
      </c>
      <c r="AI41" s="549">
        <f t="shared" si="16"/>
        <v>21.892705024801106</v>
      </c>
      <c r="AK41" s="549">
        <f t="shared" si="17"/>
        <v>689.19825515131879</v>
      </c>
      <c r="AL41" s="565">
        <f t="shared" si="18"/>
        <v>21.892705024801106</v>
      </c>
      <c r="AN41" s="599"/>
      <c r="AP41" s="26">
        <v>8</v>
      </c>
      <c r="AR41" s="35">
        <f t="shared" si="14"/>
        <v>378.79028465346761</v>
      </c>
      <c r="AS41" s="35">
        <f t="shared" si="12"/>
        <v>1099.7414974199069</v>
      </c>
      <c r="AT41" s="35">
        <f t="shared" si="12"/>
        <v>1137.2543078287265</v>
      </c>
      <c r="AU41" s="35">
        <f t="shared" si="12"/>
        <v>1046.9154866268109</v>
      </c>
      <c r="AV41" s="35">
        <f t="shared" si="12"/>
        <v>0</v>
      </c>
      <c r="AW41" s="35">
        <f t="shared" si="12"/>
        <v>0</v>
      </c>
      <c r="AX41" s="35">
        <f t="shared" si="12"/>
        <v>0</v>
      </c>
      <c r="AY41" s="35">
        <f t="shared" si="12"/>
        <v>0</v>
      </c>
      <c r="AZ41" s="35">
        <f t="shared" si="12"/>
        <v>0</v>
      </c>
      <c r="BA41" s="35">
        <f t="shared" si="12"/>
        <v>0</v>
      </c>
      <c r="BB41" s="35">
        <f t="shared" si="12"/>
        <v>0</v>
      </c>
      <c r="BC41" s="35"/>
      <c r="BD41" s="275"/>
      <c r="BE41" s="562">
        <f>IF(AND(AP39&gt;0,12-'Input 4_RSV Season'!$AG$27+1&gt;AP39),IF(BE40&gt;0,BE40+1,1),0)</f>
        <v>6</v>
      </c>
      <c r="BF41" s="549">
        <f t="shared" si="19"/>
        <v>4686.639711691545</v>
      </c>
      <c r="BG41" s="565">
        <f t="shared" si="20"/>
        <v>148.87330314417954</v>
      </c>
      <c r="BI41" s="693"/>
      <c r="BJ41" s="565">
        <f t="shared" ref="BJ41:BJ46" si="22">IF($BE41&gt;0,SUM($AR39:$BC39)-BI41,0)</f>
        <v>4835.5130148357248</v>
      </c>
    </row>
    <row r="42" spans="2:62" x14ac:dyDescent="0.3">
      <c r="B42" s="26">
        <v>9</v>
      </c>
      <c r="D42" s="856">
        <f>'WiS percent RSV_high'!E41</f>
        <v>4.730538922155688E-3</v>
      </c>
      <c r="E42" s="856">
        <f>'WiS percent RSV_high'!F42</f>
        <v>9.9610213535193757E-3</v>
      </c>
      <c r="F42" s="856">
        <f>'WiS percent RSV_high'!G43</f>
        <v>1.9520958083832335E-2</v>
      </c>
      <c r="G42" s="246"/>
      <c r="H42" s="246"/>
      <c r="I42" s="246"/>
      <c r="J42" s="246"/>
      <c r="K42" s="246"/>
      <c r="L42" s="246"/>
      <c r="M42" s="246"/>
      <c r="N42" s="246"/>
      <c r="O42" s="246"/>
      <c r="R42" s="26">
        <v>9</v>
      </c>
      <c r="T42" s="35">
        <f t="shared" si="13"/>
        <v>55.79108699868668</v>
      </c>
      <c r="U42" s="35">
        <f t="shared" si="11"/>
        <v>117.47841378646315</v>
      </c>
      <c r="V42" s="35">
        <f t="shared" si="11"/>
        <v>230.2265109059729</v>
      </c>
      <c r="W42" s="35">
        <f t="shared" si="11"/>
        <v>0</v>
      </c>
      <c r="X42" s="35">
        <f t="shared" si="11"/>
        <v>0</v>
      </c>
      <c r="Y42" s="35">
        <f t="shared" si="11"/>
        <v>0</v>
      </c>
      <c r="Z42" s="35">
        <f t="shared" si="11"/>
        <v>0</v>
      </c>
      <c r="AA42" s="35">
        <f t="shared" si="11"/>
        <v>0</v>
      </c>
      <c r="AB42" s="35">
        <f t="shared" si="11"/>
        <v>0</v>
      </c>
      <c r="AC42" s="35">
        <f t="shared" si="11"/>
        <v>0</v>
      </c>
      <c r="AD42" s="35">
        <f t="shared" si="11"/>
        <v>0</v>
      </c>
      <c r="AE42" s="35"/>
      <c r="AF42" s="275"/>
      <c r="AG42" s="562">
        <f>IF(AND(R40&gt;0,12-'Input 4_RSV Season'!$AG$27+1&gt;R40),IF(AG41&gt;0,AG41+1,1),0)</f>
        <v>0</v>
      </c>
      <c r="AH42" s="549">
        <f t="shared" si="15"/>
        <v>0</v>
      </c>
      <c r="AI42" s="549">
        <f t="shared" si="16"/>
        <v>0</v>
      </c>
      <c r="AK42" s="549">
        <f t="shared" si="17"/>
        <v>0</v>
      </c>
      <c r="AL42" s="565">
        <f t="shared" si="18"/>
        <v>0</v>
      </c>
      <c r="AN42" s="599"/>
      <c r="AP42" s="26">
        <v>9</v>
      </c>
      <c r="AR42" s="35">
        <f t="shared" si="14"/>
        <v>379.38680478678009</v>
      </c>
      <c r="AS42" s="35">
        <f t="shared" si="12"/>
        <v>798.8688235974796</v>
      </c>
      <c r="AT42" s="35">
        <f t="shared" si="12"/>
        <v>1565.5708653226623</v>
      </c>
      <c r="AU42" s="35">
        <f t="shared" si="12"/>
        <v>0</v>
      </c>
      <c r="AV42" s="35">
        <f t="shared" si="12"/>
        <v>0</v>
      </c>
      <c r="AW42" s="35">
        <f t="shared" si="12"/>
        <v>0</v>
      </c>
      <c r="AX42" s="35">
        <f t="shared" si="12"/>
        <v>0</v>
      </c>
      <c r="AY42" s="35">
        <f t="shared" si="12"/>
        <v>0</v>
      </c>
      <c r="AZ42" s="35">
        <f t="shared" si="12"/>
        <v>0</v>
      </c>
      <c r="BA42" s="35">
        <f t="shared" si="12"/>
        <v>0</v>
      </c>
      <c r="BB42" s="35">
        <f t="shared" si="12"/>
        <v>0</v>
      </c>
      <c r="BC42" s="35"/>
      <c r="BD42" s="275"/>
      <c r="BE42" s="562">
        <f>IF(AND(AP40&gt;0,12-'Input 4_RSV Season'!$AG$27+1&gt;AP40),IF(BE41&gt;0,BE41+1,1),0)</f>
        <v>0</v>
      </c>
      <c r="BF42" s="549">
        <f t="shared" si="19"/>
        <v>0</v>
      </c>
      <c r="BG42" s="565">
        <f t="shared" si="20"/>
        <v>0</v>
      </c>
      <c r="BI42" s="693"/>
      <c r="BJ42" s="565">
        <f t="shared" si="22"/>
        <v>0</v>
      </c>
    </row>
    <row r="43" spans="2:62" x14ac:dyDescent="0.3">
      <c r="B43" s="26">
        <v>10</v>
      </c>
      <c r="D43" s="856">
        <f>'WiS percent RSV_high'!E42</f>
        <v>3.4363348774149815E-3</v>
      </c>
      <c r="E43" s="856">
        <f>'WiS percent RSV_high'!F43</f>
        <v>1.3712574850299399E-2</v>
      </c>
      <c r="F43" s="246"/>
      <c r="G43" s="246"/>
      <c r="H43" s="246"/>
      <c r="I43" s="246"/>
      <c r="J43" s="246"/>
      <c r="K43" s="246"/>
      <c r="L43" s="246"/>
      <c r="M43" s="246"/>
      <c r="N43" s="246"/>
      <c r="O43" s="246"/>
      <c r="R43" s="26">
        <v>10</v>
      </c>
      <c r="T43" s="35">
        <f t="shared" si="13"/>
        <v>40.527487725461086</v>
      </c>
      <c r="U43" s="35">
        <f t="shared" si="11"/>
        <v>161.7235306670791</v>
      </c>
      <c r="V43" s="35">
        <f t="shared" si="11"/>
        <v>0</v>
      </c>
      <c r="W43" s="35">
        <f t="shared" si="11"/>
        <v>0</v>
      </c>
      <c r="X43" s="35">
        <f t="shared" si="11"/>
        <v>0</v>
      </c>
      <c r="Y43" s="35">
        <f t="shared" si="11"/>
        <v>0</v>
      </c>
      <c r="Z43" s="35">
        <f t="shared" si="11"/>
        <v>0</v>
      </c>
      <c r="AA43" s="35">
        <f t="shared" si="11"/>
        <v>0</v>
      </c>
      <c r="AB43" s="35">
        <f t="shared" si="11"/>
        <v>0</v>
      </c>
      <c r="AC43" s="35">
        <f t="shared" si="11"/>
        <v>0</v>
      </c>
      <c r="AD43" s="35">
        <f t="shared" si="11"/>
        <v>0</v>
      </c>
      <c r="AE43" s="35"/>
      <c r="AF43" s="275"/>
      <c r="AG43" s="562">
        <f>IF(AND(R41&gt;0,12-'Input 4_RSV Season'!$AG$27+1&gt;R41),IF(AG42&gt;0,AG42+1,1),0)</f>
        <v>0</v>
      </c>
      <c r="AH43" s="549">
        <f t="shared" si="15"/>
        <v>0</v>
      </c>
      <c r="AI43" s="549">
        <f t="shared" si="16"/>
        <v>0</v>
      </c>
      <c r="AK43" s="549">
        <f t="shared" si="17"/>
        <v>0</v>
      </c>
      <c r="AL43" s="565">
        <f t="shared" si="18"/>
        <v>0</v>
      </c>
      <c r="AN43" s="599"/>
      <c r="AP43" s="26">
        <v>10</v>
      </c>
      <c r="AR43" s="35">
        <f t="shared" si="14"/>
        <v>275.59230159039691</v>
      </c>
      <c r="AS43" s="35">
        <f t="shared" si="12"/>
        <v>1099.7414974199069</v>
      </c>
      <c r="AT43" s="35">
        <f t="shared" si="12"/>
        <v>0</v>
      </c>
      <c r="AU43" s="35">
        <f t="shared" si="12"/>
        <v>0</v>
      </c>
      <c r="AV43" s="35">
        <f t="shared" si="12"/>
        <v>0</v>
      </c>
      <c r="AW43" s="35">
        <f t="shared" si="12"/>
        <v>0</v>
      </c>
      <c r="AX43" s="35">
        <f t="shared" si="12"/>
        <v>0</v>
      </c>
      <c r="AY43" s="35">
        <f t="shared" si="12"/>
        <v>0</v>
      </c>
      <c r="AZ43" s="35">
        <f t="shared" si="12"/>
        <v>0</v>
      </c>
      <c r="BA43" s="35">
        <f t="shared" si="12"/>
        <v>0</v>
      </c>
      <c r="BB43" s="35">
        <f t="shared" si="12"/>
        <v>0</v>
      </c>
      <c r="BC43" s="35"/>
      <c r="BD43" s="275"/>
      <c r="BE43" s="562">
        <f>IF(AND(AP41&gt;0,12-'Input 4_RSV Season'!$AG$27+1&gt;AP41),IF(BE42&gt;0,BE42+1,1),0)</f>
        <v>0</v>
      </c>
      <c r="BF43" s="549">
        <f t="shared" si="19"/>
        <v>0</v>
      </c>
      <c r="BG43" s="565">
        <f t="shared" si="20"/>
        <v>0</v>
      </c>
      <c r="BI43" s="693"/>
      <c r="BJ43" s="565">
        <f t="shared" si="22"/>
        <v>0</v>
      </c>
    </row>
    <row r="44" spans="2:62" x14ac:dyDescent="0.3">
      <c r="B44" s="26">
        <v>11</v>
      </c>
      <c r="D44" s="856">
        <f>'WiS percent RSV_high'!E43</f>
        <v>4.730538922155688E-3</v>
      </c>
      <c r="E44" s="246"/>
      <c r="F44" s="246"/>
      <c r="G44" s="246"/>
      <c r="H44" s="246"/>
      <c r="I44" s="246"/>
      <c r="J44" s="246"/>
      <c r="K44" s="246"/>
      <c r="L44" s="246"/>
      <c r="M44" s="246"/>
      <c r="N44" s="246"/>
      <c r="O44" s="246"/>
      <c r="R44" s="26">
        <v>11</v>
      </c>
      <c r="T44" s="35">
        <f t="shared" si="13"/>
        <v>55.79108699868668</v>
      </c>
      <c r="U44" s="35">
        <f t="shared" si="11"/>
        <v>0</v>
      </c>
      <c r="V44" s="35">
        <f t="shared" si="11"/>
        <v>0</v>
      </c>
      <c r="W44" s="35">
        <f t="shared" si="11"/>
        <v>0</v>
      </c>
      <c r="X44" s="35">
        <f t="shared" si="11"/>
        <v>0</v>
      </c>
      <c r="Y44" s="35">
        <f t="shared" si="11"/>
        <v>0</v>
      </c>
      <c r="Z44" s="35">
        <f t="shared" si="11"/>
        <v>0</v>
      </c>
      <c r="AA44" s="35">
        <f t="shared" si="11"/>
        <v>0</v>
      </c>
      <c r="AB44" s="35">
        <f t="shared" si="11"/>
        <v>0</v>
      </c>
      <c r="AC44" s="35">
        <f t="shared" si="11"/>
        <v>0</v>
      </c>
      <c r="AD44" s="35">
        <f t="shared" si="11"/>
        <v>0</v>
      </c>
      <c r="AF44" s="275"/>
      <c r="AG44" s="562">
        <f>IF(AND(R42&gt;0,12-'Input 4_RSV Season'!$AG$27+1&gt;R42),IF(AG43&gt;0,AG43+1,1),0)</f>
        <v>0</v>
      </c>
      <c r="AH44" s="549">
        <f t="shared" si="15"/>
        <v>0</v>
      </c>
      <c r="AI44" s="549">
        <f t="shared" si="16"/>
        <v>0</v>
      </c>
      <c r="AK44" s="549">
        <f t="shared" si="17"/>
        <v>0</v>
      </c>
      <c r="AL44" s="565">
        <f t="shared" si="18"/>
        <v>0</v>
      </c>
      <c r="AN44" s="599"/>
      <c r="AP44" s="26">
        <v>11</v>
      </c>
      <c r="AR44" s="35">
        <f t="shared" si="14"/>
        <v>379.38680478678009</v>
      </c>
      <c r="AS44" s="35">
        <f t="shared" si="12"/>
        <v>0</v>
      </c>
      <c r="AT44" s="35">
        <f t="shared" si="12"/>
        <v>0</v>
      </c>
      <c r="AU44" s="35">
        <f t="shared" si="12"/>
        <v>0</v>
      </c>
      <c r="AV44" s="35">
        <f t="shared" si="12"/>
        <v>0</v>
      </c>
      <c r="AW44" s="35">
        <f t="shared" si="12"/>
        <v>0</v>
      </c>
      <c r="AX44" s="35">
        <f t="shared" si="12"/>
        <v>0</v>
      </c>
      <c r="AY44" s="35">
        <f t="shared" si="12"/>
        <v>0</v>
      </c>
      <c r="AZ44" s="35">
        <f t="shared" si="12"/>
        <v>0</v>
      </c>
      <c r="BA44" s="35">
        <f t="shared" si="12"/>
        <v>0</v>
      </c>
      <c r="BB44" s="35">
        <f t="shared" si="12"/>
        <v>0</v>
      </c>
      <c r="BD44" s="275"/>
      <c r="BE44" s="562">
        <f>IF(AND(AP42&gt;0,12-'Input 4_RSV Season'!$AG$27+1&gt;AP42),IF(BE43&gt;0,BE43+1,1),0)</f>
        <v>0</v>
      </c>
      <c r="BF44" s="549">
        <f t="shared" si="19"/>
        <v>0</v>
      </c>
      <c r="BG44" s="565">
        <f t="shared" si="20"/>
        <v>0</v>
      </c>
      <c r="BI44" s="693"/>
      <c r="BJ44" s="565">
        <f t="shared" si="22"/>
        <v>0</v>
      </c>
    </row>
    <row r="45" spans="2:62" x14ac:dyDescent="0.3">
      <c r="C45" s="13"/>
      <c r="D45" s="14"/>
      <c r="E45" s="547"/>
      <c r="F45" s="13"/>
      <c r="G45" s="13"/>
      <c r="H45" s="14"/>
      <c r="I45" s="574"/>
      <c r="J45" s="574"/>
      <c r="K45" s="574"/>
      <c r="L45" s="597"/>
      <c r="M45" s="574"/>
      <c r="N45" s="574"/>
      <c r="O45" s="574"/>
      <c r="S45" s="13"/>
      <c r="T45" s="14"/>
      <c r="U45" s="547"/>
      <c r="V45" s="13"/>
      <c r="W45" s="13"/>
      <c r="X45" s="14"/>
      <c r="Y45" s="574"/>
      <c r="Z45" s="574"/>
      <c r="AA45" s="574"/>
      <c r="AB45" s="574"/>
      <c r="AC45" s="574"/>
      <c r="AD45" s="574"/>
      <c r="AE45" s="574"/>
      <c r="AF45" s="36"/>
      <c r="AG45" s="562">
        <f>IF(AND(R43&gt;0,12-'Input 4_RSV Season'!$AG$27+1&gt;R43),IF(AG44&gt;0,AG44+1,1),0)</f>
        <v>0</v>
      </c>
      <c r="AH45" s="549">
        <f t="shared" si="15"/>
        <v>0</v>
      </c>
      <c r="AI45" s="549">
        <f t="shared" si="16"/>
        <v>0</v>
      </c>
      <c r="AK45" s="549">
        <f t="shared" si="17"/>
        <v>0</v>
      </c>
      <c r="AL45" s="565">
        <f t="shared" si="18"/>
        <v>0</v>
      </c>
      <c r="AN45" s="599"/>
      <c r="AQ45" s="13"/>
      <c r="AR45" s="14"/>
      <c r="AS45" s="547"/>
      <c r="AV45" s="14"/>
      <c r="AW45" s="574"/>
      <c r="AX45" s="574"/>
      <c r="AY45" s="574"/>
      <c r="AZ45" s="574"/>
      <c r="BA45" s="574"/>
      <c r="BB45" s="574"/>
      <c r="BC45" s="574"/>
      <c r="BD45" s="36"/>
      <c r="BE45" s="562">
        <f>IF(AND(AP43&gt;0,12-'Input 4_RSV Season'!$AG$27+1&gt;AP43),IF(BE44&gt;0,BE44+1,1),0)</f>
        <v>0</v>
      </c>
      <c r="BF45" s="549">
        <f t="shared" si="19"/>
        <v>0</v>
      </c>
      <c r="BG45" s="565">
        <f t="shared" si="20"/>
        <v>0</v>
      </c>
      <c r="BI45" s="693"/>
      <c r="BJ45" s="565">
        <f t="shared" si="22"/>
        <v>0</v>
      </c>
    </row>
    <row r="46" spans="2:62" x14ac:dyDescent="0.3">
      <c r="C46" s="13"/>
      <c r="D46" s="13"/>
      <c r="E46" s="575"/>
      <c r="F46" s="13"/>
      <c r="G46" s="14"/>
      <c r="H46" s="88"/>
      <c r="I46" s="70"/>
      <c r="L46" s="13"/>
      <c r="M46" s="13"/>
      <c r="N46" s="13"/>
      <c r="O46" s="70"/>
      <c r="S46" s="13"/>
      <c r="T46" s="13"/>
      <c r="U46" s="575"/>
      <c r="V46" s="13"/>
      <c r="W46" s="13"/>
      <c r="X46" s="14"/>
      <c r="Y46" s="70"/>
      <c r="Z46" s="13"/>
      <c r="AA46" s="13"/>
      <c r="AB46" s="13"/>
      <c r="AC46" s="13"/>
      <c r="AD46" s="13"/>
      <c r="AE46" s="70"/>
      <c r="AF46" s="70"/>
      <c r="AG46" s="562">
        <f>IF(AND(R44&gt;0,12-'Input 4_RSV Season'!$AG$27+1&gt;R44),IF(AG45&gt;0,AG45+1,1),0)</f>
        <v>0</v>
      </c>
      <c r="AH46" s="550">
        <f t="shared" si="15"/>
        <v>0</v>
      </c>
      <c r="AI46" s="550">
        <f t="shared" si="16"/>
        <v>0</v>
      </c>
      <c r="AJ46" s="13"/>
      <c r="AK46" s="550">
        <f t="shared" si="17"/>
        <v>0</v>
      </c>
      <c r="AL46" s="566">
        <f t="shared" si="18"/>
        <v>0</v>
      </c>
      <c r="AN46" s="599"/>
      <c r="AQ46" s="13"/>
      <c r="AR46" s="13"/>
      <c r="AS46" s="575"/>
      <c r="AT46" s="13"/>
      <c r="AU46" s="13"/>
      <c r="AV46" s="14"/>
      <c r="AW46" s="70"/>
      <c r="AX46" s="13"/>
      <c r="AY46" s="13"/>
      <c r="AZ46" s="13"/>
      <c r="BA46" s="13"/>
      <c r="BB46" s="13"/>
      <c r="BC46" s="70"/>
      <c r="BD46" s="70"/>
      <c r="BE46" s="562">
        <f>IF(AND(AP44&gt;0,12-'Input 4_RSV Season'!$AG$27+1&gt;AP44),IF(BE45&gt;0,BE45+1,1),0)</f>
        <v>0</v>
      </c>
      <c r="BF46" s="550">
        <f t="shared" si="19"/>
        <v>0</v>
      </c>
      <c r="BG46" s="566">
        <f t="shared" si="20"/>
        <v>0</v>
      </c>
      <c r="BI46" s="694"/>
      <c r="BJ46" s="566">
        <f t="shared" si="22"/>
        <v>0</v>
      </c>
    </row>
    <row r="47" spans="2:62" x14ac:dyDescent="0.3">
      <c r="S47" s="13"/>
      <c r="T47" s="14"/>
      <c r="U47" s="70"/>
      <c r="V47" s="13"/>
      <c r="W47" s="13"/>
      <c r="X47" s="14"/>
      <c r="Y47" s="70"/>
      <c r="Z47" s="13"/>
      <c r="AA47" s="13"/>
      <c r="AB47" s="13"/>
      <c r="AC47" s="13"/>
      <c r="AD47" s="13"/>
      <c r="AE47" s="70"/>
      <c r="AF47" s="70"/>
      <c r="AH47" s="5">
        <f>SUM(AH35:AH46)</f>
        <v>6731.888648249962</v>
      </c>
      <c r="AI47" s="5">
        <f>SUM(AI35:AI46)</f>
        <v>135.86557662404081</v>
      </c>
      <c r="AJ47" s="593"/>
      <c r="AK47" s="5">
        <f>SUM(AK35:AK46)</f>
        <v>6731.888648249962</v>
      </c>
      <c r="AL47" s="5">
        <f>SUM(AL35:AL46)</f>
        <v>135.86557662404081</v>
      </c>
      <c r="AN47" s="599"/>
      <c r="AQ47" s="13"/>
      <c r="AR47" s="14"/>
      <c r="AS47" s="70"/>
      <c r="AT47" s="13"/>
      <c r="AU47" s="13"/>
      <c r="AV47" s="14"/>
      <c r="AW47" s="70"/>
      <c r="AX47" s="13"/>
      <c r="AY47" s="13"/>
      <c r="AZ47" s="13"/>
      <c r="BA47" s="13"/>
      <c r="BB47" s="13"/>
      <c r="BC47" s="70"/>
      <c r="BD47" s="70"/>
      <c r="BE47" s="538"/>
      <c r="BF47" s="5">
        <f>SUM(BF35:BF46)</f>
        <v>45777.73730237718</v>
      </c>
      <c r="BG47" s="5">
        <f>SUM(BG35:BG46)</f>
        <v>923.90397407244745</v>
      </c>
      <c r="BI47" s="5">
        <f>SUM(BI35:BI46)</f>
        <v>10568.6015682903</v>
      </c>
      <c r="BJ47" s="5">
        <f>SUM(BJ35:BJ46)</f>
        <v>36133.039708159326</v>
      </c>
    </row>
    <row r="48" spans="2:62" ht="15" thickBot="1" x14ac:dyDescent="0.35">
      <c r="S48" s="13"/>
      <c r="T48" s="14"/>
      <c r="U48" s="70"/>
      <c r="V48" s="13"/>
      <c r="W48" s="13"/>
      <c r="X48" s="14"/>
      <c r="Y48" s="70"/>
      <c r="Z48" s="13"/>
      <c r="AA48" s="510"/>
      <c r="AB48" s="510"/>
      <c r="AC48" s="510"/>
      <c r="AD48" s="510"/>
      <c r="AE48" s="70"/>
      <c r="AF48" s="70"/>
      <c r="AN48" s="599"/>
      <c r="AQ48" s="13"/>
      <c r="AR48" s="14"/>
      <c r="AS48" s="70"/>
      <c r="AT48" s="13"/>
      <c r="AU48" s="13"/>
      <c r="AV48" s="14"/>
      <c r="AW48" s="70"/>
      <c r="AX48" s="13"/>
      <c r="AY48" s="510"/>
      <c r="AZ48" s="510"/>
      <c r="BA48" s="510"/>
      <c r="BB48" s="510"/>
      <c r="BC48" s="70"/>
      <c r="BD48" s="70"/>
      <c r="BE48" s="538"/>
    </row>
    <row r="49" spans="2:62" ht="16.2" thickBot="1" x14ac:dyDescent="0.35">
      <c r="S49" s="13"/>
      <c r="T49" s="14"/>
      <c r="U49" s="575"/>
      <c r="V49" s="13"/>
      <c r="W49" s="13"/>
      <c r="X49" s="14"/>
      <c r="Y49" s="70"/>
      <c r="Z49" s="13"/>
      <c r="AA49" s="510"/>
      <c r="AB49" s="70"/>
      <c r="AC49" s="70"/>
      <c r="AD49" s="70"/>
      <c r="AE49" s="70"/>
      <c r="AF49" s="70"/>
      <c r="AH49" s="577">
        <f>AH47/('Input 1_Population'!$G$24*$I$4)</f>
        <v>0.34817494881958039</v>
      </c>
      <c r="AI49" s="578">
        <f>AI47/('Input 1_Population'!$G$24*$I$4)</f>
        <v>7.0270012858450514E-3</v>
      </c>
      <c r="AJ49" s="873"/>
      <c r="AK49" s="577">
        <f>AK47/('Input 1_Population'!$G$24*$I$4)</f>
        <v>0.34817494881958039</v>
      </c>
      <c r="AL49" s="578">
        <f>AL47/('Input 1_Population'!$G$24*$I$4)</f>
        <v>7.0270012858450514E-3</v>
      </c>
      <c r="AN49" s="599"/>
      <c r="AQ49" s="13"/>
      <c r="AR49" s="14"/>
      <c r="AS49" s="575"/>
      <c r="AT49" s="13"/>
      <c r="AU49" s="13"/>
      <c r="AV49" s="14"/>
      <c r="AW49" s="70"/>
      <c r="AX49" s="13"/>
      <c r="AY49" s="510"/>
      <c r="AZ49" s="70"/>
      <c r="BA49" s="70"/>
      <c r="BB49" s="70"/>
      <c r="BC49" s="70"/>
      <c r="BD49" s="70"/>
      <c r="BE49" s="538"/>
      <c r="BF49" s="577">
        <f>BF47/((1-'Input 1_Population'!$G$24)*$I$4)</f>
        <v>2.3432470179054986E-2</v>
      </c>
      <c r="BG49" s="577">
        <f>BG47/((1-'Input 1_Population'!$G$24)*$I$4)</f>
        <v>4.7292316301615877E-4</v>
      </c>
      <c r="BH49" s="27"/>
      <c r="BI49" s="577">
        <f>BI47/((1-'Input 1_Population'!$G$24)*$I$4)</f>
        <v>5.4098008262722964E-3</v>
      </c>
      <c r="BJ49" s="577">
        <f>BJ47/((1-'Input 1_Population'!$G$24)*$I$4)</f>
        <v>1.8495592515798846E-2</v>
      </c>
    </row>
    <row r="50" spans="2:62" ht="16.2" thickBot="1" x14ac:dyDescent="0.35">
      <c r="S50" s="13"/>
      <c r="T50" s="14"/>
      <c r="U50" s="70"/>
      <c r="V50" s="13"/>
      <c r="W50" s="13"/>
      <c r="X50" s="14"/>
      <c r="Y50" s="70"/>
      <c r="Z50" s="13"/>
      <c r="AA50" s="510"/>
      <c r="AB50" s="70"/>
      <c r="AC50" s="70"/>
      <c r="AD50" s="70"/>
      <c r="AE50" s="70"/>
      <c r="AF50" s="70"/>
      <c r="AH50" s="598" t="s">
        <v>326</v>
      </c>
      <c r="AI50" s="578">
        <f>SUM(AH49:AI49)</f>
        <v>0.35520195010542543</v>
      </c>
      <c r="AK50" s="598" t="s">
        <v>326</v>
      </c>
      <c r="AL50" s="578">
        <f>SUM(AK49:AL49)</f>
        <v>0.35520195010542543</v>
      </c>
      <c r="AN50" s="599"/>
      <c r="AQ50" s="13"/>
      <c r="AR50" s="14"/>
      <c r="AS50" s="70"/>
      <c r="AT50" s="13"/>
      <c r="AU50" s="13"/>
      <c r="AV50" s="14"/>
      <c r="AW50" s="70"/>
      <c r="AX50" s="13"/>
      <c r="AY50" s="510"/>
      <c r="AZ50" s="70"/>
      <c r="BA50" s="70"/>
      <c r="BB50" s="70"/>
      <c r="BC50" s="70"/>
      <c r="BD50" s="70"/>
      <c r="BE50" s="538"/>
      <c r="BF50" s="598" t="s">
        <v>326</v>
      </c>
      <c r="BG50" s="578">
        <f>SUM(BF49:BG49)</f>
        <v>2.3905393342071146E-2</v>
      </c>
      <c r="BI50" s="598" t="s">
        <v>326</v>
      </c>
      <c r="BJ50" s="578">
        <f>SUM(BI49:BJ49)</f>
        <v>2.3905393342071143E-2</v>
      </c>
    </row>
    <row r="51" spans="2:62" x14ac:dyDescent="0.3">
      <c r="AN51" s="599"/>
      <c r="BE51" s="538"/>
    </row>
    <row r="52" spans="2:62" ht="15" thickBot="1" x14ac:dyDescent="0.35">
      <c r="C52" s="1141" t="s">
        <v>518</v>
      </c>
      <c r="D52" s="1141"/>
      <c r="E52" s="1141"/>
      <c r="F52" s="1141"/>
      <c r="G52" s="1141"/>
      <c r="H52" s="1141"/>
      <c r="I52" s="1141"/>
      <c r="J52" s="1141"/>
      <c r="K52" s="1141"/>
      <c r="L52" s="1141"/>
      <c r="M52" s="1141"/>
      <c r="N52" s="1141"/>
      <c r="O52" s="847"/>
      <c r="P52" s="847"/>
      <c r="AN52" s="599"/>
      <c r="BE52" s="538"/>
    </row>
    <row r="53" spans="2:62" x14ac:dyDescent="0.3">
      <c r="G53" s="845" t="s">
        <v>516</v>
      </c>
      <c r="H53" s="8">
        <f>'WiS percent RSV_high'!AX68-SUM('WiS percent RSV_high'!BG70:BH70)</f>
        <v>22802.376007639781</v>
      </c>
      <c r="L53" s="845" t="s">
        <v>520</v>
      </c>
      <c r="M53" s="8">
        <f>'WiS percent RSV_high'!BT68-SUM('WiS percent RSV_high'!CC70:CD70)</f>
        <v>155059.18669928104</v>
      </c>
      <c r="N53" s="845"/>
      <c r="O53" s="8"/>
      <c r="AN53" s="599"/>
      <c r="BE53" s="538"/>
    </row>
    <row r="54" spans="2:62" x14ac:dyDescent="0.3">
      <c r="B54" s="592" t="s">
        <v>6</v>
      </c>
      <c r="G54" s="40" t="s">
        <v>517</v>
      </c>
      <c r="H54" s="22">
        <f>SUM(D56:O66)</f>
        <v>0.71502988891819608</v>
      </c>
      <c r="L54" s="40" t="s">
        <v>521</v>
      </c>
      <c r="M54" s="22">
        <f>H54</f>
        <v>0.71502988891819608</v>
      </c>
      <c r="N54" s="40"/>
      <c r="O54" s="22"/>
      <c r="R54" s="592" t="s">
        <v>6</v>
      </c>
      <c r="AF54" s="1"/>
      <c r="AN54" s="599"/>
      <c r="AP54" s="592" t="s">
        <v>6</v>
      </c>
      <c r="BD54" s="1"/>
      <c r="BE54" s="538"/>
      <c r="BI54" s="1" t="s">
        <v>348</v>
      </c>
    </row>
    <row r="55" spans="2:62" ht="60" customHeight="1" x14ac:dyDescent="0.3">
      <c r="B55" s="558" t="s">
        <v>519</v>
      </c>
      <c r="D55" s="13">
        <v>1</v>
      </c>
      <c r="E55" s="13">
        <v>2</v>
      </c>
      <c r="F55" s="13">
        <v>3</v>
      </c>
      <c r="G55" s="13">
        <v>4</v>
      </c>
      <c r="H55" s="13">
        <v>5</v>
      </c>
      <c r="I55" s="13">
        <v>6</v>
      </c>
      <c r="J55" s="13">
        <v>7</v>
      </c>
      <c r="K55" s="13">
        <v>8</v>
      </c>
      <c r="L55" s="13">
        <v>9</v>
      </c>
      <c r="M55" s="13">
        <v>10</v>
      </c>
      <c r="N55" s="13">
        <v>11</v>
      </c>
      <c r="O55" s="13">
        <v>12</v>
      </c>
      <c r="R55" s="558" t="s">
        <v>320</v>
      </c>
      <c r="T55" s="500">
        <v>1</v>
      </c>
      <c r="U55" s="500">
        <v>2</v>
      </c>
      <c r="V55" s="500">
        <v>3</v>
      </c>
      <c r="W55" s="500">
        <v>4</v>
      </c>
      <c r="X55" s="500">
        <v>5</v>
      </c>
      <c r="Y55" s="500">
        <v>6</v>
      </c>
      <c r="Z55" s="500">
        <v>7</v>
      </c>
      <c r="AA55" s="500">
        <v>8</v>
      </c>
      <c r="AB55" s="500">
        <v>9</v>
      </c>
      <c r="AC55" s="500">
        <v>10</v>
      </c>
      <c r="AD55" s="500">
        <v>11</v>
      </c>
      <c r="AE55" s="500">
        <v>12</v>
      </c>
      <c r="AG55" s="544" t="s">
        <v>315</v>
      </c>
      <c r="AH55" s="1112" t="s">
        <v>117</v>
      </c>
      <c r="AI55" s="1112"/>
      <c r="AK55" s="1112" t="s">
        <v>216</v>
      </c>
      <c r="AL55" s="1112"/>
      <c r="AN55" s="599"/>
      <c r="AP55" s="558" t="s">
        <v>320</v>
      </c>
      <c r="AR55" s="500">
        <v>1</v>
      </c>
      <c r="AS55" s="500">
        <v>2</v>
      </c>
      <c r="AT55" s="500">
        <v>3</v>
      </c>
      <c r="AU55" s="500">
        <v>4</v>
      </c>
      <c r="AV55" s="500">
        <v>5</v>
      </c>
      <c r="AW55" s="500">
        <v>6</v>
      </c>
      <c r="AX55" s="500">
        <v>7</v>
      </c>
      <c r="AY55" s="500">
        <v>8</v>
      </c>
      <c r="AZ55" s="500">
        <v>9</v>
      </c>
      <c r="BA55" s="500">
        <v>10</v>
      </c>
      <c r="BB55" s="500">
        <v>11</v>
      </c>
      <c r="BC55" s="500">
        <v>12</v>
      </c>
      <c r="BE55" s="544" t="s">
        <v>315</v>
      </c>
      <c r="BF55" s="1112" t="s">
        <v>216</v>
      </c>
      <c r="BG55" s="1112"/>
      <c r="BI55" s="1112" t="s">
        <v>345</v>
      </c>
      <c r="BJ55" s="1112"/>
    </row>
    <row r="56" spans="2:62" ht="36" customHeight="1" x14ac:dyDescent="0.3">
      <c r="B56" s="26">
        <v>0</v>
      </c>
      <c r="D56" s="276"/>
      <c r="E56" s="276"/>
      <c r="F56" s="276"/>
      <c r="G56" s="276"/>
      <c r="H56" s="276"/>
      <c r="I56" s="276"/>
      <c r="J56" s="276"/>
      <c r="K56" s="276"/>
      <c r="L56" s="276"/>
      <c r="M56" s="276"/>
      <c r="N56" s="276"/>
      <c r="O56" s="276"/>
      <c r="R56" s="26">
        <v>0</v>
      </c>
      <c r="T56" s="275"/>
      <c r="U56" s="275"/>
      <c r="V56" s="275"/>
      <c r="W56" s="275"/>
      <c r="X56" s="35"/>
      <c r="Y56" s="35"/>
      <c r="Z56" s="35"/>
      <c r="AA56" s="35"/>
      <c r="AB56" s="35"/>
      <c r="AC56" s="35"/>
      <c r="AD56" s="35"/>
      <c r="AE56" s="35"/>
      <c r="AF56" s="275"/>
      <c r="AG56" s="546" t="s">
        <v>317</v>
      </c>
      <c r="AH56" s="570" t="s">
        <v>312</v>
      </c>
      <c r="AI56" s="571" t="s">
        <v>313</v>
      </c>
      <c r="AJ56" s="572"/>
      <c r="AK56" s="570" t="s">
        <v>312</v>
      </c>
      <c r="AL56" s="571" t="s">
        <v>313</v>
      </c>
      <c r="AN56" s="599"/>
      <c r="AP56" s="26">
        <v>0</v>
      </c>
      <c r="AR56" s="275"/>
      <c r="AS56" s="275"/>
      <c r="AT56" s="275"/>
      <c r="AU56" s="275"/>
      <c r="AV56" s="35"/>
      <c r="AW56" s="35"/>
      <c r="AX56" s="35"/>
      <c r="AY56" s="35"/>
      <c r="AZ56" s="35"/>
      <c r="BA56" s="35"/>
      <c r="BB56" s="35"/>
      <c r="BC56" s="35"/>
      <c r="BD56" s="275"/>
      <c r="BE56" s="546" t="s">
        <v>317</v>
      </c>
      <c r="BF56" s="570" t="s">
        <v>312</v>
      </c>
      <c r="BG56" s="571" t="s">
        <v>313</v>
      </c>
      <c r="BI56" s="570" t="s">
        <v>312</v>
      </c>
      <c r="BJ56" s="571" t="s">
        <v>313</v>
      </c>
    </row>
    <row r="57" spans="2:62" x14ac:dyDescent="0.3">
      <c r="B57" s="26">
        <v>1</v>
      </c>
      <c r="D57" s="856">
        <f>'WiS percent RSV_high'!E57</f>
        <v>7.5128193142776998E-3</v>
      </c>
      <c r="E57" s="856">
        <f>'WiS percent RSV_high'!F58</f>
        <v>2.7145050733033062E-2</v>
      </c>
      <c r="F57" s="856">
        <f>'WiS percent RSV_high'!G59</f>
        <v>3.8388475805401515E-2</v>
      </c>
      <c r="G57" s="856">
        <f>'WiS percent RSV_high'!H60</f>
        <v>2.9247515099713201E-2</v>
      </c>
      <c r="H57" s="856">
        <f>'WiS percent RSV_high'!I61</f>
        <v>1.7124066388656101E-2</v>
      </c>
      <c r="I57" s="856">
        <f>'WiS percent RSV_high'!J62</f>
        <v>1.9170776170332109E-3</v>
      </c>
      <c r="J57" s="856">
        <f>'WiS percent RSV_high'!K63</f>
        <v>0</v>
      </c>
      <c r="K57" s="856">
        <f>'WiS percent RSV_high'!L64</f>
        <v>0</v>
      </c>
      <c r="L57" s="856">
        <f>'WiS percent RSV_high'!M65</f>
        <v>0</v>
      </c>
      <c r="M57" s="856">
        <f>'WiS percent RSV_high'!N66</f>
        <v>0</v>
      </c>
      <c r="N57" s="856">
        <f>'WiS percent RSV_high'!O67</f>
        <v>0</v>
      </c>
      <c r="O57" s="246"/>
      <c r="R57" s="26">
        <v>1</v>
      </c>
      <c r="T57" s="275">
        <f>D57/$H$54*$H$53</f>
        <v>239.58457336769808</v>
      </c>
      <c r="U57" s="275">
        <f t="shared" ref="U57:AD67" si="23">E57/$H$54*$H$53</f>
        <v>865.65843352024126</v>
      </c>
      <c r="V57" s="275">
        <f t="shared" si="23"/>
        <v>1224.2124046021424</v>
      </c>
      <c r="W57" s="275">
        <f t="shared" si="23"/>
        <v>932.70623638095435</v>
      </c>
      <c r="X57" s="275">
        <f t="shared" si="23"/>
        <v>546.08822180102572</v>
      </c>
      <c r="Y57" s="275">
        <f t="shared" si="23"/>
        <v>61.135800526546213</v>
      </c>
      <c r="Z57" s="275">
        <f t="shared" si="23"/>
        <v>0</v>
      </c>
      <c r="AA57" s="275">
        <f t="shared" si="23"/>
        <v>0</v>
      </c>
      <c r="AB57" s="275">
        <f t="shared" si="23"/>
        <v>0</v>
      </c>
      <c r="AC57" s="275">
        <f t="shared" si="23"/>
        <v>0</v>
      </c>
      <c r="AD57" s="275">
        <f t="shared" si="23"/>
        <v>0</v>
      </c>
      <c r="AE57" s="35"/>
      <c r="AF57" s="275"/>
      <c r="AG57" s="170"/>
      <c r="AH57" s="551"/>
      <c r="AI57" s="556"/>
      <c r="AK57" s="551"/>
      <c r="AL57" s="556"/>
      <c r="AN57" s="599"/>
      <c r="AP57" s="26">
        <v>1</v>
      </c>
      <c r="AR57" s="275">
        <f>D57/$M$54*$M$53</f>
        <v>1629.2069335073991</v>
      </c>
      <c r="AS57" s="275">
        <f t="shared" ref="AS57:BB67" si="24">E57/$M$54*$M$53</f>
        <v>5886.5923716041689</v>
      </c>
      <c r="AT57" s="275">
        <f t="shared" si="24"/>
        <v>8324.8070175309658</v>
      </c>
      <c r="AU57" s="275">
        <f t="shared" si="24"/>
        <v>6342.5263399797741</v>
      </c>
      <c r="AV57" s="275">
        <f t="shared" si="24"/>
        <v>3713.4724692792333</v>
      </c>
      <c r="AW57" s="275">
        <f t="shared" si="24"/>
        <v>415.73156695072629</v>
      </c>
      <c r="AX57" s="275">
        <f t="shared" si="24"/>
        <v>0</v>
      </c>
      <c r="AY57" s="275">
        <f t="shared" si="24"/>
        <v>0</v>
      </c>
      <c r="AZ57" s="275">
        <f t="shared" si="24"/>
        <v>0</v>
      </c>
      <c r="BA57" s="275">
        <f t="shared" si="24"/>
        <v>0</v>
      </c>
      <c r="BB57" s="275">
        <f t="shared" si="24"/>
        <v>0</v>
      </c>
      <c r="BC57" s="35"/>
      <c r="BD57" s="275"/>
      <c r="BE57" s="170"/>
      <c r="BF57" s="551"/>
      <c r="BG57" s="556"/>
      <c r="BI57" s="551"/>
      <c r="BJ57" s="556"/>
    </row>
    <row r="58" spans="2:62" x14ac:dyDescent="0.3">
      <c r="B58" s="26">
        <v>2</v>
      </c>
      <c r="D58" s="856">
        <f>'WiS percent RSV_high'!E58</f>
        <v>9.3644498161991798E-3</v>
      </c>
      <c r="E58" s="856">
        <f>'WiS percent RSV_high'!F59</f>
        <v>2.6966137912383267E-2</v>
      </c>
      <c r="F58" s="856">
        <f>'WiS percent RSV_high'!G60</f>
        <v>4.3737109736268369E-2</v>
      </c>
      <c r="G58" s="856">
        <f>'WiS percent RSV_high'!H61</f>
        <v>3.1906380108778033E-2</v>
      </c>
      <c r="H58" s="856">
        <f>'WiS percent RSV_high'!I62</f>
        <v>7.2354219739640541E-3</v>
      </c>
      <c r="I58" s="856">
        <f>'WiS percent RSV_high'!J63</f>
        <v>1.5009966311529867E-3</v>
      </c>
      <c r="J58" s="856">
        <f>'WiS percent RSV_high'!K64</f>
        <v>0</v>
      </c>
      <c r="K58" s="856">
        <f>'WiS percent RSV_high'!L65</f>
        <v>0</v>
      </c>
      <c r="L58" s="856">
        <f>'WiS percent RSV_high'!M66</f>
        <v>0</v>
      </c>
      <c r="M58" s="856">
        <f>'WiS percent RSV_high'!N67</f>
        <v>0</v>
      </c>
      <c r="N58" s="246"/>
      <c r="O58" s="246"/>
      <c r="R58" s="26">
        <v>2</v>
      </c>
      <c r="T58" s="275">
        <f t="shared" ref="T58:T67" si="25">D58/$H$54*$H$53</f>
        <v>298.63325872532346</v>
      </c>
      <c r="U58" s="275">
        <f t="shared" si="23"/>
        <v>859.95288544138214</v>
      </c>
      <c r="V58" s="275">
        <f t="shared" si="23"/>
        <v>1394.7808855972071</v>
      </c>
      <c r="W58" s="275">
        <f t="shared" si="23"/>
        <v>1017.4977124155865</v>
      </c>
      <c r="X58" s="275">
        <f t="shared" si="23"/>
        <v>230.73834392277121</v>
      </c>
      <c r="Y58" s="275">
        <f t="shared" si="23"/>
        <v>47.866935494869516</v>
      </c>
      <c r="Z58" s="275">
        <f t="shared" si="23"/>
        <v>0</v>
      </c>
      <c r="AA58" s="275">
        <f t="shared" si="23"/>
        <v>0</v>
      </c>
      <c r="AB58" s="275">
        <f t="shared" si="23"/>
        <v>0</v>
      </c>
      <c r="AC58" s="275">
        <f t="shared" si="23"/>
        <v>0</v>
      </c>
      <c r="AD58" s="275">
        <f t="shared" si="23"/>
        <v>0</v>
      </c>
      <c r="AE58" s="35"/>
      <c r="AF58" s="275"/>
      <c r="AG58" s="562">
        <f>IF(AND(R56&gt;0,12-'Input 4_RSV Season'!$AG$27+1&gt;R56),IF(AG57&gt;0,AG57+1,1),0)</f>
        <v>0</v>
      </c>
      <c r="AH58" s="549">
        <f>IF($AG58&gt;0,SUMIF($T$7:$AE$7,"&gt;0",$T56:$AE56),0)</f>
        <v>0</v>
      </c>
      <c r="AI58" s="549">
        <f>IF($AG58&gt;0,SUMIF($T$7:$AE$7,0,$T56:$AE56),0)</f>
        <v>0</v>
      </c>
      <c r="AK58" s="563">
        <f>IF($AG58&gt;0,SUMIF($T$8:$AE$8,"&gt;0",$T56:$AE56),0)</f>
        <v>0</v>
      </c>
      <c r="AL58" s="564">
        <f>IF($AG58&gt;0,SUMIF($T$8:$AE$8,0,$T56:$AE56),0)</f>
        <v>0</v>
      </c>
      <c r="AN58" s="599"/>
      <c r="AP58" s="26">
        <v>2</v>
      </c>
      <c r="AR58" s="275">
        <f t="shared" ref="AR58:AR67" si="26">D58/$M$54*$M$53</f>
        <v>2030.7458399857178</v>
      </c>
      <c r="AS58" s="275">
        <f t="shared" si="24"/>
        <v>5847.7938865478254</v>
      </c>
      <c r="AT58" s="275">
        <f t="shared" si="24"/>
        <v>9484.695352446819</v>
      </c>
      <c r="AU58" s="275">
        <f t="shared" si="24"/>
        <v>6919.1196436142982</v>
      </c>
      <c r="AV58" s="275">
        <f t="shared" si="24"/>
        <v>1569.0513978462898</v>
      </c>
      <c r="AW58" s="275">
        <f t="shared" si="24"/>
        <v>325.50152164558</v>
      </c>
      <c r="AX58" s="275">
        <f t="shared" si="24"/>
        <v>0</v>
      </c>
      <c r="AY58" s="275">
        <f t="shared" si="24"/>
        <v>0</v>
      </c>
      <c r="AZ58" s="275">
        <f t="shared" si="24"/>
        <v>0</v>
      </c>
      <c r="BA58" s="275">
        <f t="shared" si="24"/>
        <v>0</v>
      </c>
      <c r="BB58" s="275">
        <f t="shared" si="24"/>
        <v>0</v>
      </c>
      <c r="BC58" s="35"/>
      <c r="BD58" s="275"/>
      <c r="BE58" s="562">
        <f>IF(AND(AP56&gt;0,12-'Input 4_RSV Season'!$AG$27+1&gt;AP56),IF(BE57&gt;0,BE57+1,1),0)</f>
        <v>0</v>
      </c>
      <c r="BF58" s="549">
        <f>IF($BE58&gt;0,SUMIF($AR$8:$BC$8,"&gt;0",$AR56:$BC56),0)</f>
        <v>0</v>
      </c>
      <c r="BG58" s="564">
        <f>IF($BE58&gt;0,SUMIF($AR$8:$BC$8,0,$AR56:$BC56),0)</f>
        <v>0</v>
      </c>
      <c r="BI58" s="693"/>
      <c r="BJ58" s="564"/>
    </row>
    <row r="59" spans="2:62" x14ac:dyDescent="0.3">
      <c r="B59" s="26">
        <v>3</v>
      </c>
      <c r="D59" s="856">
        <f>'WiS percent RSV_high'!E59</f>
        <v>9.3027287994684651E-3</v>
      </c>
      <c r="E59" s="856">
        <f>'WiS percent RSV_high'!F60</f>
        <v>3.0723307146029003E-2</v>
      </c>
      <c r="F59" s="856">
        <f>'WiS percent RSV_high'!G61</f>
        <v>4.7713210621383666E-2</v>
      </c>
      <c r="G59" s="856">
        <f>'WiS percent RSV_high'!H62</f>
        <v>1.3481384532685161E-2</v>
      </c>
      <c r="H59" s="856">
        <f>'WiS percent RSV_high'!I63</f>
        <v>5.6650518014483694E-3</v>
      </c>
      <c r="I59" s="856">
        <f>'WiS percent RSV_high'!J64</f>
        <v>2.0120931257491428E-3</v>
      </c>
      <c r="J59" s="856">
        <f>'WiS percent RSV_high'!K65</f>
        <v>0</v>
      </c>
      <c r="K59" s="856">
        <f>'WiS percent RSV_high'!L66</f>
        <v>0</v>
      </c>
      <c r="L59" s="856">
        <f>'WiS percent RSV_high'!M67</f>
        <v>0</v>
      </c>
      <c r="M59" s="246"/>
      <c r="N59" s="246"/>
      <c r="O59" s="246"/>
      <c r="R59" s="26">
        <v>3</v>
      </c>
      <c r="T59" s="275">
        <f t="shared" si="25"/>
        <v>296.66496921340263</v>
      </c>
      <c r="U59" s="275">
        <f t="shared" si="23"/>
        <v>979.76939509742454</v>
      </c>
      <c r="V59" s="275">
        <f t="shared" si="23"/>
        <v>1521.5791479242257</v>
      </c>
      <c r="W59" s="275">
        <f t="shared" si="23"/>
        <v>429.92272628345404</v>
      </c>
      <c r="X59" s="275">
        <f t="shared" si="23"/>
        <v>180.65907912579783</v>
      </c>
      <c r="Y59" s="275">
        <f t="shared" si="23"/>
        <v>64.165854780048505</v>
      </c>
      <c r="Z59" s="275">
        <f t="shared" si="23"/>
        <v>0</v>
      </c>
      <c r="AA59" s="275">
        <f t="shared" si="23"/>
        <v>0</v>
      </c>
      <c r="AB59" s="275">
        <f t="shared" si="23"/>
        <v>0</v>
      </c>
      <c r="AC59" s="275">
        <f t="shared" si="23"/>
        <v>0</v>
      </c>
      <c r="AD59" s="275">
        <f t="shared" si="23"/>
        <v>0</v>
      </c>
      <c r="AE59" s="35"/>
      <c r="AF59" s="275"/>
      <c r="AG59" s="562">
        <f>IF(AND(R57&gt;0,12-'Input 4_RSV Season'!$AG$27+1&gt;R57),IF(AG58&gt;0,AG58+1,1),0)</f>
        <v>1</v>
      </c>
      <c r="AH59" s="549">
        <f t="shared" ref="AH59:AH69" si="27">IF($AG59&gt;0,SUMIF($T$7:$AE$7,"&gt;0",$T57:$AE57),0)</f>
        <v>3808.2498696720622</v>
      </c>
      <c r="AI59" s="549">
        <f t="shared" ref="AI59:AI69" si="28">IF($AG59&gt;0,SUMIF($T$7:$AE$7,0,$T57:$AE57),0)</f>
        <v>61.135800526546213</v>
      </c>
      <c r="AK59" s="549">
        <f t="shared" ref="AK59:AK69" si="29">IF($AG59&gt;0,SUMIF($T$8:$AE$8,"&gt;0",$T57:$AE57),0)</f>
        <v>3808.2498696720622</v>
      </c>
      <c r="AL59" s="565">
        <f t="shared" ref="AL59:AL69" si="30">IF($AG59&gt;0,SUMIF($T$8:$AE$8,0,$T57:$AE57),0)</f>
        <v>61.135800526546213</v>
      </c>
      <c r="AN59" s="599"/>
      <c r="AP59" s="26">
        <v>3</v>
      </c>
      <c r="AR59" s="275">
        <f t="shared" si="26"/>
        <v>2017.3612097697742</v>
      </c>
      <c r="AS59" s="275">
        <f t="shared" si="24"/>
        <v>6662.562072731047</v>
      </c>
      <c r="AT59" s="275">
        <f t="shared" si="24"/>
        <v>10346.940384487438</v>
      </c>
      <c r="AU59" s="275">
        <f t="shared" si="24"/>
        <v>2923.5316643631722</v>
      </c>
      <c r="AV59" s="275">
        <f t="shared" si="24"/>
        <v>1228.505742984931</v>
      </c>
      <c r="AW59" s="275">
        <f t="shared" si="24"/>
        <v>436.33633849055826</v>
      </c>
      <c r="AX59" s="275">
        <f t="shared" si="24"/>
        <v>0</v>
      </c>
      <c r="AY59" s="275">
        <f t="shared" si="24"/>
        <v>0</v>
      </c>
      <c r="AZ59" s="275">
        <f t="shared" si="24"/>
        <v>0</v>
      </c>
      <c r="BA59" s="275">
        <f t="shared" si="24"/>
        <v>0</v>
      </c>
      <c r="BB59" s="275">
        <f t="shared" si="24"/>
        <v>0</v>
      </c>
      <c r="BC59" s="35"/>
      <c r="BD59" s="275"/>
      <c r="BE59" s="562">
        <f>IF(AND(AP57&gt;0,12-'Input 4_RSV Season'!$AG$27+1&gt;AP57),IF(BE58&gt;0,BE58+1,1),0)</f>
        <v>1</v>
      </c>
      <c r="BF59" s="549">
        <f t="shared" ref="BF59:BF69" si="31">IF($BE59&gt;0,SUMIF($AR$8:$BC$8,"&gt;0",$AR57:$BC57),0)</f>
        <v>25896.605131901542</v>
      </c>
      <c r="BG59" s="565">
        <f t="shared" ref="BG59:BG69" si="32">IF($BE59&gt;0,SUMIF($AR$8:$BC$8,0,$AR57:$BC57),0)</f>
        <v>415.73156695072629</v>
      </c>
      <c r="BI59" s="693">
        <f>IF(SUM($AR$7:$BC$7)=4,SUM(AR57:AU57),IF(SUM($AR$7:$BC$7)=3,SUM(AR57:AT57),IF(SUM($AR$7:$BC$7)=2,SUM(AR57:AS57),IF(SUM($AR$7:$BC$7)=1,AR57,0))))</f>
        <v>15840.606322642534</v>
      </c>
      <c r="BJ59" s="565">
        <f t="shared" ref="BJ59:BJ62" si="33">IF($BE59&gt;0,SUM($AR57:$BC57)-BI59,0)</f>
        <v>10471.730376209734</v>
      </c>
    </row>
    <row r="60" spans="2:62" x14ac:dyDescent="0.3">
      <c r="B60" s="26">
        <v>4</v>
      </c>
      <c r="D60" s="856">
        <f>'WiS percent RSV_high'!E60</f>
        <v>1.05988701508135E-2</v>
      </c>
      <c r="E60" s="856">
        <f>'WiS percent RSV_high'!F61</f>
        <v>3.351633506839527E-2</v>
      </c>
      <c r="F60" s="856">
        <f>'WiS percent RSV_high'!G62</f>
        <v>2.0160235585575056E-2</v>
      </c>
      <c r="G60" s="856">
        <f>'WiS percent RSV_high'!H63</f>
        <v>1.0555395664237133E-2</v>
      </c>
      <c r="H60" s="856">
        <f>'WiS percent RSV_high'!I64</f>
        <v>7.5940288939564428E-3</v>
      </c>
      <c r="I60" s="856">
        <f>'WiS percent RSV_high'!J65</f>
        <v>1.6450724352189746E-3</v>
      </c>
      <c r="J60" s="856">
        <f>'WiS percent RSV_high'!K66</f>
        <v>0</v>
      </c>
      <c r="K60" s="856">
        <f>'WiS percent RSV_high'!L67</f>
        <v>0</v>
      </c>
      <c r="L60" s="246"/>
      <c r="M60" s="246"/>
      <c r="N60" s="246"/>
      <c r="O60" s="246"/>
      <c r="R60" s="26">
        <v>4</v>
      </c>
      <c r="T60" s="275">
        <f t="shared" si="25"/>
        <v>337.99904896374039</v>
      </c>
      <c r="U60" s="275">
        <f t="shared" si="23"/>
        <v>1068.839340106281</v>
      </c>
      <c r="V60" s="275">
        <f t="shared" si="23"/>
        <v>642.91196682755049</v>
      </c>
      <c r="W60" s="275">
        <f t="shared" si="23"/>
        <v>336.61264315746951</v>
      </c>
      <c r="X60" s="275">
        <f t="shared" si="23"/>
        <v>242.17435513760248</v>
      </c>
      <c r="Y60" s="275">
        <f t="shared" si="23"/>
        <v>52.46152756553964</v>
      </c>
      <c r="Z60" s="275">
        <f t="shared" si="23"/>
        <v>0</v>
      </c>
      <c r="AA60" s="275">
        <f t="shared" si="23"/>
        <v>0</v>
      </c>
      <c r="AB60" s="275">
        <f t="shared" si="23"/>
        <v>0</v>
      </c>
      <c r="AC60" s="275">
        <f t="shared" si="23"/>
        <v>0</v>
      </c>
      <c r="AD60" s="275">
        <f t="shared" si="23"/>
        <v>0</v>
      </c>
      <c r="AE60" s="35"/>
      <c r="AF60" s="275"/>
      <c r="AG60" s="562">
        <f>IF(AND(R58&gt;0,12-'Input 4_RSV Season'!$AG$27+1&gt;R58),IF(AG59&gt;0,AG59+1,1),0)</f>
        <v>2</v>
      </c>
      <c r="AH60" s="549">
        <f t="shared" si="27"/>
        <v>3801.6030861022705</v>
      </c>
      <c r="AI60" s="549">
        <f t="shared" si="28"/>
        <v>47.866935494869516</v>
      </c>
      <c r="AK60" s="549">
        <f t="shared" si="29"/>
        <v>3801.6030861022705</v>
      </c>
      <c r="AL60" s="565">
        <f t="shared" si="30"/>
        <v>47.866935494869516</v>
      </c>
      <c r="AN60" s="599"/>
      <c r="AP60" s="26">
        <v>4</v>
      </c>
      <c r="AR60" s="275">
        <f t="shared" si="26"/>
        <v>2298.4384443045974</v>
      </c>
      <c r="AS60" s="275">
        <f t="shared" si="24"/>
        <v>7268.2495338884128</v>
      </c>
      <c r="AT60" s="275">
        <f t="shared" si="24"/>
        <v>4371.8868008366699</v>
      </c>
      <c r="AU60" s="275">
        <f t="shared" si="24"/>
        <v>2289.0107006044013</v>
      </c>
      <c r="AV60" s="275">
        <f t="shared" si="24"/>
        <v>1646.8177936579136</v>
      </c>
      <c r="AW60" s="275">
        <f t="shared" si="24"/>
        <v>356.74535822885446</v>
      </c>
      <c r="AX60" s="275">
        <f t="shared" si="24"/>
        <v>0</v>
      </c>
      <c r="AY60" s="275">
        <f t="shared" si="24"/>
        <v>0</v>
      </c>
      <c r="AZ60" s="275">
        <f t="shared" si="24"/>
        <v>0</v>
      </c>
      <c r="BA60" s="275">
        <f t="shared" si="24"/>
        <v>0</v>
      </c>
      <c r="BB60" s="275">
        <f t="shared" si="24"/>
        <v>0</v>
      </c>
      <c r="BC60" s="35"/>
      <c r="BD60" s="275"/>
      <c r="BE60" s="562">
        <f>IF(AND(AP58&gt;0,12-'Input 4_RSV Season'!$AG$27+1&gt;AP58),IF(BE59&gt;0,BE59+1,1),0)</f>
        <v>2</v>
      </c>
      <c r="BF60" s="549">
        <f t="shared" si="31"/>
        <v>25851.406120440952</v>
      </c>
      <c r="BG60" s="565">
        <f t="shared" si="32"/>
        <v>325.50152164558</v>
      </c>
      <c r="BI60" s="693">
        <f>IF(SUM($AR$7:$BC$7)=4,SUM(AR58:AT58),IF(SUM($AR$7:$BC$7)=3,SUM(AR58:AS58),IF(SUM($AR$7:$BC$7)=2,AR58,0)))</f>
        <v>7878.5397265335432</v>
      </c>
      <c r="BJ60" s="565">
        <f t="shared" si="33"/>
        <v>18298.36791555299</v>
      </c>
    </row>
    <row r="61" spans="2:62" x14ac:dyDescent="0.3">
      <c r="B61" s="26">
        <v>5</v>
      </c>
      <c r="D61" s="856">
        <f>'WiS percent RSV_high'!E61</f>
        <v>1.1562403800887452E-2</v>
      </c>
      <c r="E61" s="856">
        <f>'WiS percent RSV_high'!F62</f>
        <v>1.4161637880664686E-2</v>
      </c>
      <c r="F61" s="856">
        <f>'WiS percent RSV_high'!G63</f>
        <v>1.5784674250189475E-2</v>
      </c>
      <c r="G61" s="856">
        <f>'WiS percent RSV_high'!H64</f>
        <v>1.4149558110106875E-2</v>
      </c>
      <c r="H61" s="856">
        <f>'WiS percent RSV_high'!I65</f>
        <v>6.2088217716329041E-3</v>
      </c>
      <c r="I61" s="856">
        <f>'WiS percent RSV_high'!J66</f>
        <v>1.7500242062842854E-3</v>
      </c>
      <c r="J61" s="856">
        <f>'WiS percent RSV_high'!K67</f>
        <v>0</v>
      </c>
      <c r="K61" s="246"/>
      <c r="L61" s="246"/>
      <c r="M61" s="246"/>
      <c r="N61" s="246"/>
      <c r="O61" s="246"/>
      <c r="R61" s="26">
        <v>5</v>
      </c>
      <c r="T61" s="275">
        <f t="shared" si="25"/>
        <v>368.72623523317122</v>
      </c>
      <c r="U61" s="275">
        <f t="shared" si="23"/>
        <v>451.61607485738972</v>
      </c>
      <c r="V61" s="275">
        <f t="shared" si="23"/>
        <v>503.37487004282139</v>
      </c>
      <c r="W61" s="275">
        <f t="shared" si="23"/>
        <v>451.23084974356692</v>
      </c>
      <c r="X61" s="275">
        <f t="shared" si="23"/>
        <v>197.99995887639156</v>
      </c>
      <c r="Y61" s="275">
        <f t="shared" si="23"/>
        <v>55.808450237708861</v>
      </c>
      <c r="Z61" s="275">
        <f t="shared" si="23"/>
        <v>0</v>
      </c>
      <c r="AA61" s="275">
        <f t="shared" si="23"/>
        <v>0</v>
      </c>
      <c r="AB61" s="275">
        <f t="shared" si="23"/>
        <v>0</v>
      </c>
      <c r="AC61" s="275">
        <f t="shared" si="23"/>
        <v>0</v>
      </c>
      <c r="AD61" s="275">
        <f t="shared" si="23"/>
        <v>0</v>
      </c>
      <c r="AE61" s="35"/>
      <c r="AF61" s="275"/>
      <c r="AG61" s="562">
        <f>IF(AND(R59&gt;0,12-'Input 4_RSV Season'!$AG$27+1&gt;R59),IF(AG60&gt;0,AG60+1,1),0)</f>
        <v>3</v>
      </c>
      <c r="AH61" s="549">
        <f t="shared" si="27"/>
        <v>3408.5953176443045</v>
      </c>
      <c r="AI61" s="549">
        <f t="shared" si="28"/>
        <v>64.165854780048505</v>
      </c>
      <c r="AK61" s="549">
        <f t="shared" si="29"/>
        <v>3408.5953176443045</v>
      </c>
      <c r="AL61" s="565">
        <f t="shared" si="30"/>
        <v>64.165854780048505</v>
      </c>
      <c r="AN61" s="599"/>
      <c r="AP61" s="26">
        <v>5</v>
      </c>
      <c r="AR61" s="275">
        <f t="shared" si="26"/>
        <v>2507.3873937868329</v>
      </c>
      <c r="AS61" s="275">
        <f t="shared" si="24"/>
        <v>3071.0493171521393</v>
      </c>
      <c r="AT61" s="275">
        <f t="shared" si="24"/>
        <v>3423.0160018212609</v>
      </c>
      <c r="AU61" s="275">
        <f t="shared" si="24"/>
        <v>3068.4297351916675</v>
      </c>
      <c r="AV61" s="275">
        <f t="shared" si="24"/>
        <v>1346.4260294443864</v>
      </c>
      <c r="AW61" s="275">
        <f t="shared" si="24"/>
        <v>379.50487711925717</v>
      </c>
      <c r="AX61" s="275">
        <f t="shared" si="24"/>
        <v>0</v>
      </c>
      <c r="AY61" s="275">
        <f t="shared" si="24"/>
        <v>0</v>
      </c>
      <c r="AZ61" s="275">
        <f t="shared" si="24"/>
        <v>0</v>
      </c>
      <c r="BA61" s="275">
        <f t="shared" si="24"/>
        <v>0</v>
      </c>
      <c r="BB61" s="275">
        <f t="shared" si="24"/>
        <v>0</v>
      </c>
      <c r="BC61" s="35"/>
      <c r="BD61" s="275"/>
      <c r="BE61" s="562">
        <f>IF(AND(AP59&gt;0,12-'Input 4_RSV Season'!$AG$27+1&gt;AP59),IF(BE60&gt;0,BE60+1,1),0)</f>
        <v>3</v>
      </c>
      <c r="BF61" s="549">
        <f t="shared" si="31"/>
        <v>23178.901074336365</v>
      </c>
      <c r="BG61" s="565">
        <f t="shared" si="32"/>
        <v>436.33633849055826</v>
      </c>
      <c r="BI61" s="693">
        <f>IF(SUM($AR$7:$BC$7)=4,SUM(AR59:AS59),IF(SUM($AR$7:$BC$7)=3,AR59,0))</f>
        <v>2017.3612097697742</v>
      </c>
      <c r="BJ61" s="565">
        <f t="shared" si="33"/>
        <v>21597.876203057149</v>
      </c>
    </row>
    <row r="62" spans="2:62" x14ac:dyDescent="0.3">
      <c r="B62" s="26">
        <v>6</v>
      </c>
      <c r="D62" s="856">
        <f>'WiS percent RSV_high'!E62</f>
        <v>4.885455862762054E-3</v>
      </c>
      <c r="E62" s="856">
        <f>'WiS percent RSV_high'!F63</f>
        <v>1.1088007372065611E-2</v>
      </c>
      <c r="F62" s="856">
        <f>'WiS percent RSV_high'!G64</f>
        <v>2.1159430935297437E-2</v>
      </c>
      <c r="G62" s="856">
        <f>'WiS percent RSV_high'!H65</f>
        <v>1.1568573899281821E-2</v>
      </c>
      <c r="H62" s="856">
        <f>'WiS percent RSV_high'!I66</f>
        <v>6.6049300688793998E-3</v>
      </c>
      <c r="I62" s="856">
        <f>'WiS percent RSV_high'!J67</f>
        <v>1.8692593544768269E-3</v>
      </c>
      <c r="J62" s="246"/>
      <c r="K62" s="246"/>
      <c r="L62" s="246"/>
      <c r="M62" s="246"/>
      <c r="N62" s="246"/>
      <c r="O62" s="246"/>
      <c r="R62" s="26">
        <v>6</v>
      </c>
      <c r="T62" s="275">
        <f t="shared" si="25"/>
        <v>155.79768521281133</v>
      </c>
      <c r="U62" s="275">
        <f t="shared" si="23"/>
        <v>353.59768478468123</v>
      </c>
      <c r="V62" s="275">
        <f t="shared" si="23"/>
        <v>674.77640833212297</v>
      </c>
      <c r="W62" s="275">
        <f t="shared" si="23"/>
        <v>368.92300029960137</v>
      </c>
      <c r="X62" s="275">
        <f t="shared" si="23"/>
        <v>210.6318928326431</v>
      </c>
      <c r="Y62" s="275">
        <f t="shared" si="23"/>
        <v>59.610871261711722</v>
      </c>
      <c r="Z62" s="275">
        <f t="shared" si="23"/>
        <v>0</v>
      </c>
      <c r="AA62" s="275">
        <f t="shared" si="23"/>
        <v>0</v>
      </c>
      <c r="AB62" s="275">
        <f t="shared" si="23"/>
        <v>0</v>
      </c>
      <c r="AC62" s="275">
        <f t="shared" si="23"/>
        <v>0</v>
      </c>
      <c r="AD62" s="275">
        <f t="shared" si="23"/>
        <v>0</v>
      </c>
      <c r="AE62" s="35"/>
      <c r="AF62" s="275"/>
      <c r="AG62" s="562">
        <f>IF(AND(R60&gt;0,12-'Input 4_RSV Season'!$AG$27+1&gt;R60),IF(AG61&gt;0,AG61+1,1),0)</f>
        <v>4</v>
      </c>
      <c r="AH62" s="549">
        <f t="shared" si="27"/>
        <v>2628.5373541926442</v>
      </c>
      <c r="AI62" s="549">
        <f t="shared" si="28"/>
        <v>52.46152756553964</v>
      </c>
      <c r="AK62" s="549">
        <f t="shared" si="29"/>
        <v>2628.5373541926442</v>
      </c>
      <c r="AL62" s="565">
        <f t="shared" si="30"/>
        <v>52.46152756553964</v>
      </c>
      <c r="AN62" s="599"/>
      <c r="AP62" s="26">
        <v>6</v>
      </c>
      <c r="AR62" s="275">
        <f t="shared" si="26"/>
        <v>1059.4449609389478</v>
      </c>
      <c r="AS62" s="275">
        <f t="shared" si="24"/>
        <v>2404.5112405431551</v>
      </c>
      <c r="AT62" s="275">
        <f t="shared" si="24"/>
        <v>4588.569237029742</v>
      </c>
      <c r="AU62" s="275">
        <f t="shared" si="24"/>
        <v>2508.7254223835575</v>
      </c>
      <c r="AV62" s="275">
        <f t="shared" si="24"/>
        <v>1432.3248588049385</v>
      </c>
      <c r="AW62" s="275">
        <f t="shared" si="24"/>
        <v>405.36184532610503</v>
      </c>
      <c r="AX62" s="275">
        <f t="shared" si="24"/>
        <v>0</v>
      </c>
      <c r="AY62" s="275">
        <f t="shared" si="24"/>
        <v>0</v>
      </c>
      <c r="AZ62" s="275">
        <f t="shared" si="24"/>
        <v>0</v>
      </c>
      <c r="BA62" s="275">
        <f t="shared" si="24"/>
        <v>0</v>
      </c>
      <c r="BB62" s="275">
        <f t="shared" si="24"/>
        <v>0</v>
      </c>
      <c r="BC62" s="35"/>
      <c r="BD62" s="275"/>
      <c r="BE62" s="562">
        <f>IF(AND(AP60&gt;0,12-'Input 4_RSV Season'!$AG$27+1&gt;AP60),IF(BE61&gt;0,BE61+1,1),0)</f>
        <v>4</v>
      </c>
      <c r="BF62" s="549">
        <f t="shared" si="31"/>
        <v>17874.403273291995</v>
      </c>
      <c r="BG62" s="565">
        <f t="shared" si="32"/>
        <v>356.74535822885446</v>
      </c>
      <c r="BI62" s="693">
        <f>IF(SUM($AR$7:$BC$7)=4,AR60,0)</f>
        <v>0</v>
      </c>
      <c r="BJ62" s="565">
        <f t="shared" si="33"/>
        <v>18231.148631520849</v>
      </c>
    </row>
    <row r="63" spans="2:62" x14ac:dyDescent="0.3">
      <c r="B63" s="26">
        <v>7</v>
      </c>
      <c r="D63" s="856">
        <f>'WiS percent RSV_high'!E63</f>
        <v>3.8251204471318051E-3</v>
      </c>
      <c r="E63" s="856">
        <f>'WiS percent RSV_high'!F64</f>
        <v>1.4863526638598504E-2</v>
      </c>
      <c r="F63" s="856">
        <f>'WiS percent RSV_high'!G65</f>
        <v>1.7299793996173735E-2</v>
      </c>
      <c r="G63" s="856">
        <f>'WiS percent RSV_high'!H66</f>
        <v>1.2306621837741104E-2</v>
      </c>
      <c r="H63" s="856">
        <f>'WiS percent RSV_high'!I67</f>
        <v>7.0549465959286696E-3</v>
      </c>
      <c r="I63" s="246"/>
      <c r="J63" s="246"/>
      <c r="K63" s="246"/>
      <c r="L63" s="246"/>
      <c r="M63" s="246"/>
      <c r="N63" s="246"/>
      <c r="O63" s="246"/>
      <c r="R63" s="26">
        <v>7</v>
      </c>
      <c r="T63" s="275">
        <f t="shared" si="25"/>
        <v>121.98348077724812</v>
      </c>
      <c r="U63" s="275">
        <f t="shared" si="23"/>
        <v>473.99937885906797</v>
      </c>
      <c r="V63" s="275">
        <f t="shared" si="23"/>
        <v>551.69219310857829</v>
      </c>
      <c r="W63" s="275">
        <f t="shared" si="23"/>
        <v>392.45942425227526</v>
      </c>
      <c r="X63" s="275">
        <f t="shared" si="23"/>
        <v>224.98296572968621</v>
      </c>
      <c r="Y63" s="275">
        <f t="shared" si="23"/>
        <v>0</v>
      </c>
      <c r="Z63" s="275">
        <f t="shared" si="23"/>
        <v>0</v>
      </c>
      <c r="AA63" s="275">
        <f t="shared" si="23"/>
        <v>0</v>
      </c>
      <c r="AB63" s="275">
        <f t="shared" si="23"/>
        <v>0</v>
      </c>
      <c r="AC63" s="275">
        <f t="shared" si="23"/>
        <v>0</v>
      </c>
      <c r="AD63" s="275">
        <f t="shared" si="23"/>
        <v>0</v>
      </c>
      <c r="AE63" s="35"/>
      <c r="AF63" s="275"/>
      <c r="AG63" s="562">
        <f>IF(AND(R61&gt;0,12-'Input 4_RSV Season'!$AG$27+1&gt;R61),IF(AG62&gt;0,AG62+1,1),0)</f>
        <v>5</v>
      </c>
      <c r="AH63" s="549">
        <f t="shared" si="27"/>
        <v>1972.9479887533407</v>
      </c>
      <c r="AI63" s="549">
        <f t="shared" si="28"/>
        <v>55.808450237708861</v>
      </c>
      <c r="AK63" s="549">
        <f t="shared" si="29"/>
        <v>1972.9479887533407</v>
      </c>
      <c r="AL63" s="565">
        <f t="shared" si="30"/>
        <v>55.808450237708861</v>
      </c>
      <c r="AN63" s="599"/>
      <c r="AP63" s="26">
        <v>7</v>
      </c>
      <c r="AR63" s="275">
        <f t="shared" si="26"/>
        <v>829.5038777419619</v>
      </c>
      <c r="AS63" s="275">
        <f t="shared" si="24"/>
        <v>3223.2587585270267</v>
      </c>
      <c r="AT63" s="275">
        <f t="shared" si="24"/>
        <v>3751.5802187937607</v>
      </c>
      <c r="AU63" s="275">
        <f t="shared" si="24"/>
        <v>2668.7762326450993</v>
      </c>
      <c r="AV63" s="275">
        <f t="shared" si="24"/>
        <v>1529.9140613920738</v>
      </c>
      <c r="AW63" s="275">
        <f t="shared" si="24"/>
        <v>0</v>
      </c>
      <c r="AX63" s="275">
        <f t="shared" si="24"/>
        <v>0</v>
      </c>
      <c r="AY63" s="275">
        <f t="shared" si="24"/>
        <v>0</v>
      </c>
      <c r="AZ63" s="275">
        <f t="shared" si="24"/>
        <v>0</v>
      </c>
      <c r="BA63" s="275">
        <f t="shared" si="24"/>
        <v>0</v>
      </c>
      <c r="BB63" s="275">
        <f t="shared" si="24"/>
        <v>0</v>
      </c>
      <c r="BC63" s="35"/>
      <c r="BD63" s="275"/>
      <c r="BE63" s="562">
        <f>IF(AND(AP61&gt;0,12-'Input 4_RSV Season'!$AG$27+1&gt;AP61),IF(BE62&gt;0,BE62+1,1),0)</f>
        <v>5</v>
      </c>
      <c r="BF63" s="549">
        <f t="shared" si="31"/>
        <v>13416.308477396289</v>
      </c>
      <c r="BG63" s="565">
        <f t="shared" si="32"/>
        <v>379.50487711925717</v>
      </c>
      <c r="BI63" s="693"/>
      <c r="BJ63" s="565">
        <f>IF($BE63&gt;0,SUM($AR61:$BC61)-BI63,0)</f>
        <v>13795.813354515547</v>
      </c>
    </row>
    <row r="64" spans="2:62" x14ac:dyDescent="0.3">
      <c r="B64" s="26">
        <v>8</v>
      </c>
      <c r="D64" s="856">
        <f>'WiS percent RSV_high'!E64</f>
        <v>5.1275921591671702E-3</v>
      </c>
      <c r="E64" s="856">
        <f>'WiS percent RSV_high'!F65</f>
        <v>1.2152309279520811E-2</v>
      </c>
      <c r="F64" s="856">
        <f>'WiS percent RSV_high'!G66</f>
        <v>1.840348036286055E-2</v>
      </c>
      <c r="G64" s="856">
        <f>'WiS percent RSV_high'!H67</f>
        <v>1.3145114170191879E-2</v>
      </c>
      <c r="H64" s="246"/>
      <c r="I64" s="246"/>
      <c r="J64" s="246"/>
      <c r="K64" s="246"/>
      <c r="L64" s="246"/>
      <c r="M64" s="246"/>
      <c r="N64" s="246"/>
      <c r="O64" s="246"/>
      <c r="R64" s="26">
        <v>8</v>
      </c>
      <c r="T64" s="275">
        <f t="shared" si="25"/>
        <v>163.51943637496231</v>
      </c>
      <c r="U64" s="275">
        <f t="shared" si="23"/>
        <v>387.53838104866378</v>
      </c>
      <c r="V64" s="275">
        <f t="shared" si="23"/>
        <v>586.88886379009966</v>
      </c>
      <c r="W64" s="275">
        <f t="shared" si="23"/>
        <v>419.19903016300509</v>
      </c>
      <c r="X64" s="275">
        <f t="shared" si="23"/>
        <v>0</v>
      </c>
      <c r="Y64" s="275">
        <f t="shared" si="23"/>
        <v>0</v>
      </c>
      <c r="Z64" s="275">
        <f t="shared" si="23"/>
        <v>0</v>
      </c>
      <c r="AA64" s="275">
        <f t="shared" si="23"/>
        <v>0</v>
      </c>
      <c r="AB64" s="275">
        <f t="shared" si="23"/>
        <v>0</v>
      </c>
      <c r="AC64" s="275">
        <f t="shared" si="23"/>
        <v>0</v>
      </c>
      <c r="AD64" s="275">
        <f t="shared" si="23"/>
        <v>0</v>
      </c>
      <c r="AE64" s="35"/>
      <c r="AF64" s="275"/>
      <c r="AG64" s="562">
        <f>IF(AND(R62&gt;0,12-'Input 4_RSV Season'!$AG$27+1&gt;R62),IF(AG63&gt;0,AG63+1,1),0)</f>
        <v>6</v>
      </c>
      <c r="AH64" s="549">
        <f t="shared" si="27"/>
        <v>1763.7266714618602</v>
      </c>
      <c r="AI64" s="549">
        <f t="shared" si="28"/>
        <v>59.610871261711722</v>
      </c>
      <c r="AK64" s="549">
        <f t="shared" si="29"/>
        <v>1763.7266714618602</v>
      </c>
      <c r="AL64" s="565">
        <f t="shared" si="30"/>
        <v>59.610871261711722</v>
      </c>
      <c r="AN64" s="599"/>
      <c r="AP64" s="26">
        <v>8</v>
      </c>
      <c r="AR64" s="275">
        <f t="shared" si="26"/>
        <v>1111.9538948630357</v>
      </c>
      <c r="AS64" s="275">
        <f t="shared" si="24"/>
        <v>2635.3124849808928</v>
      </c>
      <c r="AT64" s="275">
        <f t="shared" si="24"/>
        <v>3990.9222561573501</v>
      </c>
      <c r="AU64" s="275">
        <f t="shared" si="24"/>
        <v>2850.6091058416418</v>
      </c>
      <c r="AV64" s="275">
        <f t="shared" si="24"/>
        <v>0</v>
      </c>
      <c r="AW64" s="275">
        <f t="shared" si="24"/>
        <v>0</v>
      </c>
      <c r="AX64" s="275">
        <f t="shared" si="24"/>
        <v>0</v>
      </c>
      <c r="AY64" s="275">
        <f t="shared" si="24"/>
        <v>0</v>
      </c>
      <c r="AZ64" s="275">
        <f t="shared" si="24"/>
        <v>0</v>
      </c>
      <c r="BA64" s="275">
        <f t="shared" si="24"/>
        <v>0</v>
      </c>
      <c r="BB64" s="275">
        <f t="shared" si="24"/>
        <v>0</v>
      </c>
      <c r="BC64" s="35"/>
      <c r="BD64" s="275"/>
      <c r="BE64" s="562">
        <f>IF(AND(AP62&gt;0,12-'Input 4_RSV Season'!$AG$27+1&gt;AP62),IF(BE63&gt;0,BE63+1,1),0)</f>
        <v>6</v>
      </c>
      <c r="BF64" s="549">
        <f t="shared" si="31"/>
        <v>11993.575719700342</v>
      </c>
      <c r="BG64" s="565">
        <f t="shared" si="32"/>
        <v>405.36184532610503</v>
      </c>
      <c r="BI64" s="693"/>
      <c r="BJ64" s="565">
        <f t="shared" ref="BJ64:BJ69" si="34">IF($BE64&gt;0,SUM($AR62:$BC62)-BI64,0)</f>
        <v>12398.937565026446</v>
      </c>
    </row>
    <row r="65" spans="2:62" x14ac:dyDescent="0.3">
      <c r="B65" s="26">
        <v>9</v>
      </c>
      <c r="D65" s="856">
        <f>'WiS percent RSV_high'!E65</f>
        <v>4.1922813671709351E-3</v>
      </c>
      <c r="E65" s="856">
        <f>'WiS percent RSV_high'!F66</f>
        <v>1.2927598169003268E-2</v>
      </c>
      <c r="F65" s="856">
        <f>'WiS percent RSV_high'!G67</f>
        <v>1.9657372566433729E-2</v>
      </c>
      <c r="G65" s="246"/>
      <c r="H65" s="246"/>
      <c r="I65" s="246"/>
      <c r="J65" s="246"/>
      <c r="K65" s="246"/>
      <c r="L65" s="246"/>
      <c r="M65" s="246"/>
      <c r="N65" s="246"/>
      <c r="O65" s="246"/>
      <c r="R65" s="26">
        <v>9</v>
      </c>
      <c r="T65" s="275">
        <f t="shared" si="25"/>
        <v>133.6922799250849</v>
      </c>
      <c r="U65" s="275">
        <f t="shared" si="23"/>
        <v>412.26242272372019</v>
      </c>
      <c r="V65" s="275">
        <f t="shared" si="23"/>
        <v>626.8756139134847</v>
      </c>
      <c r="W65" s="275">
        <f t="shared" si="23"/>
        <v>0</v>
      </c>
      <c r="X65" s="275">
        <f t="shared" si="23"/>
        <v>0</v>
      </c>
      <c r="Y65" s="275">
        <f t="shared" si="23"/>
        <v>0</v>
      </c>
      <c r="Z65" s="275">
        <f t="shared" si="23"/>
        <v>0</v>
      </c>
      <c r="AA65" s="275">
        <f t="shared" si="23"/>
        <v>0</v>
      </c>
      <c r="AB65" s="275">
        <f t="shared" si="23"/>
        <v>0</v>
      </c>
      <c r="AC65" s="275">
        <f t="shared" si="23"/>
        <v>0</v>
      </c>
      <c r="AD65" s="275">
        <f t="shared" si="23"/>
        <v>0</v>
      </c>
      <c r="AE65" s="35"/>
      <c r="AF65" s="275"/>
      <c r="AG65" s="562">
        <f>IF(AND(R63&gt;0,12-'Input 4_RSV Season'!$AG$27+1&gt;R63),IF(AG64&gt;0,AG64+1,1),0)</f>
        <v>0</v>
      </c>
      <c r="AH65" s="549">
        <f t="shared" si="27"/>
        <v>0</v>
      </c>
      <c r="AI65" s="549">
        <f t="shared" si="28"/>
        <v>0</v>
      </c>
      <c r="AK65" s="549">
        <f t="shared" si="29"/>
        <v>0</v>
      </c>
      <c r="AL65" s="565">
        <f t="shared" si="30"/>
        <v>0</v>
      </c>
      <c r="AN65" s="599"/>
      <c r="AP65" s="26">
        <v>9</v>
      </c>
      <c r="AR65" s="275">
        <f t="shared" si="26"/>
        <v>909.12526774450009</v>
      </c>
      <c r="AS65" s="275">
        <f t="shared" si="24"/>
        <v>2803.4392535583834</v>
      </c>
      <c r="AT65" s="275">
        <f t="shared" si="24"/>
        <v>4262.8374702035562</v>
      </c>
      <c r="AU65" s="275">
        <f t="shared" si="24"/>
        <v>0</v>
      </c>
      <c r="AV65" s="275">
        <f t="shared" si="24"/>
        <v>0</v>
      </c>
      <c r="AW65" s="275">
        <f t="shared" si="24"/>
        <v>0</v>
      </c>
      <c r="AX65" s="275">
        <f t="shared" si="24"/>
        <v>0</v>
      </c>
      <c r="AY65" s="275">
        <f t="shared" si="24"/>
        <v>0</v>
      </c>
      <c r="AZ65" s="275">
        <f t="shared" si="24"/>
        <v>0</v>
      </c>
      <c r="BA65" s="275">
        <f t="shared" si="24"/>
        <v>0</v>
      </c>
      <c r="BB65" s="275">
        <f t="shared" si="24"/>
        <v>0</v>
      </c>
      <c r="BC65" s="35"/>
      <c r="BD65" s="275"/>
      <c r="BE65" s="562">
        <f>IF(AND(AP63&gt;0,12-'Input 4_RSV Season'!$AG$27+1&gt;AP63),IF(BE64&gt;0,BE64+1,1),0)</f>
        <v>0</v>
      </c>
      <c r="BF65" s="549">
        <f t="shared" si="31"/>
        <v>0</v>
      </c>
      <c r="BG65" s="565">
        <f t="shared" si="32"/>
        <v>0</v>
      </c>
      <c r="BI65" s="693"/>
      <c r="BJ65" s="565">
        <f t="shared" si="34"/>
        <v>0</v>
      </c>
    </row>
    <row r="66" spans="2:62" x14ac:dyDescent="0.3">
      <c r="B66" s="26">
        <v>10</v>
      </c>
      <c r="D66" s="856">
        <f>'WiS percent RSV_high'!E66</f>
        <v>4.4597391063373728E-3</v>
      </c>
      <c r="E66" s="856">
        <f>'WiS percent RSV_high'!F67</f>
        <v>1.3808399747586882E-2</v>
      </c>
      <c r="F66" s="246"/>
      <c r="G66" s="246"/>
      <c r="H66" s="246"/>
      <c r="I66" s="246"/>
      <c r="J66" s="246"/>
      <c r="K66" s="246"/>
      <c r="L66" s="246"/>
      <c r="M66" s="246"/>
      <c r="N66" s="246"/>
      <c r="O66" s="246"/>
      <c r="R66" s="26">
        <v>10</v>
      </c>
      <c r="T66" s="275">
        <f t="shared" si="25"/>
        <v>142.22153447674194</v>
      </c>
      <c r="U66" s="275">
        <f t="shared" si="23"/>
        <v>440.35127480425757</v>
      </c>
      <c r="V66" s="275">
        <f t="shared" si="23"/>
        <v>0</v>
      </c>
      <c r="W66" s="275">
        <f t="shared" si="23"/>
        <v>0</v>
      </c>
      <c r="X66" s="275">
        <f t="shared" si="23"/>
        <v>0</v>
      </c>
      <c r="Y66" s="275">
        <f t="shared" si="23"/>
        <v>0</v>
      </c>
      <c r="Z66" s="275">
        <f t="shared" si="23"/>
        <v>0</v>
      </c>
      <c r="AA66" s="275">
        <f t="shared" si="23"/>
        <v>0</v>
      </c>
      <c r="AB66" s="275">
        <f t="shared" si="23"/>
        <v>0</v>
      </c>
      <c r="AC66" s="275">
        <f t="shared" si="23"/>
        <v>0</v>
      </c>
      <c r="AD66" s="275">
        <f t="shared" si="23"/>
        <v>0</v>
      </c>
      <c r="AE66" s="35"/>
      <c r="AF66" s="275"/>
      <c r="AG66" s="562">
        <f>IF(AND(R64&gt;0,12-'Input 4_RSV Season'!$AG$27+1&gt;R64),IF(AG65&gt;0,AG65+1,1),0)</f>
        <v>0</v>
      </c>
      <c r="AH66" s="549">
        <f t="shared" si="27"/>
        <v>0</v>
      </c>
      <c r="AI66" s="549">
        <f t="shared" si="28"/>
        <v>0</v>
      </c>
      <c r="AK66" s="549">
        <f t="shared" si="29"/>
        <v>0</v>
      </c>
      <c r="AL66" s="565">
        <f t="shared" si="30"/>
        <v>0</v>
      </c>
      <c r="AN66" s="599"/>
      <c r="AP66" s="26">
        <v>10</v>
      </c>
      <c r="AR66" s="275">
        <f t="shared" si="26"/>
        <v>967.12533201359099</v>
      </c>
      <c r="AS66" s="275">
        <f t="shared" si="24"/>
        <v>2994.4471799896141</v>
      </c>
      <c r="AT66" s="275">
        <f t="shared" si="24"/>
        <v>0</v>
      </c>
      <c r="AU66" s="275">
        <f t="shared" si="24"/>
        <v>0</v>
      </c>
      <c r="AV66" s="275">
        <f t="shared" si="24"/>
        <v>0</v>
      </c>
      <c r="AW66" s="275">
        <f t="shared" si="24"/>
        <v>0</v>
      </c>
      <c r="AX66" s="275">
        <f t="shared" si="24"/>
        <v>0</v>
      </c>
      <c r="AY66" s="275">
        <f t="shared" si="24"/>
        <v>0</v>
      </c>
      <c r="AZ66" s="275">
        <f t="shared" si="24"/>
        <v>0</v>
      </c>
      <c r="BA66" s="275">
        <f t="shared" si="24"/>
        <v>0</v>
      </c>
      <c r="BB66" s="275">
        <f t="shared" si="24"/>
        <v>0</v>
      </c>
      <c r="BC66" s="35"/>
      <c r="BD66" s="275"/>
      <c r="BE66" s="562">
        <f>IF(AND(AP64&gt;0,12-'Input 4_RSV Season'!$AG$27+1&gt;AP64),IF(BE65&gt;0,BE65+1,1),0)</f>
        <v>0</v>
      </c>
      <c r="BF66" s="549">
        <f t="shared" si="31"/>
        <v>0</v>
      </c>
      <c r="BG66" s="565">
        <f t="shared" si="32"/>
        <v>0</v>
      </c>
      <c r="BI66" s="693"/>
      <c r="BJ66" s="565">
        <f t="shared" si="34"/>
        <v>0</v>
      </c>
    </row>
    <row r="67" spans="2:62" x14ac:dyDescent="0.3">
      <c r="B67" s="26">
        <v>11</v>
      </c>
      <c r="D67" s="856">
        <f>'WiS percent RSV_high'!E67</f>
        <v>4.7635964194732037E-3</v>
      </c>
      <c r="E67" s="246"/>
      <c r="F67" s="246"/>
      <c r="G67" s="246"/>
      <c r="H67" s="246"/>
      <c r="I67" s="246"/>
      <c r="J67" s="246"/>
      <c r="K67" s="246"/>
      <c r="L67" s="246"/>
      <c r="M67" s="246"/>
      <c r="N67" s="246"/>
      <c r="O67" s="246"/>
      <c r="R67" s="26">
        <v>11</v>
      </c>
      <c r="T67" s="275">
        <f t="shared" si="25"/>
        <v>151.91157515081375</v>
      </c>
      <c r="U67" s="275">
        <f t="shared" si="23"/>
        <v>0</v>
      </c>
      <c r="V67" s="275">
        <f t="shared" si="23"/>
        <v>0</v>
      </c>
      <c r="W67" s="275">
        <f t="shared" si="23"/>
        <v>0</v>
      </c>
      <c r="X67" s="275">
        <f t="shared" si="23"/>
        <v>0</v>
      </c>
      <c r="Y67" s="275">
        <f t="shared" si="23"/>
        <v>0</v>
      </c>
      <c r="Z67" s="275">
        <f t="shared" si="23"/>
        <v>0</v>
      </c>
      <c r="AA67" s="275">
        <f t="shared" si="23"/>
        <v>0</v>
      </c>
      <c r="AB67" s="275">
        <f t="shared" si="23"/>
        <v>0</v>
      </c>
      <c r="AC67" s="275">
        <f t="shared" si="23"/>
        <v>0</v>
      </c>
      <c r="AD67" s="275">
        <f t="shared" si="23"/>
        <v>0</v>
      </c>
      <c r="AF67" s="275"/>
      <c r="AG67" s="562">
        <f>IF(AND(R65&gt;0,12-'Input 4_RSV Season'!$AG$27+1&gt;R65),IF(AG66&gt;0,AG66+1,1),0)</f>
        <v>0</v>
      </c>
      <c r="AH67" s="549">
        <f t="shared" si="27"/>
        <v>0</v>
      </c>
      <c r="AI67" s="549">
        <f t="shared" si="28"/>
        <v>0</v>
      </c>
      <c r="AK67" s="549">
        <f t="shared" si="29"/>
        <v>0</v>
      </c>
      <c r="AL67" s="565">
        <f t="shared" si="30"/>
        <v>0</v>
      </c>
      <c r="AN67" s="599"/>
      <c r="AP67" s="26">
        <v>11</v>
      </c>
      <c r="AR67" s="275">
        <f t="shared" si="26"/>
        <v>1033.0188961536223</v>
      </c>
      <c r="AS67" s="275">
        <f t="shared" si="24"/>
        <v>0</v>
      </c>
      <c r="AT67" s="275">
        <f t="shared" si="24"/>
        <v>0</v>
      </c>
      <c r="AU67" s="275">
        <f t="shared" si="24"/>
        <v>0</v>
      </c>
      <c r="AV67" s="275">
        <f t="shared" si="24"/>
        <v>0</v>
      </c>
      <c r="AW67" s="275">
        <f t="shared" si="24"/>
        <v>0</v>
      </c>
      <c r="AX67" s="275">
        <f t="shared" si="24"/>
        <v>0</v>
      </c>
      <c r="AY67" s="275">
        <f t="shared" si="24"/>
        <v>0</v>
      </c>
      <c r="AZ67" s="275">
        <f t="shared" si="24"/>
        <v>0</v>
      </c>
      <c r="BA67" s="275">
        <f t="shared" si="24"/>
        <v>0</v>
      </c>
      <c r="BB67" s="275">
        <f t="shared" si="24"/>
        <v>0</v>
      </c>
      <c r="BD67" s="275"/>
      <c r="BE67" s="562">
        <f>IF(AND(AP65&gt;0,12-'Input 4_RSV Season'!$AG$27+1&gt;AP65),IF(BE66&gt;0,BE66+1,1),0)</f>
        <v>0</v>
      </c>
      <c r="BF67" s="549">
        <f t="shared" si="31"/>
        <v>0</v>
      </c>
      <c r="BG67" s="565">
        <f t="shared" si="32"/>
        <v>0</v>
      </c>
      <c r="BI67" s="693"/>
      <c r="BJ67" s="565">
        <f t="shared" si="34"/>
        <v>0</v>
      </c>
    </row>
    <row r="68" spans="2:62" x14ac:dyDescent="0.3">
      <c r="C68" s="13"/>
      <c r="S68" s="13"/>
      <c r="T68" s="14"/>
      <c r="U68" s="547"/>
      <c r="V68" s="13"/>
      <c r="W68" s="13"/>
      <c r="X68" s="14"/>
      <c r="Y68" s="574"/>
      <c r="Z68" s="574"/>
      <c r="AA68" s="574"/>
      <c r="AB68" s="574"/>
      <c r="AC68" s="574"/>
      <c r="AD68" s="574"/>
      <c r="AE68" s="574"/>
      <c r="AF68" s="36"/>
      <c r="AG68" s="562">
        <f>IF(AND(R66&gt;0,12-'Input 4_RSV Season'!$AG$27+1&gt;R66),IF(AG67&gt;0,AG67+1,1),0)</f>
        <v>0</v>
      </c>
      <c r="AH68" s="549">
        <f t="shared" si="27"/>
        <v>0</v>
      </c>
      <c r="AI68" s="549">
        <f t="shared" si="28"/>
        <v>0</v>
      </c>
      <c r="AK68" s="549">
        <f t="shared" si="29"/>
        <v>0</v>
      </c>
      <c r="AL68" s="565">
        <f t="shared" si="30"/>
        <v>0</v>
      </c>
      <c r="AN68" s="599"/>
      <c r="AQ68" s="13"/>
      <c r="AR68" s="14"/>
      <c r="AS68" s="547"/>
      <c r="AT68" s="13"/>
      <c r="AU68" s="13"/>
      <c r="AV68" s="14"/>
      <c r="AW68" s="574"/>
      <c r="AX68" s="574"/>
      <c r="AY68" s="574"/>
      <c r="AZ68" s="574"/>
      <c r="BA68" s="574"/>
      <c r="BB68" s="574"/>
      <c r="BC68" s="574"/>
      <c r="BD68" s="36"/>
      <c r="BE68" s="562">
        <f>IF(AND(AP66&gt;0,12-'Input 4_RSV Season'!$AG$27+1&gt;AP66),IF(BE67&gt;0,BE67+1,1),0)</f>
        <v>0</v>
      </c>
      <c r="BF68" s="549">
        <f t="shared" si="31"/>
        <v>0</v>
      </c>
      <c r="BG68" s="565">
        <f t="shared" si="32"/>
        <v>0</v>
      </c>
      <c r="BI68" s="693"/>
      <c r="BJ68" s="565">
        <f t="shared" si="34"/>
        <v>0</v>
      </c>
    </row>
    <row r="69" spans="2:62" x14ac:dyDescent="0.3">
      <c r="S69" s="13"/>
      <c r="T69" s="13"/>
      <c r="U69" s="575"/>
      <c r="V69" s="13"/>
      <c r="W69" s="13"/>
      <c r="X69" s="14"/>
      <c r="Y69" s="70"/>
      <c r="Z69" s="13"/>
      <c r="AA69" s="13"/>
      <c r="AB69" s="13"/>
      <c r="AC69" s="13"/>
      <c r="AD69" s="13"/>
      <c r="AE69" s="70"/>
      <c r="AF69" s="70"/>
      <c r="AG69" s="562">
        <f>IF(AND(R67&gt;0,12-'Input 4_RSV Season'!$AG$27+1&gt;R67),IF(AG68&gt;0,AG68+1,1),0)</f>
        <v>0</v>
      </c>
      <c r="AH69" s="550">
        <f t="shared" si="27"/>
        <v>0</v>
      </c>
      <c r="AI69" s="550">
        <f t="shared" si="28"/>
        <v>0</v>
      </c>
      <c r="AJ69" s="13"/>
      <c r="AK69" s="550">
        <f t="shared" si="29"/>
        <v>0</v>
      </c>
      <c r="AL69" s="566">
        <f t="shared" si="30"/>
        <v>0</v>
      </c>
      <c r="AN69" s="599"/>
      <c r="AQ69" s="13"/>
      <c r="AR69" s="13"/>
      <c r="AS69" s="575"/>
      <c r="AT69" s="13"/>
      <c r="AU69" s="13"/>
      <c r="AV69" s="14"/>
      <c r="AW69" s="70"/>
      <c r="AX69" s="13"/>
      <c r="AY69" s="13"/>
      <c r="AZ69" s="13"/>
      <c r="BA69" s="13"/>
      <c r="BB69" s="13"/>
      <c r="BC69" s="70"/>
      <c r="BD69" s="70"/>
      <c r="BE69" s="562">
        <f>IF(AND(AP67&gt;0,12-'Input 4_RSV Season'!$AG$27+1&gt;AP67),IF(BE68&gt;0,BE68+1,1),0)</f>
        <v>0</v>
      </c>
      <c r="BF69" s="550">
        <f t="shared" si="31"/>
        <v>0</v>
      </c>
      <c r="BG69" s="566">
        <f t="shared" si="32"/>
        <v>0</v>
      </c>
      <c r="BI69" s="694"/>
      <c r="BJ69" s="566">
        <f t="shared" si="34"/>
        <v>0</v>
      </c>
    </row>
    <row r="70" spans="2:62" x14ac:dyDescent="0.3">
      <c r="S70" s="13"/>
      <c r="T70" s="14"/>
      <c r="U70" s="70"/>
      <c r="V70" s="13"/>
      <c r="W70" s="13"/>
      <c r="X70" s="14"/>
      <c r="Y70" s="70"/>
      <c r="Z70" s="13"/>
      <c r="AA70" s="13"/>
      <c r="AB70" s="13"/>
      <c r="AC70" s="13"/>
      <c r="AD70" s="13"/>
      <c r="AE70" s="70"/>
      <c r="AF70" s="70"/>
      <c r="AH70" s="5">
        <f>SUM(AH58:AH69)</f>
        <v>17383.660287826482</v>
      </c>
      <c r="AI70" s="5">
        <f>SUM(AI58:AI69)</f>
        <v>341.04943986642451</v>
      </c>
      <c r="AJ70" s="593"/>
      <c r="AK70" s="5">
        <f>SUM(AK58:AK69)</f>
        <v>17383.660287826482</v>
      </c>
      <c r="AL70" s="5">
        <f>SUM(AL58:AL69)</f>
        <v>341.04943986642451</v>
      </c>
      <c r="AN70" s="599"/>
      <c r="AQ70" s="13"/>
      <c r="AR70" s="14"/>
      <c r="AS70" s="70"/>
      <c r="AT70" s="13"/>
      <c r="AU70" s="13"/>
      <c r="AV70" s="14"/>
      <c r="AW70" s="70"/>
      <c r="AX70" s="13"/>
      <c r="AY70" s="13"/>
      <c r="AZ70" s="13"/>
      <c r="BA70" s="13"/>
      <c r="BB70" s="13"/>
      <c r="BC70" s="70"/>
      <c r="BD70" s="70"/>
      <c r="BE70" s="538"/>
      <c r="BF70" s="5">
        <f>SUM(BF58:BF69)</f>
        <v>118211.19979706747</v>
      </c>
      <c r="BG70" s="5">
        <f>SUM(BG58:BG69)</f>
        <v>2319.1815077610813</v>
      </c>
      <c r="BI70" s="5">
        <f>SUM(BI58:BI69)</f>
        <v>25736.50725894585</v>
      </c>
      <c r="BJ70" s="5">
        <f>SUM(BJ58:BJ69)</f>
        <v>94793.874045882709</v>
      </c>
    </row>
    <row r="71" spans="2:62" ht="15" thickBot="1" x14ac:dyDescent="0.35">
      <c r="S71" s="13"/>
      <c r="T71" s="14"/>
      <c r="U71" s="70"/>
      <c r="V71" s="13"/>
      <c r="W71" s="13"/>
      <c r="X71" s="14"/>
      <c r="Y71" s="70"/>
      <c r="Z71" s="13"/>
      <c r="AA71" s="510"/>
      <c r="AB71" s="510"/>
      <c r="AC71" s="510"/>
      <c r="AD71" s="510"/>
      <c r="AE71" s="70"/>
      <c r="AF71" s="70"/>
      <c r="AN71" s="599"/>
      <c r="AQ71" s="13"/>
      <c r="AR71" s="14"/>
      <c r="AS71" s="70"/>
      <c r="AT71" s="13"/>
      <c r="AU71" s="13"/>
      <c r="AV71" s="14"/>
      <c r="AW71" s="70"/>
      <c r="AX71" s="13"/>
      <c r="AY71" s="510"/>
      <c r="AZ71" s="510"/>
      <c r="BA71" s="510"/>
      <c r="BB71" s="510"/>
      <c r="BC71" s="70"/>
      <c r="BD71" s="70"/>
      <c r="BE71" s="538"/>
    </row>
    <row r="72" spans="2:62" ht="16.2" thickBot="1" x14ac:dyDescent="0.35">
      <c r="S72" s="13"/>
      <c r="T72" s="14"/>
      <c r="U72" s="575"/>
      <c r="V72" s="13"/>
      <c r="W72" s="13"/>
      <c r="X72" s="14"/>
      <c r="Y72" s="70"/>
      <c r="Z72" s="13"/>
      <c r="AA72" s="510"/>
      <c r="AB72" s="70"/>
      <c r="AC72" s="70"/>
      <c r="AD72" s="70"/>
      <c r="AE72" s="70"/>
      <c r="AF72" s="70"/>
      <c r="AH72" s="577">
        <f>AH70/('Input 1_Population'!$G$24*$I$4)</f>
        <v>0.89908721716369955</v>
      </c>
      <c r="AI72" s="578">
        <f>AI70/('Input 1_Population'!$G$24*$I$4)</f>
        <v>1.7639161530294788E-2</v>
      </c>
      <c r="AJ72" s="873"/>
      <c r="AK72" s="577">
        <f>AK70/('Input 1_Population'!$G$24*$I$4)</f>
        <v>0.89908721716369955</v>
      </c>
      <c r="AL72" s="578">
        <f>AL70/('Input 1_Population'!$G$24*$I$4)</f>
        <v>1.7639161530294788E-2</v>
      </c>
      <c r="AN72" s="599"/>
      <c r="AQ72" s="13"/>
      <c r="AR72" s="14"/>
      <c r="AS72" s="575"/>
      <c r="AT72" s="13"/>
      <c r="AU72" s="13"/>
      <c r="AV72" s="14"/>
      <c r="AW72" s="70"/>
      <c r="AX72" s="13"/>
      <c r="AY72" s="510"/>
      <c r="AZ72" s="70"/>
      <c r="BA72" s="70"/>
      <c r="BB72" s="70"/>
      <c r="BC72" s="70"/>
      <c r="BD72" s="70"/>
      <c r="BE72" s="538"/>
      <c r="BF72" s="577">
        <f>BF70/((1-'Input 1_Population'!$G$24)*$I$4)</f>
        <v>6.0509334390611152E-2</v>
      </c>
      <c r="BG72" s="577">
        <f>BG70/((1-'Input 1_Population'!$G$24)*$I$4)</f>
        <v>1.1871305731313482E-3</v>
      </c>
      <c r="BH72" s="27"/>
      <c r="BI72" s="577">
        <f>BI70/((1-'Input 1_Population'!$G$24)*$I$4)</f>
        <v>1.3173869535639197E-2</v>
      </c>
      <c r="BJ72" s="577">
        <f>BJ70/((1-'Input 1_Population'!$G$24)*$I$4)</f>
        <v>4.8522595428103305E-2</v>
      </c>
    </row>
    <row r="73" spans="2:62" ht="16.2" thickBot="1" x14ac:dyDescent="0.35">
      <c r="S73" s="13"/>
      <c r="T73" s="14"/>
      <c r="U73" s="70"/>
      <c r="V73" s="13"/>
      <c r="W73" s="13"/>
      <c r="X73" s="14"/>
      <c r="Y73" s="70"/>
      <c r="Z73" s="13"/>
      <c r="AA73" s="510"/>
      <c r="AB73" s="70"/>
      <c r="AC73" s="70"/>
      <c r="AD73" s="70"/>
      <c r="AE73" s="70"/>
      <c r="AF73" s="70"/>
      <c r="AH73" s="598" t="s">
        <v>326</v>
      </c>
      <c r="AI73" s="578">
        <f>SUM(AH72:AI72)</f>
        <v>0.91672637869399431</v>
      </c>
      <c r="AK73" s="598" t="s">
        <v>326</v>
      </c>
      <c r="AL73" s="578">
        <f>SUM(AK72:AL72)</f>
        <v>0.91672637869399431</v>
      </c>
      <c r="AN73" s="599"/>
      <c r="AQ73" s="13"/>
      <c r="AR73" s="14"/>
      <c r="AS73" s="70"/>
      <c r="AT73" s="13"/>
      <c r="AU73" s="13"/>
      <c r="AV73" s="14"/>
      <c r="AW73" s="70"/>
      <c r="AX73" s="13"/>
      <c r="AY73" s="510"/>
      <c r="AZ73" s="70"/>
      <c r="BA73" s="70"/>
      <c r="BB73" s="70"/>
      <c r="BC73" s="70"/>
      <c r="BD73" s="70"/>
      <c r="BE73" s="538"/>
      <c r="BF73" s="598" t="s">
        <v>326</v>
      </c>
      <c r="BG73" s="578">
        <f>SUM(BF72:BG72)</f>
        <v>6.1696464963742502E-2</v>
      </c>
      <c r="BI73" s="598" t="s">
        <v>326</v>
      </c>
      <c r="BJ73" s="578">
        <f>SUM(BI72:BJ72)</f>
        <v>6.1696464963742502E-2</v>
      </c>
    </row>
    <row r="74" spans="2:62" x14ac:dyDescent="0.3">
      <c r="AN74" s="599"/>
    </row>
    <row r="76" spans="2:62" x14ac:dyDescent="0.3">
      <c r="R76" t="s">
        <v>347</v>
      </c>
    </row>
  </sheetData>
  <mergeCells count="20">
    <mergeCell ref="C8:N8"/>
    <mergeCell ref="C29:N29"/>
    <mergeCell ref="C52:N52"/>
    <mergeCell ref="BI11:BJ11"/>
    <mergeCell ref="BI32:BJ32"/>
    <mergeCell ref="BI55:BJ55"/>
    <mergeCell ref="BF11:BG11"/>
    <mergeCell ref="AH32:AI32"/>
    <mergeCell ref="AK32:AL32"/>
    <mergeCell ref="BF32:BG32"/>
    <mergeCell ref="AH55:AI55"/>
    <mergeCell ref="AK55:AL55"/>
    <mergeCell ref="BF55:BG55"/>
    <mergeCell ref="R2:S2"/>
    <mergeCell ref="S3:AD3"/>
    <mergeCell ref="AQ3:BB3"/>
    <mergeCell ref="AG8:AM8"/>
    <mergeCell ref="AH11:AI11"/>
    <mergeCell ref="AK11:AL11"/>
    <mergeCell ref="U1:AM2"/>
  </mergeCells>
  <pageMargins left="0.7" right="0.7" top="0.75" bottom="0.75" header="0.3" footer="0.3"/>
  <pageSetup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B2:Z43"/>
  <sheetViews>
    <sheetView zoomScale="90" zoomScaleNormal="90" workbookViewId="0">
      <selection activeCell="B2" sqref="B2:H3"/>
    </sheetView>
  </sheetViews>
  <sheetFormatPr defaultRowHeight="14.4" x14ac:dyDescent="0.3"/>
  <cols>
    <col min="1" max="1" width="3.33203125" customWidth="1"/>
    <col min="2" max="2" width="12" customWidth="1"/>
    <col min="3" max="3" width="6.44140625" customWidth="1"/>
    <col min="4" max="4" width="11.6640625" customWidth="1"/>
    <col min="7" max="7" width="4.6640625" customWidth="1"/>
    <col min="8" max="8" width="12.5546875" customWidth="1"/>
    <col min="9" max="9" width="3.33203125" customWidth="1"/>
    <col min="12" max="12" width="5.33203125" customWidth="1"/>
    <col min="13" max="13" width="27.88671875" bestFit="1" customWidth="1"/>
    <col min="14" max="14" width="11" customWidth="1"/>
    <col min="15" max="15" width="9.44140625" customWidth="1"/>
    <col min="16" max="16" width="11.109375" customWidth="1"/>
    <col min="17" max="17" width="10.33203125" customWidth="1"/>
    <col min="18" max="18" width="11.5546875" customWidth="1"/>
    <col min="19" max="19" width="2.109375" customWidth="1"/>
    <col min="20" max="20" width="15.44140625" customWidth="1"/>
    <col min="21" max="21" width="2.109375" customWidth="1"/>
    <col min="22" max="22" width="18.33203125" customWidth="1"/>
    <col min="23" max="23" width="2.33203125" customWidth="1"/>
    <col min="24" max="24" width="16" customWidth="1"/>
    <col min="25" max="25" width="2.109375" customWidth="1"/>
    <col min="26" max="26" width="20.44140625" customWidth="1"/>
  </cols>
  <sheetData>
    <row r="2" spans="2:26" ht="15.75" customHeight="1" x14ac:dyDescent="0.3">
      <c r="B2" s="1153" t="s">
        <v>391</v>
      </c>
      <c r="C2" s="1153"/>
      <c r="D2" s="1153"/>
      <c r="E2" s="1153"/>
      <c r="F2" s="1153"/>
      <c r="G2" s="1153"/>
      <c r="H2" s="1153"/>
      <c r="I2" s="737"/>
      <c r="L2" s="1155" t="s">
        <v>390</v>
      </c>
      <c r="M2" s="1156"/>
      <c r="N2" s="799">
        <f>Antibody_Candidate!B43</f>
        <v>3945875</v>
      </c>
      <c r="O2" s="799"/>
      <c r="P2" s="384"/>
      <c r="Q2" s="384"/>
      <c r="R2" s="800"/>
    </row>
    <row r="3" spans="2:26" ht="15" customHeight="1" x14ac:dyDescent="0.3">
      <c r="B3" s="1153"/>
      <c r="C3" s="1153"/>
      <c r="D3" s="1153"/>
      <c r="E3" s="1153"/>
      <c r="F3" s="1153"/>
      <c r="G3" s="1153"/>
      <c r="H3" s="1153"/>
      <c r="I3" s="737"/>
      <c r="L3" s="1157" t="s">
        <v>392</v>
      </c>
      <c r="M3" s="1158"/>
      <c r="N3" s="1158"/>
      <c r="O3" s="1158"/>
      <c r="P3" s="1158"/>
      <c r="Q3" s="1158"/>
      <c r="R3" s="801">
        <f>IF(('Input 1_Population'!G20*'Input 1_Population'!I20)+('Input 1_Population'!G21*'Input 1_Population'!I21)+('Input 1_Population'!G22*'Input 1_Population'!I22)+('Input 1_Population'!G23*'Input 1_Population'!I23)=0,0.0001,('Input 1_Population'!G20*'Input 1_Population'!I20)+('Input 1_Population'!G21*'Input 1_Population'!I21)+('Input 1_Population'!G22*'Input 1_Population'!I22)+('Input 1_Population'!G23*'Input 1_Population'!I23))</f>
        <v>9.1259999999999996E-4</v>
      </c>
      <c r="V3" s="37"/>
    </row>
    <row r="4" spans="2:26" ht="15" customHeight="1" x14ac:dyDescent="0.3">
      <c r="M4" s="775"/>
      <c r="N4" s="775"/>
      <c r="O4" s="775"/>
      <c r="P4" s="775"/>
      <c r="Q4" s="775"/>
      <c r="R4" s="98"/>
    </row>
    <row r="5" spans="2:26" ht="15.75" customHeight="1" thickBot="1" x14ac:dyDescent="0.35">
      <c r="J5" s="1110" t="s">
        <v>389</v>
      </c>
      <c r="K5" s="1110"/>
      <c r="T5" s="1154" t="s">
        <v>408</v>
      </c>
      <c r="U5" s="1154"/>
      <c r="V5" s="1154"/>
      <c r="Z5" s="763"/>
    </row>
    <row r="6" spans="2:26" ht="15" customHeight="1" x14ac:dyDescent="0.3">
      <c r="B6" s="123"/>
      <c r="C6" s="124"/>
      <c r="D6" s="124"/>
      <c r="E6" s="124"/>
      <c r="F6" s="124"/>
      <c r="G6" s="124"/>
      <c r="H6" s="125"/>
      <c r="J6" s="1110"/>
      <c r="K6" s="1110"/>
      <c r="M6" s="736" t="s">
        <v>157</v>
      </c>
      <c r="N6" s="734"/>
      <c r="O6" s="734"/>
      <c r="P6" s="734"/>
      <c r="Q6" s="734"/>
      <c r="R6" s="735"/>
      <c r="S6" s="13"/>
      <c r="T6" s="1147" t="s">
        <v>406</v>
      </c>
      <c r="V6" s="1147" t="s">
        <v>407</v>
      </c>
      <c r="X6" s="1152" t="s">
        <v>404</v>
      </c>
      <c r="Z6" s="1147" t="s">
        <v>405</v>
      </c>
    </row>
    <row r="7" spans="2:26" ht="15" customHeight="1" x14ac:dyDescent="0.3">
      <c r="B7" s="729"/>
      <c r="C7" s="730"/>
      <c r="D7" s="727" t="s">
        <v>393</v>
      </c>
      <c r="E7" s="727"/>
      <c r="F7" s="727" t="s">
        <v>394</v>
      </c>
      <c r="G7" s="727"/>
      <c r="H7" s="731" t="s">
        <v>395</v>
      </c>
      <c r="J7" s="1110"/>
      <c r="K7" s="1110"/>
      <c r="M7" s="729"/>
      <c r="N7" s="1148" t="s">
        <v>3</v>
      </c>
      <c r="O7" s="1149"/>
      <c r="P7" s="755" t="s">
        <v>2</v>
      </c>
      <c r="Q7" s="1150" t="s">
        <v>376</v>
      </c>
      <c r="R7" s="1151"/>
      <c r="S7" s="13"/>
      <c r="T7" s="1147"/>
      <c r="V7" s="1147"/>
      <c r="X7" s="1152"/>
      <c r="Z7" s="1147"/>
    </row>
    <row r="8" spans="2:26" x14ac:dyDescent="0.3">
      <c r="B8" s="729"/>
      <c r="C8" s="730"/>
      <c r="D8" s="730"/>
      <c r="E8" s="730"/>
      <c r="F8" s="730"/>
      <c r="G8" s="730"/>
      <c r="H8" s="732"/>
      <c r="J8" s="1110"/>
      <c r="K8" s="1110"/>
      <c r="M8" s="760" t="s">
        <v>402</v>
      </c>
      <c r="N8" s="745" t="s">
        <v>397</v>
      </c>
      <c r="O8" s="750" t="s">
        <v>398</v>
      </c>
      <c r="P8" s="756" t="s">
        <v>403</v>
      </c>
      <c r="Q8" s="745" t="s">
        <v>397</v>
      </c>
      <c r="R8" s="746" t="s">
        <v>398</v>
      </c>
      <c r="S8" s="13"/>
      <c r="T8" s="1147"/>
      <c r="V8" s="1147"/>
      <c r="X8" s="1152"/>
      <c r="Z8" s="1147"/>
    </row>
    <row r="9" spans="2:26" x14ac:dyDescent="0.3">
      <c r="B9" s="733" t="s">
        <v>8</v>
      </c>
      <c r="C9" s="730"/>
      <c r="D9" s="738" t="s">
        <v>377</v>
      </c>
      <c r="E9" s="730"/>
      <c r="F9" s="740" t="s">
        <v>383</v>
      </c>
      <c r="G9" s="730"/>
      <c r="H9" s="739" t="s">
        <v>380</v>
      </c>
      <c r="J9" s="1110"/>
      <c r="K9" s="1110"/>
      <c r="M9" s="733" t="s">
        <v>399</v>
      </c>
      <c r="N9" s="11"/>
      <c r="O9" s="751"/>
      <c r="P9" s="757"/>
      <c r="Q9" s="730"/>
      <c r="R9" s="129"/>
      <c r="T9" s="13"/>
      <c r="U9" s="13"/>
      <c r="V9" s="13"/>
      <c r="W9" s="13"/>
      <c r="X9" s="857"/>
      <c r="Y9" s="13"/>
      <c r="Z9" s="13"/>
    </row>
    <row r="10" spans="2:26" x14ac:dyDescent="0.3">
      <c r="B10" s="733"/>
      <c r="C10" s="730"/>
      <c r="D10" s="730"/>
      <c r="E10" s="730"/>
      <c r="F10" s="740"/>
      <c r="G10" s="730"/>
      <c r="H10" s="739"/>
      <c r="M10" s="747">
        <f>((AVERAGE('Input 2_RSV Rates'!$T$10:$T$15)*'Input 3_Clinical Severity'!$S$9)+(AVERAGE('Input 2_RSV Rates'!$T$16:$T$21)*'Input 3_Clinical Severity'!$S$11))/2</f>
        <v>8.4333333333333336</v>
      </c>
      <c r="N10" s="748">
        <f>$R$3*$N$2</f>
        <v>3601.005525</v>
      </c>
      <c r="O10" s="752">
        <f>N10-(N10*'Input 5_Product Uptake'!$M$9*'Input 6_Product Efficacy'!$K$9)</f>
        <v>2903.1306542550001</v>
      </c>
      <c r="P10" s="758">
        <f>IF('Input 5_Product Uptake'!$M$9=0,Q10-N10,R10-N10)</f>
        <v>30373.748512411665</v>
      </c>
      <c r="Q10" s="741">
        <f>M10*$N$2/1000</f>
        <v>33276.879166666666</v>
      </c>
      <c r="R10" s="744">
        <f>Q10+(N10-O10)</f>
        <v>33974.754037411665</v>
      </c>
      <c r="S10" s="13"/>
      <c r="T10" s="839">
        <f>$R$3</f>
        <v>9.1259999999999996E-4</v>
      </c>
      <c r="U10" s="500"/>
      <c r="V10" s="762">
        <f>P10/$N$2</f>
        <v>7.6975952133333326E-3</v>
      </c>
      <c r="W10" s="500"/>
      <c r="X10" s="858">
        <f>Q10/N10</f>
        <v>9.240996420483599</v>
      </c>
      <c r="Y10" s="500"/>
      <c r="Z10" s="761">
        <f>N10/O10</f>
        <v>1.2403870007442321</v>
      </c>
    </row>
    <row r="11" spans="2:26" x14ac:dyDescent="0.3">
      <c r="B11" s="733"/>
      <c r="C11" s="730"/>
      <c r="D11" s="730"/>
      <c r="E11" s="730"/>
      <c r="F11" s="740"/>
      <c r="G11" s="730"/>
      <c r="H11" s="739"/>
      <c r="M11" s="742"/>
      <c r="N11" s="748"/>
      <c r="O11" s="752"/>
      <c r="P11" s="756"/>
      <c r="Q11" s="730"/>
      <c r="R11" s="744"/>
      <c r="S11" s="13"/>
      <c r="T11" s="1147"/>
      <c r="V11" s="1147"/>
      <c r="X11" s="859"/>
    </row>
    <row r="12" spans="2:26" x14ac:dyDescent="0.3">
      <c r="B12" s="733"/>
      <c r="C12" s="730"/>
      <c r="D12" s="730"/>
      <c r="E12" s="730"/>
      <c r="F12" s="740"/>
      <c r="G12" s="730"/>
      <c r="H12" s="739"/>
      <c r="M12" s="733" t="s">
        <v>400</v>
      </c>
      <c r="N12" s="728"/>
      <c r="O12" s="753"/>
      <c r="P12" s="756"/>
      <c r="Q12" s="730"/>
      <c r="R12" s="129"/>
      <c r="T12" s="1147"/>
      <c r="V12" s="1147"/>
      <c r="X12" s="72"/>
    </row>
    <row r="13" spans="2:26" x14ac:dyDescent="0.3">
      <c r="B13" s="733" t="s">
        <v>7</v>
      </c>
      <c r="C13" s="730"/>
      <c r="D13" s="740" t="s">
        <v>378</v>
      </c>
      <c r="E13" s="730"/>
      <c r="F13" s="740" t="s">
        <v>384</v>
      </c>
      <c r="G13" s="730"/>
      <c r="H13" s="739" t="s">
        <v>381</v>
      </c>
      <c r="M13" s="747">
        <f>((AVERAGE('Input 2_RSV Rates'!$M$10:$M$15)*'Input 3_Clinical Severity'!$N$9)+(AVERAGE('Input 2_RSV Rates'!$M$16:$M$21)*'Input 3_Clinical Severity'!$N$11))/2</f>
        <v>38.683750000000003</v>
      </c>
      <c r="N13" s="748">
        <f>Q13/$X$10</f>
        <v>16517.833693010132</v>
      </c>
      <c r="O13" s="752">
        <f>N13-(N13*'Input 5_Product Uptake'!$M$9*'Input 6_Product Efficacy'!$K$9)</f>
        <v>13316.677523304768</v>
      </c>
      <c r="P13" s="758">
        <f>IF('Input 5_Product Uptake'!$M$9=0,Q13-N13,R13-N13)</f>
        <v>139324.56450794524</v>
      </c>
      <c r="Q13" s="741">
        <f>M13*$N$2/1000</f>
        <v>152641.24203125</v>
      </c>
      <c r="R13" s="744">
        <f>Q13+(N13-O13)</f>
        <v>155842.39820095536</v>
      </c>
      <c r="S13" s="13"/>
      <c r="T13" s="762">
        <f>N13/$N$2</f>
        <v>4.1861016106719377E-3</v>
      </c>
      <c r="U13" s="500"/>
      <c r="V13" s="762">
        <f>P13/$N$2</f>
        <v>3.5308914881476285E-2</v>
      </c>
      <c r="X13" s="72"/>
      <c r="Z13" s="302"/>
    </row>
    <row r="14" spans="2:26" x14ac:dyDescent="0.3">
      <c r="B14" s="733"/>
      <c r="C14" s="730"/>
      <c r="D14" s="740"/>
      <c r="E14" s="730"/>
      <c r="F14" s="740"/>
      <c r="G14" s="730"/>
      <c r="H14" s="739"/>
      <c r="M14" s="742"/>
      <c r="N14" s="748"/>
      <c r="O14" s="752"/>
      <c r="P14" s="756"/>
      <c r="Q14" s="730"/>
      <c r="R14" s="743"/>
      <c r="S14" s="13"/>
      <c r="V14" s="1147"/>
      <c r="X14" s="72"/>
    </row>
    <row r="15" spans="2:26" x14ac:dyDescent="0.3">
      <c r="B15" s="733"/>
      <c r="C15" s="730"/>
      <c r="D15" s="740"/>
      <c r="E15" s="730"/>
      <c r="F15" s="740"/>
      <c r="G15" s="730"/>
      <c r="H15" s="739"/>
      <c r="M15" s="733" t="s">
        <v>401</v>
      </c>
      <c r="N15" s="748"/>
      <c r="O15" s="752"/>
      <c r="P15" s="756"/>
      <c r="Q15" s="730"/>
      <c r="R15" s="129"/>
      <c r="V15" s="1147"/>
      <c r="X15" s="72"/>
    </row>
    <row r="16" spans="2:26" x14ac:dyDescent="0.3">
      <c r="B16" s="733" t="s">
        <v>6</v>
      </c>
      <c r="C16" s="730"/>
      <c r="D16" s="740" t="s">
        <v>379</v>
      </c>
      <c r="E16" s="730"/>
      <c r="F16" s="740" t="s">
        <v>385</v>
      </c>
      <c r="G16" s="730"/>
      <c r="H16" s="739" t="s">
        <v>382</v>
      </c>
      <c r="M16" s="747">
        <f>((AVERAGE('Input 2_RSV Rates'!$E$10:$E$15)*'Input 3_Clinical Severity'!$H$9)+(AVERAGE('Input 2_RSV Rates'!$E$16:$E$21)*'Input 3_Clinical Severity'!$H$11))/2</f>
        <v>107.01458333333333</v>
      </c>
      <c r="N16" s="748">
        <f>Q16/$X$10</f>
        <v>45694.874210146991</v>
      </c>
      <c r="O16" s="752">
        <f>N16-(N16*'Input 5_Product Uptake'!$M$9*'Input 6_Product Efficacy'!$K$9)</f>
        <v>36839.207588220503</v>
      </c>
      <c r="P16" s="758">
        <f>IF('Input 5_Product Uptake'!$M$9=0,Q16-N16,R16-N16)</f>
        <v>385426.96142219612</v>
      </c>
      <c r="Q16" s="741">
        <f>M16*$N$2/1000</f>
        <v>422266.16901041666</v>
      </c>
      <c r="R16" s="744">
        <f>Q16+(N16-O16)</f>
        <v>431121.83563234314</v>
      </c>
      <c r="S16" s="13"/>
      <c r="T16" s="762">
        <f>N16/$N$2</f>
        <v>1.1580416057312254E-2</v>
      </c>
      <c r="U16" s="500"/>
      <c r="V16" s="762">
        <f>P16/$N$2</f>
        <v>9.767845190792819E-2</v>
      </c>
      <c r="X16" s="72"/>
    </row>
    <row r="17" spans="2:26" ht="15" thickBot="1" x14ac:dyDescent="0.35">
      <c r="B17" s="133"/>
      <c r="C17" s="134"/>
      <c r="D17" s="134"/>
      <c r="E17" s="134"/>
      <c r="F17" s="134"/>
      <c r="G17" s="134"/>
      <c r="H17" s="135"/>
      <c r="M17" s="133"/>
      <c r="N17" s="749"/>
      <c r="O17" s="754"/>
      <c r="P17" s="759"/>
      <c r="Q17" s="134"/>
      <c r="R17" s="135"/>
      <c r="S17" s="13"/>
      <c r="X17" s="72"/>
    </row>
    <row r="18" spans="2:26" ht="15" thickBot="1" x14ac:dyDescent="0.35">
      <c r="X18" s="72"/>
    </row>
    <row r="19" spans="2:26" x14ac:dyDescent="0.3">
      <c r="B19" t="s">
        <v>431</v>
      </c>
      <c r="M19" s="736" t="s">
        <v>328</v>
      </c>
      <c r="N19" s="734"/>
      <c r="O19" s="734"/>
      <c r="P19" s="734"/>
      <c r="Q19" s="734"/>
      <c r="R19" s="735"/>
      <c r="S19" s="13"/>
      <c r="T19" s="1147" t="s">
        <v>406</v>
      </c>
      <c r="V19" s="1147" t="s">
        <v>407</v>
      </c>
      <c r="X19" s="1152" t="s">
        <v>404</v>
      </c>
      <c r="Z19" s="1147" t="s">
        <v>405</v>
      </c>
    </row>
    <row r="20" spans="2:26" x14ac:dyDescent="0.3">
      <c r="B20" t="s">
        <v>386</v>
      </c>
      <c r="C20" t="s">
        <v>387</v>
      </c>
      <c r="M20" s="729"/>
      <c r="N20" s="1148" t="s">
        <v>3</v>
      </c>
      <c r="O20" s="1149"/>
      <c r="P20" s="755" t="s">
        <v>2</v>
      </c>
      <c r="Q20" s="1150" t="s">
        <v>376</v>
      </c>
      <c r="R20" s="1151"/>
      <c r="S20" s="13"/>
      <c r="T20" s="1147"/>
      <c r="V20" s="1147"/>
      <c r="X20" s="1152"/>
      <c r="Z20" s="1147"/>
    </row>
    <row r="21" spans="2:26" x14ac:dyDescent="0.3">
      <c r="B21" t="s">
        <v>388</v>
      </c>
      <c r="C21" t="s">
        <v>396</v>
      </c>
      <c r="M21" s="760" t="s">
        <v>402</v>
      </c>
      <c r="N21" s="745" t="s">
        <v>397</v>
      </c>
      <c r="O21" s="750" t="s">
        <v>398</v>
      </c>
      <c r="P21" s="756" t="s">
        <v>403</v>
      </c>
      <c r="Q21" s="745" t="s">
        <v>397</v>
      </c>
      <c r="R21" s="746" t="s">
        <v>398</v>
      </c>
      <c r="S21" s="13"/>
      <c r="T21" s="1147"/>
      <c r="V21" s="1147"/>
      <c r="X21" s="1152"/>
      <c r="Z21" s="1147"/>
    </row>
    <row r="22" spans="2:26" x14ac:dyDescent="0.3">
      <c r="M22" s="733" t="s">
        <v>399</v>
      </c>
      <c r="N22" s="11"/>
      <c r="O22" s="751"/>
      <c r="P22" s="757"/>
      <c r="Q22" s="730"/>
      <c r="R22" s="129"/>
      <c r="T22" s="13"/>
      <c r="U22" s="13"/>
      <c r="V22" s="13"/>
      <c r="W22" s="13"/>
      <c r="X22" s="857"/>
      <c r="Y22" s="13"/>
      <c r="Z22" s="13"/>
    </row>
    <row r="23" spans="2:26" x14ac:dyDescent="0.3">
      <c r="M23" s="747">
        <f>((AVERAGE('Input 2_RSV Rates'!$V$10:$V$15)*'Input 3_Clinical Severity'!$S$9)+(AVERAGE('Input 2_RSV Rates'!$V$16:$V$21)*'Input 3_Clinical Severity'!$S$11))/2</f>
        <v>6.0916666666666668</v>
      </c>
      <c r="N23" s="748">
        <f>$R$3*$N$2</f>
        <v>3601.005525</v>
      </c>
      <c r="O23" s="752">
        <f>N23-(N23*'Input 5_Product Uptake'!$M$9*'Input 6_Product Efficacy'!$K$9)</f>
        <v>2903.1306542550001</v>
      </c>
      <c r="P23" s="758">
        <f>IF('Input 5_Product Uptake'!$M$9=0,Q23-N23,R23-N23)</f>
        <v>21133.824554078332</v>
      </c>
      <c r="Q23" s="741">
        <f>M23*$N$2/1000</f>
        <v>24036.955208333333</v>
      </c>
      <c r="R23" s="744">
        <f>Q23+(N23-O23)</f>
        <v>24734.830079078332</v>
      </c>
      <c r="S23" s="13"/>
      <c r="T23" s="839">
        <f>$R$3</f>
        <v>9.1259999999999996E-4</v>
      </c>
      <c r="U23" s="500"/>
      <c r="V23" s="762">
        <f>P23/$N$2</f>
        <v>5.3559285466666662E-3</v>
      </c>
      <c r="W23" s="500"/>
      <c r="X23" s="858">
        <f>Q23/N23</f>
        <v>6.6750675725034698</v>
      </c>
      <c r="Y23" s="500"/>
      <c r="Z23" s="761">
        <f>N23/O23</f>
        <v>1.2403870007442321</v>
      </c>
    </row>
    <row r="24" spans="2:26" x14ac:dyDescent="0.3">
      <c r="M24" s="742"/>
      <c r="N24" s="748"/>
      <c r="O24" s="752"/>
      <c r="P24" s="756"/>
      <c r="Q24" s="730"/>
      <c r="R24" s="744"/>
      <c r="S24" s="13"/>
      <c r="T24" s="1147"/>
      <c r="V24" s="1147"/>
      <c r="X24" s="859"/>
    </row>
    <row r="25" spans="2:26" x14ac:dyDescent="0.3">
      <c r="M25" s="733" t="s">
        <v>400</v>
      </c>
      <c r="N25" s="728"/>
      <c r="O25" s="753"/>
      <c r="P25" s="756"/>
      <c r="Q25" s="730"/>
      <c r="R25" s="129"/>
      <c r="T25" s="1147"/>
      <c r="V25" s="1147"/>
      <c r="X25" s="72"/>
    </row>
    <row r="26" spans="2:26" x14ac:dyDescent="0.3">
      <c r="M26" s="747">
        <f>((AVERAGE('Input 2_RSV Rates'!$O$10:$O$15)*'Input 3_Clinical Severity'!$N$9)+(AVERAGE('Input 2_RSV Rates'!$O$16:$O$21)*'Input 3_Clinical Severity'!$N$11))/2</f>
        <v>33.123333333333335</v>
      </c>
      <c r="N26" s="748">
        <f>Q26/$X$10</f>
        <v>14143.55411143281</v>
      </c>
      <c r="O26" s="752">
        <f>N26-(N26*'Input 5_Product Uptake'!$M$9*'Input 6_Product Efficacy'!$K$9)</f>
        <v>11402.53332463713</v>
      </c>
      <c r="P26" s="758">
        <f>IF('Input 5_Product Uptake'!$M$9=0,Q26-N26,R26-N26)</f>
        <v>119297.99959202955</v>
      </c>
      <c r="Q26" s="741">
        <f>M26*$N$2/1000</f>
        <v>130700.53291666668</v>
      </c>
      <c r="R26" s="744">
        <f>Q26+(N26-O26)</f>
        <v>133441.55370346236</v>
      </c>
      <c r="S26" s="13"/>
      <c r="T26" s="762">
        <f>N26/$N$2</f>
        <v>3.5843898023715424E-3</v>
      </c>
      <c r="U26" s="500"/>
      <c r="V26" s="762">
        <f>P26/$N$2</f>
        <v>3.0233598274661398E-2</v>
      </c>
      <c r="X26" s="72"/>
    </row>
    <row r="27" spans="2:26" x14ac:dyDescent="0.3">
      <c r="M27" s="742"/>
      <c r="N27" s="748"/>
      <c r="O27" s="752"/>
      <c r="P27" s="756"/>
      <c r="Q27" s="730"/>
      <c r="R27" s="743"/>
      <c r="S27" s="13"/>
      <c r="V27" s="1147"/>
      <c r="X27" s="72"/>
    </row>
    <row r="28" spans="2:26" x14ac:dyDescent="0.3">
      <c r="M28" s="733" t="s">
        <v>401</v>
      </c>
      <c r="N28" s="748"/>
      <c r="O28" s="752"/>
      <c r="P28" s="756"/>
      <c r="Q28" s="730"/>
      <c r="R28" s="129"/>
      <c r="V28" s="1147"/>
      <c r="X28" s="72"/>
    </row>
    <row r="29" spans="2:26" x14ac:dyDescent="0.3">
      <c r="M29" s="747">
        <f>((AVERAGE('Input 2_RSV Rates'!$G$10:$G$15)*'Input 3_Clinical Severity'!$H$9)+(AVERAGE('Input 2_RSV Rates'!$G$16:$G$21)*'Input 3_Clinical Severity'!$H$11))/2</f>
        <v>89.222916666666663</v>
      </c>
      <c r="N29" s="748">
        <f>Q29/$X$10</f>
        <v>38097.8912102705</v>
      </c>
      <c r="O29" s="752">
        <f>N29-(N29*'Input 5_Product Uptake'!$M$9*'Input 6_Product Efficacy'!$K$9)</f>
        <v>30714.519893720077</v>
      </c>
      <c r="P29" s="758">
        <f>IF('Input 5_Product Uptake'!$M$9=0,Q29-N29,R29-N29)</f>
        <v>321347.95640836318</v>
      </c>
      <c r="Q29" s="741">
        <f>M29*$N$2/1000</f>
        <v>352062.47630208329</v>
      </c>
      <c r="R29" s="744">
        <f>Q29+(N29-O29)</f>
        <v>359445.84761863371</v>
      </c>
      <c r="S29" s="13"/>
      <c r="T29" s="762">
        <f>N29/$N$2</f>
        <v>9.6551186264822123E-3</v>
      </c>
      <c r="U29" s="500"/>
      <c r="V29" s="762">
        <f>P29/$N$2</f>
        <v>8.143896002999669E-2</v>
      </c>
      <c r="X29" s="72"/>
    </row>
    <row r="30" spans="2:26" ht="15" thickBot="1" x14ac:dyDescent="0.35">
      <c r="M30" s="133"/>
      <c r="N30" s="749"/>
      <c r="O30" s="754"/>
      <c r="P30" s="759"/>
      <c r="Q30" s="134"/>
      <c r="R30" s="135"/>
      <c r="S30" s="13"/>
      <c r="X30" s="72"/>
    </row>
    <row r="31" spans="2:26" ht="15" thickBot="1" x14ac:dyDescent="0.35">
      <c r="X31" s="72"/>
    </row>
    <row r="32" spans="2:26" x14ac:dyDescent="0.3">
      <c r="M32" s="736" t="s">
        <v>327</v>
      </c>
      <c r="N32" s="734"/>
      <c r="O32" s="734"/>
      <c r="P32" s="734"/>
      <c r="Q32" s="734"/>
      <c r="R32" s="735"/>
      <c r="S32" s="13"/>
      <c r="T32" s="1147" t="s">
        <v>406</v>
      </c>
      <c r="V32" s="1147" t="s">
        <v>407</v>
      </c>
      <c r="X32" s="1152" t="s">
        <v>404</v>
      </c>
      <c r="Z32" s="1147" t="s">
        <v>405</v>
      </c>
    </row>
    <row r="33" spans="13:26" x14ac:dyDescent="0.3">
      <c r="M33" s="729"/>
      <c r="N33" s="1148" t="s">
        <v>3</v>
      </c>
      <c r="O33" s="1149"/>
      <c r="P33" s="755" t="s">
        <v>2</v>
      </c>
      <c r="Q33" s="1150" t="s">
        <v>376</v>
      </c>
      <c r="R33" s="1151"/>
      <c r="S33" s="13"/>
      <c r="T33" s="1147"/>
      <c r="V33" s="1147"/>
      <c r="X33" s="1152"/>
      <c r="Z33" s="1147"/>
    </row>
    <row r="34" spans="13:26" x14ac:dyDescent="0.3">
      <c r="M34" s="760" t="s">
        <v>402</v>
      </c>
      <c r="N34" s="745" t="s">
        <v>397</v>
      </c>
      <c r="O34" s="750" t="s">
        <v>398</v>
      </c>
      <c r="P34" s="756" t="s">
        <v>403</v>
      </c>
      <c r="Q34" s="745" t="s">
        <v>397</v>
      </c>
      <c r="R34" s="746" t="s">
        <v>398</v>
      </c>
      <c r="S34" s="13"/>
      <c r="T34" s="1147"/>
      <c r="V34" s="1147"/>
      <c r="X34" s="1152"/>
      <c r="Z34" s="1147"/>
    </row>
    <row r="35" spans="13:26" x14ac:dyDescent="0.3">
      <c r="M35" s="733" t="s">
        <v>399</v>
      </c>
      <c r="N35" s="11"/>
      <c r="O35" s="751"/>
      <c r="P35" s="757"/>
      <c r="Q35" s="730"/>
      <c r="R35" s="129"/>
      <c r="T35" s="13"/>
      <c r="U35" s="13"/>
      <c r="V35" s="13"/>
      <c r="W35" s="13"/>
      <c r="X35" s="857"/>
      <c r="Y35" s="13"/>
      <c r="Z35" s="13"/>
    </row>
    <row r="36" spans="13:26" x14ac:dyDescent="0.3">
      <c r="M36" s="747">
        <f>((AVERAGE('Input 2_RSV Rates'!$W$10:$W$15)*'Input 3_Clinical Severity'!$S$9)+(AVERAGE('Input 2_RSV Rates'!$W$16:$W$21)*'Input 3_Clinical Severity'!$S$11))/2</f>
        <v>11.158333333333333</v>
      </c>
      <c r="N36" s="748">
        <f>$R$3*$N$2</f>
        <v>3601.005525</v>
      </c>
      <c r="O36" s="752">
        <f>N36-(N36*'Input 5_Product Uptake'!$M$9*'Input 6_Product Efficacy'!$K$9)</f>
        <v>2903.1306542550001</v>
      </c>
      <c r="P36" s="758">
        <f>IF('Input 5_Product Uptake'!$M$9=0,Q36-N36,R36-N36)</f>
        <v>41126.257887411666</v>
      </c>
      <c r="Q36" s="741">
        <f>M36*$N$2/1000</f>
        <v>44029.388541666667</v>
      </c>
      <c r="R36" s="744">
        <f>Q36+(N36-O36)</f>
        <v>44727.263412411667</v>
      </c>
      <c r="S36" s="13"/>
      <c r="T36" s="839">
        <f>$R$3</f>
        <v>9.1259999999999996E-4</v>
      </c>
      <c r="U36" s="500"/>
      <c r="V36" s="762">
        <f>P36/$N$2</f>
        <v>1.0422595213333333E-2</v>
      </c>
      <c r="W36" s="500"/>
      <c r="X36" s="858">
        <f>Q36/N36</f>
        <v>12.226970560303894</v>
      </c>
      <c r="Y36" s="500"/>
      <c r="Z36" s="761">
        <f>N36/O36</f>
        <v>1.2403870007442321</v>
      </c>
    </row>
    <row r="37" spans="13:26" x14ac:dyDescent="0.3">
      <c r="M37" s="742"/>
      <c r="N37" s="748"/>
      <c r="O37" s="752"/>
      <c r="P37" s="756"/>
      <c r="Q37" s="730"/>
      <c r="R37" s="744"/>
      <c r="S37" s="13"/>
      <c r="T37" s="1147"/>
      <c r="V37" s="1147"/>
      <c r="X37" s="859"/>
    </row>
    <row r="38" spans="13:26" x14ac:dyDescent="0.3">
      <c r="M38" s="733" t="s">
        <v>400</v>
      </c>
      <c r="N38" s="728"/>
      <c r="O38" s="753"/>
      <c r="P38" s="756"/>
      <c r="Q38" s="730"/>
      <c r="R38" s="129"/>
      <c r="T38" s="1147"/>
      <c r="V38" s="1147"/>
      <c r="X38" s="72"/>
    </row>
    <row r="39" spans="13:26" x14ac:dyDescent="0.3">
      <c r="M39" s="747">
        <f>((AVERAGE('Input 2_RSV Rates'!$P$10:$P$15)*'Input 3_Clinical Severity'!$N$9)+(AVERAGE('Input 2_RSV Rates'!$P$16:$P$21)*'Input 3_Clinical Severity'!$N$11))/2</f>
        <v>44.255000000000003</v>
      </c>
      <c r="N39" s="748">
        <f>Q39/$X$10</f>
        <v>18896.739072198619</v>
      </c>
      <c r="O39" s="752">
        <f>N39-(N39*'Input 5_Product Uptake'!$M$9*'Input 6_Product Efficacy'!$K$9)</f>
        <v>15234.551040006527</v>
      </c>
      <c r="P39" s="758">
        <f>IF('Input 5_Product Uptake'!$M$9=0,Q39-N39,R39-N39)</f>
        <v>159390.14708499346</v>
      </c>
      <c r="Q39" s="741">
        <f>M39*$N$2/1000</f>
        <v>174624.698125</v>
      </c>
      <c r="R39" s="744">
        <f>Q39+(N39-O39)</f>
        <v>178286.88615719209</v>
      </c>
      <c r="S39" s="13"/>
      <c r="T39" s="762">
        <f>N39/$N$2</f>
        <v>4.7889857312252973E-3</v>
      </c>
      <c r="U39" s="500"/>
      <c r="V39" s="762">
        <f>P39/$N$2</f>
        <v>4.0394119703486164E-2</v>
      </c>
      <c r="X39" s="72"/>
    </row>
    <row r="40" spans="13:26" x14ac:dyDescent="0.3">
      <c r="M40" s="742"/>
      <c r="N40" s="748"/>
      <c r="O40" s="752"/>
      <c r="P40" s="756"/>
      <c r="Q40" s="730"/>
      <c r="R40" s="743"/>
      <c r="S40" s="13"/>
      <c r="V40" s="1147"/>
      <c r="X40" s="72"/>
    </row>
    <row r="41" spans="13:26" x14ac:dyDescent="0.3">
      <c r="M41" s="733" t="s">
        <v>401</v>
      </c>
      <c r="N41" s="748"/>
      <c r="O41" s="752"/>
      <c r="P41" s="756"/>
      <c r="Q41" s="730"/>
      <c r="R41" s="129"/>
      <c r="V41" s="1147"/>
      <c r="X41" s="72"/>
    </row>
    <row r="42" spans="13:26" x14ac:dyDescent="0.3">
      <c r="M42" s="747">
        <f>((AVERAGE('Input 2_RSV Rates'!$H$10:$H$15)*'Input 3_Clinical Severity'!$H$9)+(AVERAGE('Input 2_RSV Rates'!$H$16:$H$21)*'Input 3_Clinical Severity'!$H$11))/2</f>
        <v>124.79541666666667</v>
      </c>
      <c r="N42" s="748">
        <f>Q42/$X$10</f>
        <v>53287.231412412308</v>
      </c>
      <c r="O42" s="752">
        <f>N42-(N42*'Input 5_Product Uptake'!$M$9*'Input 6_Product Efficacy'!$K$9)</f>
        <v>42960.165964686807</v>
      </c>
      <c r="P42" s="758">
        <f>IF('Input 5_Product Uptake'!$M$9=0,Q42-N42,R42-N42)</f>
        <v>449466.9487748965</v>
      </c>
      <c r="Q42" s="741">
        <f>M42*$N$2/1000</f>
        <v>492427.11473958334</v>
      </c>
      <c r="R42" s="744">
        <f>Q42+(N42-O42)</f>
        <v>502754.18018730881</v>
      </c>
      <c r="S42" s="13"/>
      <c r="T42" s="762">
        <f>N42/$N$2</f>
        <v>1.3504541175889329E-2</v>
      </c>
      <c r="U42" s="500"/>
      <c r="V42" s="762">
        <f>P42/$N$2</f>
        <v>0.11390805557066468</v>
      </c>
      <c r="X42" s="72"/>
    </row>
    <row r="43" spans="13:26" ht="15" thickBot="1" x14ac:dyDescent="0.35">
      <c r="M43" s="133"/>
      <c r="N43" s="749"/>
      <c r="O43" s="754"/>
      <c r="P43" s="759"/>
      <c r="Q43" s="134"/>
      <c r="R43" s="135"/>
      <c r="S43" s="13"/>
    </row>
  </sheetData>
  <sheetProtection algorithmName="SHA-256" hashValue="T2XF16a0if7R7M7jPFhYJQCJseHazWqbiq5klXCdYH4=" saltValue="mFQ4XgV3eiwRICJrz3Bpuw==" spinCount="100000" sheet="1" objects="1" scenarios="1"/>
  <mergeCells count="32">
    <mergeCell ref="J5:K9"/>
    <mergeCell ref="V14:V15"/>
    <mergeCell ref="T6:T8"/>
    <mergeCell ref="V6:V8"/>
    <mergeCell ref="B2:H3"/>
    <mergeCell ref="N7:O7"/>
    <mergeCell ref="T5:V5"/>
    <mergeCell ref="Q7:R7"/>
    <mergeCell ref="L2:M2"/>
    <mergeCell ref="L3:Q3"/>
    <mergeCell ref="Z6:Z8"/>
    <mergeCell ref="X6:X8"/>
    <mergeCell ref="T19:T21"/>
    <mergeCell ref="V19:V21"/>
    <mergeCell ref="X19:X21"/>
    <mergeCell ref="Z19:Z21"/>
    <mergeCell ref="T11:T12"/>
    <mergeCell ref="V11:V12"/>
    <mergeCell ref="N20:O20"/>
    <mergeCell ref="Q20:R20"/>
    <mergeCell ref="V40:V41"/>
    <mergeCell ref="T24:T25"/>
    <mergeCell ref="V24:V25"/>
    <mergeCell ref="V27:V28"/>
    <mergeCell ref="T32:T34"/>
    <mergeCell ref="V32:V34"/>
    <mergeCell ref="Z32:Z34"/>
    <mergeCell ref="N33:O33"/>
    <mergeCell ref="Q33:R33"/>
    <mergeCell ref="T37:T38"/>
    <mergeCell ref="V37:V38"/>
    <mergeCell ref="X32:X34"/>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42"/>
  <sheetViews>
    <sheetView zoomScaleNormal="100" zoomScaleSheetLayoutView="80" workbookViewId="0">
      <selection activeCell="A9" sqref="A9"/>
    </sheetView>
  </sheetViews>
  <sheetFormatPr defaultRowHeight="14.4" x14ac:dyDescent="0.3"/>
  <cols>
    <col min="1" max="1" width="16.88671875" customWidth="1"/>
    <col min="2" max="4" width="27.5546875" customWidth="1"/>
    <col min="5" max="6" width="10.5546875" customWidth="1"/>
  </cols>
  <sheetData>
    <row r="1" spans="1:6" ht="18.600000000000001" thickBot="1" x14ac:dyDescent="0.4">
      <c r="A1" s="333" t="s">
        <v>216</v>
      </c>
      <c r="B1" s="334"/>
      <c r="C1" s="342"/>
      <c r="D1" s="342"/>
      <c r="E1" s="342"/>
      <c r="F1" s="342"/>
    </row>
    <row r="2" spans="1:6" s="24" customFormat="1" ht="18" x14ac:dyDescent="0.35">
      <c r="A2" s="335" t="s">
        <v>197</v>
      </c>
      <c r="B2" s="335"/>
      <c r="C2" s="335"/>
      <c r="D2" s="335"/>
      <c r="E2" s="335"/>
      <c r="F2" s="335"/>
    </row>
    <row r="3" spans="1:6" s="24" customFormat="1" ht="18.600000000000001" thickBot="1" x14ac:dyDescent="0.4">
      <c r="B3" s="345" t="s">
        <v>108</v>
      </c>
      <c r="C3" s="345" t="s">
        <v>92</v>
      </c>
      <c r="D3" s="345" t="s">
        <v>6</v>
      </c>
      <c r="E3" s="347"/>
      <c r="F3" s="347"/>
    </row>
    <row r="4" spans="1:6" ht="32.25" customHeight="1" x14ac:dyDescent="0.3">
      <c r="A4" s="343" t="s">
        <v>187</v>
      </c>
      <c r="B4" s="343"/>
      <c r="C4" s="343"/>
      <c r="D4" s="343"/>
      <c r="E4" s="343"/>
    </row>
    <row r="5" spans="1:6" ht="15.6" x14ac:dyDescent="0.3">
      <c r="A5" s="331" t="s">
        <v>94</v>
      </c>
      <c r="B5" s="339">
        <f>Results!Q15</f>
        <v>13770</v>
      </c>
      <c r="C5" s="339">
        <f>Results!$J$15</f>
        <v>64430</v>
      </c>
      <c r="D5" s="339">
        <f>Results!$C$15</f>
        <v>163810</v>
      </c>
      <c r="E5" s="339"/>
    </row>
    <row r="6" spans="1:6" ht="15.6" x14ac:dyDescent="0.3">
      <c r="A6" s="331" t="s">
        <v>186</v>
      </c>
      <c r="B6" s="339">
        <f>Results!$S$15</f>
        <v>18140</v>
      </c>
      <c r="C6" s="339">
        <f>Results!$L$15</f>
        <v>75250</v>
      </c>
      <c r="D6" s="339">
        <f>Results!$E$15</f>
        <v>196470</v>
      </c>
      <c r="E6" s="339"/>
    </row>
    <row r="7" spans="1:6" ht="15.6" x14ac:dyDescent="0.3">
      <c r="A7" s="331" t="s">
        <v>95</v>
      </c>
      <c r="B7" s="339">
        <f>Results!U15</f>
        <v>23160</v>
      </c>
      <c r="C7" s="339">
        <f>Results!$N15</f>
        <v>86090</v>
      </c>
      <c r="D7" s="339">
        <f>Results!$G$15</f>
        <v>229650</v>
      </c>
      <c r="E7" s="339"/>
    </row>
    <row r="8" spans="1:6" ht="15.6" x14ac:dyDescent="0.3">
      <c r="A8" s="332" t="s">
        <v>171</v>
      </c>
      <c r="B8" s="332"/>
      <c r="C8" s="332"/>
      <c r="D8" s="332"/>
      <c r="E8" s="332"/>
    </row>
    <row r="9" spans="1:6" ht="15.6" x14ac:dyDescent="0.3">
      <c r="A9" s="336">
        <f>'Input 5_Product Uptake'!O13*100</f>
        <v>66</v>
      </c>
      <c r="B9" s="339">
        <f>SUM(Antibody_Candidate!U105,Antibody_Candidate!AV105,Antibody_Candidate!T150,Antibody_Candidate!AU150)</f>
        <v>17045.876501123112</v>
      </c>
      <c r="C9" s="339">
        <f>SUM(Antibody_Candidate!U102,Antibody_Candidate!AV102,Antibody_Candidate!AU147,Antibody_Candidate!T147)</f>
        <v>70701.808068833998</v>
      </c>
      <c r="D9" s="339">
        <f>SUM(Antibody_Candidate!U99,Antibody_Candidate!AV99,Antibody_Candidate!AU144,Antibody_Candidate!T144)</f>
        <v>184604.54876182356</v>
      </c>
      <c r="E9" s="339"/>
    </row>
    <row r="10" spans="1:6" ht="15.6" x14ac:dyDescent="0.3">
      <c r="A10" s="341">
        <f>'Input 5_Product Uptake'!M13</f>
        <v>0.71</v>
      </c>
      <c r="B10" s="339">
        <f>B6</f>
        <v>18140</v>
      </c>
      <c r="C10" s="339">
        <f t="shared" ref="C10:D10" si="0">C6</f>
        <v>75250</v>
      </c>
      <c r="D10" s="339">
        <f t="shared" si="0"/>
        <v>196470</v>
      </c>
      <c r="E10" s="339"/>
    </row>
    <row r="11" spans="1:6" ht="15.6" x14ac:dyDescent="0.3">
      <c r="A11" s="337">
        <f>'Input 5_Product Uptake'!Q13*100</f>
        <v>76</v>
      </c>
      <c r="B11" s="339">
        <f>SUM(Antibody_Candidate!V105,Antibody_Candidate!AW105,Antibody_Candidate!AU150,Antibody_Candidate!T150)</f>
        <v>19237.864074082579</v>
      </c>
      <c r="C11" s="339">
        <f>SUM(Antibody_Candidate!V102,Antibody_Candidate!AW102,Antibody_Candidate!AU147,Antibody_Candidate!T147)</f>
        <v>79793.595438197983</v>
      </c>
      <c r="D11" s="339">
        <f>SUM(Antibody_Candidate!V99,Antibody_Candidate!AW99,Antibody_Candidate!AU144,Antibody_Candidate!T144)</f>
        <v>208343.47921641447</v>
      </c>
      <c r="E11" s="339"/>
    </row>
    <row r="12" spans="1:6" ht="15.6" x14ac:dyDescent="0.3">
      <c r="A12" s="332" t="s">
        <v>4</v>
      </c>
      <c r="B12" s="332"/>
      <c r="C12" s="332"/>
      <c r="D12" s="332"/>
      <c r="E12" s="332"/>
    </row>
    <row r="13" spans="1:6" ht="15.6" x14ac:dyDescent="0.3">
      <c r="A13" s="336">
        <f>'Input 6_Product Efficacy'!M12*100</f>
        <v>73</v>
      </c>
      <c r="B13" s="710">
        <f>SUM(Antibody_Candidate!U195,Antibody_Candidate!AV195,Antibody_Candidate!AV240,Antibody_Candidate!U240)</f>
        <v>16554.456637437597</v>
      </c>
      <c r="C13" s="710">
        <f>SUM(Antibody_Candidate!U192,Antibody_Candidate!AV192,Antibody_Candidate!AV237,Antibody_Candidate!U237)</f>
        <v>68663.527850083337</v>
      </c>
      <c r="D13" s="710">
        <f>SUM(Antibody_Candidate!U189,Antibody_Candidate!AV189,Antibody_Candidate!AV234,Antibody_Candidate!U234)</f>
        <v>179282.53776507106</v>
      </c>
      <c r="E13" s="339"/>
    </row>
    <row r="14" spans="1:6" ht="15.6" x14ac:dyDescent="0.3">
      <c r="A14" s="341">
        <f>'Input 6_Product Efficacy'!K12</f>
        <v>0.8</v>
      </c>
      <c r="B14" s="339">
        <f>B6</f>
        <v>18140</v>
      </c>
      <c r="C14" s="339">
        <f>C6</f>
        <v>75250</v>
      </c>
      <c r="D14" s="339">
        <f>D6</f>
        <v>196470</v>
      </c>
      <c r="E14" s="339"/>
      <c r="F14" s="339"/>
    </row>
    <row r="15" spans="1:6" ht="16.2" thickBot="1" x14ac:dyDescent="0.35">
      <c r="A15" s="338">
        <f>'Input 6_Product Efficacy'!O12*100</f>
        <v>85</v>
      </c>
      <c r="B15" s="711">
        <f>SUM(Antibody_Candidate!V195,Antibody_Candidate!AW195,Antibody_Candidate!V240,Antibody_Candidate!AW240)</f>
        <v>19275.737180578024</v>
      </c>
      <c r="C15" s="711">
        <f>SUM(Antibody_Candidate!V192,Antibody_Candidate!AW192,Antibody_Candidate!V237,Antibody_Candidate!AW237)</f>
        <v>79950.683113110732</v>
      </c>
      <c r="D15" s="711">
        <f>SUM(Antibody_Candidate!V189,Antibody_Candidate!AW189,Antibody_Candidate!V234,Antibody_Candidate!AW234)</f>
        <v>208753.6398634389</v>
      </c>
      <c r="E15" s="344"/>
      <c r="F15" s="344"/>
    </row>
    <row r="16" spans="1:6" ht="15.6" x14ac:dyDescent="0.3">
      <c r="A16" s="326"/>
      <c r="B16" s="326"/>
      <c r="C16" s="326"/>
      <c r="D16" s="326"/>
      <c r="E16" s="326"/>
      <c r="F16" s="326"/>
    </row>
    <row r="17" spans="1:6" x14ac:dyDescent="0.3">
      <c r="A17" s="328"/>
      <c r="B17" s="329"/>
      <c r="C17" s="329"/>
      <c r="D17" s="329"/>
      <c r="E17" s="329"/>
      <c r="F17" s="329"/>
    </row>
    <row r="18" spans="1:6" ht="18.600000000000001" thickBot="1" x14ac:dyDescent="0.4">
      <c r="A18" s="24"/>
      <c r="B18" s="345" t="s">
        <v>108</v>
      </c>
      <c r="C18" s="345" t="s">
        <v>92</v>
      </c>
      <c r="D18" s="345" t="s">
        <v>6</v>
      </c>
      <c r="E18" s="347"/>
      <c r="F18" s="347"/>
    </row>
    <row r="19" spans="1:6" ht="15.6" x14ac:dyDescent="0.3">
      <c r="A19" s="343" t="s">
        <v>187</v>
      </c>
      <c r="B19" s="343"/>
      <c r="C19" s="343"/>
      <c r="D19" s="343"/>
      <c r="E19" s="343"/>
      <c r="F19" s="343"/>
    </row>
    <row r="20" spans="1:6" ht="15.6" x14ac:dyDescent="0.3">
      <c r="A20" s="331" t="s">
        <v>94</v>
      </c>
      <c r="B20" s="339">
        <f>B6-B5</f>
        <v>4370</v>
      </c>
      <c r="C20" s="339">
        <f t="shared" ref="C20:D20" si="1">C6-C5</f>
        <v>10820</v>
      </c>
      <c r="D20" s="339">
        <f t="shared" si="1"/>
        <v>32660</v>
      </c>
      <c r="E20" s="339"/>
      <c r="F20" s="339"/>
    </row>
    <row r="21" spans="1:6" ht="15.6" x14ac:dyDescent="0.3">
      <c r="A21" s="331" t="s">
        <v>186</v>
      </c>
      <c r="B21" s="339">
        <f>B6</f>
        <v>18140</v>
      </c>
      <c r="C21" s="339">
        <f t="shared" ref="C21:D21" si="2">C6</f>
        <v>75250</v>
      </c>
      <c r="D21" s="339">
        <f t="shared" si="2"/>
        <v>196470</v>
      </c>
      <c r="E21" s="339"/>
      <c r="F21" s="339"/>
    </row>
    <row r="22" spans="1:6" ht="15.6" x14ac:dyDescent="0.3">
      <c r="A22" s="331" t="s">
        <v>95</v>
      </c>
      <c r="B22" s="339">
        <f>B7-B6</f>
        <v>5020</v>
      </c>
      <c r="C22" s="339">
        <f t="shared" ref="C22:D22" si="3">C7-C6</f>
        <v>10840</v>
      </c>
      <c r="D22" s="339">
        <f t="shared" si="3"/>
        <v>33180</v>
      </c>
      <c r="E22" s="339"/>
      <c r="F22" s="339"/>
    </row>
    <row r="23" spans="1:6" ht="15.6" x14ac:dyDescent="0.3">
      <c r="A23" s="332" t="s">
        <v>171</v>
      </c>
      <c r="B23" s="332"/>
      <c r="C23" s="332"/>
      <c r="D23" s="332"/>
      <c r="E23" s="332"/>
      <c r="F23" s="332"/>
    </row>
    <row r="24" spans="1:6" ht="15.6" x14ac:dyDescent="0.3">
      <c r="A24" s="336">
        <f>A9</f>
        <v>66</v>
      </c>
      <c r="B24" s="339">
        <f>B9-B25</f>
        <v>-1094.1234988768883</v>
      </c>
      <c r="C24" s="339">
        <f t="shared" ref="C24:D24" si="4">C9-C25</f>
        <v>-4548.1919311660022</v>
      </c>
      <c r="D24" s="339">
        <f t="shared" si="4"/>
        <v>-11865.451238176436</v>
      </c>
      <c r="E24" s="339"/>
      <c r="F24" s="339"/>
    </row>
    <row r="25" spans="1:6" ht="15.6" x14ac:dyDescent="0.3">
      <c r="A25" s="341">
        <f t="shared" ref="A25:A30" si="5">A10</f>
        <v>0.71</v>
      </c>
      <c r="B25" s="339">
        <f>B6</f>
        <v>18140</v>
      </c>
      <c r="C25" s="339">
        <f t="shared" ref="C25:D25" si="6">C6</f>
        <v>75250</v>
      </c>
      <c r="D25" s="339">
        <f t="shared" si="6"/>
        <v>196470</v>
      </c>
      <c r="E25" s="339"/>
      <c r="F25" s="339"/>
    </row>
    <row r="26" spans="1:6" ht="15" customHeight="1" x14ac:dyDescent="0.3">
      <c r="A26" s="336">
        <f t="shared" si="5"/>
        <v>76</v>
      </c>
      <c r="B26" s="339">
        <f>B10-B11</f>
        <v>-1097.8640740825795</v>
      </c>
      <c r="C26" s="339">
        <f t="shared" ref="C26:D26" si="7">C10-C11</f>
        <v>-4543.5954381979827</v>
      </c>
      <c r="D26" s="339">
        <f t="shared" si="7"/>
        <v>-11873.479216414475</v>
      </c>
      <c r="E26" s="339"/>
      <c r="F26" s="339"/>
    </row>
    <row r="27" spans="1:6" ht="15.6" x14ac:dyDescent="0.3">
      <c r="A27" s="346" t="str">
        <f t="shared" si="5"/>
        <v>Efficacy</v>
      </c>
      <c r="B27" s="332"/>
      <c r="C27" s="332"/>
      <c r="D27" s="332"/>
      <c r="E27" s="332"/>
      <c r="F27" s="332"/>
    </row>
    <row r="28" spans="1:6" ht="15.6" x14ac:dyDescent="0.3">
      <c r="A28" s="336">
        <f t="shared" si="5"/>
        <v>73</v>
      </c>
      <c r="B28" s="339">
        <f>B13-B14</f>
        <v>-1585.5433625624028</v>
      </c>
      <c r="C28" s="339">
        <f t="shared" ref="C28:D28" si="8">C13-C14</f>
        <v>-6586.4721499166626</v>
      </c>
      <c r="D28" s="339">
        <f t="shared" si="8"/>
        <v>-17187.462234928942</v>
      </c>
      <c r="E28" s="339"/>
      <c r="F28" s="339"/>
    </row>
    <row r="29" spans="1:6" ht="15.6" x14ac:dyDescent="0.3">
      <c r="A29" s="341">
        <f t="shared" si="5"/>
        <v>0.8</v>
      </c>
      <c r="B29" s="339">
        <f>B6</f>
        <v>18140</v>
      </c>
      <c r="C29" s="339">
        <f>C21</f>
        <v>75250</v>
      </c>
      <c r="D29" s="339">
        <f>D21</f>
        <v>196470</v>
      </c>
      <c r="E29" s="339"/>
      <c r="F29" s="339"/>
    </row>
    <row r="30" spans="1:6" ht="16.2" thickBot="1" x14ac:dyDescent="0.35">
      <c r="A30" s="336">
        <f t="shared" si="5"/>
        <v>85</v>
      </c>
      <c r="B30" s="340">
        <f>B14-B15</f>
        <v>-1135.737180578024</v>
      </c>
      <c r="C30" s="340">
        <f t="shared" ref="C30:D30" si="9">C14-C15</f>
        <v>-4700.6831131107319</v>
      </c>
      <c r="D30" s="340">
        <f t="shared" si="9"/>
        <v>-12283.639863438904</v>
      </c>
      <c r="E30" s="344"/>
      <c r="F30" s="344"/>
    </row>
    <row r="33" spans="1:5" ht="15.6" x14ac:dyDescent="0.3">
      <c r="A33" s="343"/>
      <c r="B33" s="343"/>
      <c r="C33" s="343" t="s">
        <v>186</v>
      </c>
      <c r="D33" s="343" t="s">
        <v>161</v>
      </c>
      <c r="E33" s="343" t="s">
        <v>162</v>
      </c>
    </row>
    <row r="34" spans="1:5" ht="15.6" x14ac:dyDescent="0.3">
      <c r="A34" s="339" t="s">
        <v>108</v>
      </c>
      <c r="B34" s="339" t="s">
        <v>189</v>
      </c>
      <c r="C34" s="339">
        <f>B21</f>
        <v>18140</v>
      </c>
      <c r="D34" s="339">
        <f>B20</f>
        <v>4370</v>
      </c>
      <c r="E34" s="339">
        <f>B22</f>
        <v>5020</v>
      </c>
    </row>
    <row r="35" spans="1:5" ht="15.6" x14ac:dyDescent="0.3">
      <c r="A35" s="339" t="s">
        <v>108</v>
      </c>
      <c r="B35" s="339" t="s">
        <v>190</v>
      </c>
      <c r="C35" s="339">
        <f>B25</f>
        <v>18140</v>
      </c>
      <c r="D35" s="339">
        <f>B26</f>
        <v>-1097.8640740825795</v>
      </c>
      <c r="E35" s="339">
        <f>B24</f>
        <v>-1094.1234988768883</v>
      </c>
    </row>
    <row r="36" spans="1:5" ht="15.6" x14ac:dyDescent="0.3">
      <c r="A36" s="339" t="s">
        <v>108</v>
      </c>
      <c r="B36" s="339" t="s">
        <v>191</v>
      </c>
      <c r="C36" s="339">
        <f>B29</f>
        <v>18140</v>
      </c>
      <c r="D36" s="348">
        <f>B30</f>
        <v>-1135.737180578024</v>
      </c>
      <c r="E36" s="339">
        <f>B28</f>
        <v>-1585.5433625624028</v>
      </c>
    </row>
    <row r="37" spans="1:5" ht="15.6" x14ac:dyDescent="0.3">
      <c r="A37" s="339" t="s">
        <v>92</v>
      </c>
      <c r="B37" s="339" t="s">
        <v>189</v>
      </c>
      <c r="C37" s="339">
        <f>C21</f>
        <v>75250</v>
      </c>
      <c r="D37" s="339">
        <f>C20</f>
        <v>10820</v>
      </c>
      <c r="E37" s="339">
        <f>C22</f>
        <v>10840</v>
      </c>
    </row>
    <row r="38" spans="1:5" ht="15.6" x14ac:dyDescent="0.3">
      <c r="A38" s="339" t="s">
        <v>92</v>
      </c>
      <c r="B38" s="339" t="s">
        <v>190</v>
      </c>
      <c r="C38" s="339">
        <f>C25</f>
        <v>75250</v>
      </c>
      <c r="D38" s="339">
        <f>C26</f>
        <v>-4543.5954381979827</v>
      </c>
      <c r="E38" s="339">
        <f>C24</f>
        <v>-4548.1919311660022</v>
      </c>
    </row>
    <row r="39" spans="1:5" ht="15.6" x14ac:dyDescent="0.3">
      <c r="A39" s="339" t="s">
        <v>92</v>
      </c>
      <c r="B39" s="339" t="s">
        <v>191</v>
      </c>
      <c r="C39" s="339">
        <f>C29</f>
        <v>75250</v>
      </c>
      <c r="D39" s="348">
        <f>C30</f>
        <v>-4700.6831131107319</v>
      </c>
      <c r="E39" s="339">
        <f>C28</f>
        <v>-6586.4721499166626</v>
      </c>
    </row>
    <row r="40" spans="1:5" ht="15.6" x14ac:dyDescent="0.3">
      <c r="A40" s="339" t="s">
        <v>6</v>
      </c>
      <c r="B40" s="339" t="s">
        <v>189</v>
      </c>
      <c r="C40" s="339">
        <f>D21</f>
        <v>196470</v>
      </c>
      <c r="D40" s="339">
        <f>D20</f>
        <v>32660</v>
      </c>
      <c r="E40" s="339">
        <f>D22</f>
        <v>33180</v>
      </c>
    </row>
    <row r="41" spans="1:5" ht="15.6" x14ac:dyDescent="0.3">
      <c r="A41" s="339" t="s">
        <v>6</v>
      </c>
      <c r="B41" s="339" t="s">
        <v>190</v>
      </c>
      <c r="C41" s="339">
        <f>D25</f>
        <v>196470</v>
      </c>
      <c r="D41" s="339">
        <f>D26</f>
        <v>-11873.479216414475</v>
      </c>
      <c r="E41" s="339">
        <f>D24</f>
        <v>-11865.451238176436</v>
      </c>
    </row>
    <row r="42" spans="1:5" ht="15.6" x14ac:dyDescent="0.3">
      <c r="A42" s="339" t="s">
        <v>6</v>
      </c>
      <c r="B42" s="339" t="s">
        <v>191</v>
      </c>
      <c r="C42" s="339">
        <f>D29</f>
        <v>196470</v>
      </c>
      <c r="D42" s="348">
        <f>D30</f>
        <v>-12283.639863438904</v>
      </c>
      <c r="E42" s="339">
        <f>D28</f>
        <v>-17187.462234928942</v>
      </c>
    </row>
  </sheetData>
  <pageMargins left="0.7" right="0.7" top="0.75" bottom="0.75" header="0.3" footer="0.3"/>
  <pageSetup scale="77"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H42"/>
  <sheetViews>
    <sheetView zoomScaleNormal="100" zoomScaleSheetLayoutView="80" workbookViewId="0">
      <selection activeCell="A9" sqref="A9"/>
    </sheetView>
  </sheetViews>
  <sheetFormatPr defaultRowHeight="14.4" x14ac:dyDescent="0.3"/>
  <cols>
    <col min="1" max="1" width="16.88671875" customWidth="1"/>
    <col min="2" max="4" width="27.5546875" customWidth="1"/>
    <col min="5" max="7" width="10.5546875" customWidth="1"/>
    <col min="8" max="8" width="9.44140625" customWidth="1"/>
  </cols>
  <sheetData>
    <row r="1" spans="1:8" ht="18.600000000000001" thickBot="1" x14ac:dyDescent="0.4">
      <c r="A1" s="333" t="s">
        <v>498</v>
      </c>
      <c r="B1" s="334"/>
      <c r="C1" s="342"/>
      <c r="D1" s="342"/>
      <c r="E1" s="342"/>
      <c r="F1" s="342"/>
      <c r="G1" s="342"/>
    </row>
    <row r="2" spans="1:8" s="24" customFormat="1" ht="18" x14ac:dyDescent="0.35">
      <c r="A2" s="335" t="s">
        <v>197</v>
      </c>
      <c r="B2" s="335"/>
      <c r="C2" s="335"/>
      <c r="D2" s="335"/>
      <c r="E2" s="335"/>
      <c r="F2" s="335"/>
      <c r="G2" s="335"/>
    </row>
    <row r="3" spans="1:8" s="24" customFormat="1" ht="18.600000000000001" thickBot="1" x14ac:dyDescent="0.4">
      <c r="B3" s="345" t="s">
        <v>108</v>
      </c>
      <c r="C3" s="345" t="s">
        <v>92</v>
      </c>
      <c r="D3" s="345" t="s">
        <v>6</v>
      </c>
      <c r="E3" s="347"/>
      <c r="F3" s="347"/>
      <c r="G3" s="347"/>
    </row>
    <row r="4" spans="1:8" ht="32.25" customHeight="1" x14ac:dyDescent="0.3">
      <c r="A4" s="343" t="s">
        <v>187</v>
      </c>
      <c r="B4" s="343"/>
      <c r="C4" s="343"/>
      <c r="D4" s="343"/>
      <c r="E4" s="343"/>
      <c r="F4" s="343"/>
      <c r="G4" s="343"/>
      <c r="H4" s="424"/>
    </row>
    <row r="5" spans="1:8" ht="15.6" x14ac:dyDescent="0.3">
      <c r="A5" s="331" t="s">
        <v>94</v>
      </c>
      <c r="B5" s="339">
        <f>Results!Q16</f>
        <v>6390</v>
      </c>
      <c r="C5" s="339">
        <f>Results!$J$16</f>
        <v>16760</v>
      </c>
      <c r="D5" s="339">
        <f>Results!$C$16</f>
        <v>48520</v>
      </c>
      <c r="E5" s="339"/>
      <c r="F5" s="339"/>
      <c r="G5" s="339"/>
      <c r="H5" s="424"/>
    </row>
    <row r="6" spans="1:8" ht="15.6" x14ac:dyDescent="0.3">
      <c r="A6" s="331" t="s">
        <v>186</v>
      </c>
      <c r="B6" s="339">
        <f>Results!$S$16</f>
        <v>8190</v>
      </c>
      <c r="C6" s="339">
        <f>Results!$L$16</f>
        <v>19580</v>
      </c>
      <c r="D6" s="339">
        <f>Results!$E$16</f>
        <v>58210</v>
      </c>
      <c r="E6" s="339"/>
      <c r="F6" s="339"/>
      <c r="G6" s="339"/>
      <c r="H6" s="424"/>
    </row>
    <row r="7" spans="1:8" ht="15.6" x14ac:dyDescent="0.3">
      <c r="A7" s="331" t="s">
        <v>95</v>
      </c>
      <c r="B7" s="339">
        <f>Results!U16</f>
        <v>10150</v>
      </c>
      <c r="C7" s="339">
        <f>Results!$N16</f>
        <v>22400</v>
      </c>
      <c r="D7" s="339">
        <f>Results!$G$16</f>
        <v>67970</v>
      </c>
      <c r="E7" s="339"/>
      <c r="F7" s="339"/>
      <c r="G7" s="339"/>
      <c r="H7" s="424"/>
    </row>
    <row r="8" spans="1:8" ht="15.6" x14ac:dyDescent="0.3">
      <c r="A8" s="332" t="s">
        <v>171</v>
      </c>
      <c r="B8" s="332"/>
      <c r="C8" s="332"/>
      <c r="D8" s="332"/>
      <c r="E8" s="332"/>
      <c r="F8" s="332"/>
      <c r="G8" s="332"/>
      <c r="H8" s="424"/>
    </row>
    <row r="9" spans="1:8" ht="15.6" x14ac:dyDescent="0.3">
      <c r="A9" s="336">
        <f>'Input 5_Product Uptake'!O20*100</f>
        <v>51</v>
      </c>
      <c r="B9" s="710">
        <f>SUM(Maternal_Vaccine!Y195,Maternal_Vaccine!BB195,Maternal_Vaccine!BA249,Maternal_Vaccine!X249,Maternal_Vaccine!X336,Maternal_Vaccine!BA336)</f>
        <v>7525.9011302390354</v>
      </c>
      <c r="C9" s="710">
        <f>SUM(Maternal_Vaccine!Y192,Maternal_Vaccine!BB192,Maternal_Vaccine!BA246,Maternal_Vaccine!X246,Maternal_Vaccine!X333,Maternal_Vaccine!BA333)</f>
        <v>18121.476779983073</v>
      </c>
      <c r="D9" s="710">
        <f>SUM(Maternal_Vaccine!Y189,Maternal_Vaccine!BB189,Maternal_Vaccine!BA243,Maternal_Vaccine!X243,Maternal_Vaccine!X330,Maternal_Vaccine!BA330)</f>
        <v>53765.331118931193</v>
      </c>
      <c r="E9" s="339"/>
      <c r="F9" s="339"/>
      <c r="G9" s="339"/>
      <c r="H9" s="424"/>
    </row>
    <row r="10" spans="1:8" ht="15.6" x14ac:dyDescent="0.3">
      <c r="A10" s="336">
        <f>'Input 5_Product Uptake'!M20*100</f>
        <v>56.000000000000007</v>
      </c>
      <c r="B10" s="710">
        <f>B6</f>
        <v>8190</v>
      </c>
      <c r="C10" s="710">
        <f>C6</f>
        <v>19580</v>
      </c>
      <c r="D10" s="710">
        <f>D6</f>
        <v>58210</v>
      </c>
      <c r="E10" s="339"/>
      <c r="F10" s="339"/>
      <c r="G10" s="339"/>
      <c r="H10" s="424"/>
    </row>
    <row r="11" spans="1:8" ht="15.6" x14ac:dyDescent="0.3">
      <c r="A11" s="337">
        <f>'Input 5_Product Uptake'!Q20*100</f>
        <v>61</v>
      </c>
      <c r="B11" s="710">
        <f>SUM(Maternal_Vaccine!Z195,Maternal_Vaccine!BC195,Maternal_Vaccine!BB249,Maternal_Vaccine!Y249,Maternal_Vaccine!Y336,Maternal_Vaccine!BB336)</f>
        <v>8848.4542314205082</v>
      </c>
      <c r="C11" s="710">
        <f>SUM(Maternal_Vaccine!Z192,Maternal_Vaccine!BC192,Maternal_Vaccine!BB246,Maternal_Vaccine!Y246,Maternal_Vaccine!Y333,Maternal_Vaccine!BB333)</f>
        <v>21039.631842438725</v>
      </c>
      <c r="D11" s="710">
        <f>SUM(Maternal_Vaccine!Z189,Maternal_Vaccine!BC189,Maternal_Vaccine!BB243,Maternal_Vaccine!Y243,Maternal_Vaccine!Y330,Maternal_Vaccine!BB330)</f>
        <v>62649.351196116477</v>
      </c>
      <c r="E11" s="339"/>
      <c r="F11" s="339"/>
      <c r="G11" s="339"/>
      <c r="H11" s="424"/>
    </row>
    <row r="12" spans="1:8" ht="15.6" x14ac:dyDescent="0.3">
      <c r="A12" s="332" t="s">
        <v>4</v>
      </c>
      <c r="B12" s="332"/>
      <c r="C12" s="332"/>
      <c r="D12" s="332"/>
      <c r="E12" s="332"/>
      <c r="F12" s="332"/>
      <c r="G12" s="332"/>
      <c r="H12" s="424"/>
    </row>
    <row r="13" spans="1:8" ht="15.6" x14ac:dyDescent="0.3">
      <c r="A13" s="336">
        <f>'Input 6_Product Efficacy'!M15*100</f>
        <v>73</v>
      </c>
      <c r="B13" s="710">
        <f>SUM(Maternal_Vaccine!Y379,Maternal_Vaccine!BB379,Maternal_Vaccine!AZ433,Maternal_Vaccine!W433,Maternal_Vaccine!W518,Maternal_Vaccine!AZ518)</f>
        <v>7539.1266612508498</v>
      </c>
      <c r="C13" s="710">
        <f>SUM(Maternal_Vaccine!Y376,Maternal_Vaccine!BB376,Maternal_Vaccine!AZ430,Maternal_Vaccine!W430,Maternal_Vaccine!W515,Maternal_Vaccine!AZ525)</f>
        <v>18150.844818549456</v>
      </c>
      <c r="D13" s="712">
        <f>SUM(Maternal_Vaccine!Y373,Maternal_Vaccine!BB373,Maternal_Vaccine!AZ427,Maternal_Vaccine!W427,Maternal_Vaccine!W512,Maternal_Vaccine!AZ512)</f>
        <v>53854.17131970304</v>
      </c>
      <c r="E13" s="339"/>
      <c r="F13" s="339"/>
      <c r="G13" s="339"/>
      <c r="H13" s="424"/>
    </row>
    <row r="14" spans="1:8" ht="15.6" x14ac:dyDescent="0.3">
      <c r="A14" s="336">
        <f>'Input 6_Product Efficacy'!K15*100</f>
        <v>80</v>
      </c>
      <c r="B14" s="710">
        <f>B6</f>
        <v>8190</v>
      </c>
      <c r="C14" s="710">
        <f>C6</f>
        <v>19580</v>
      </c>
      <c r="D14" s="339">
        <f>D6</f>
        <v>58210</v>
      </c>
      <c r="E14" s="339"/>
      <c r="F14" s="339"/>
      <c r="G14" s="339"/>
      <c r="H14" s="424"/>
    </row>
    <row r="15" spans="1:8" ht="16.2" thickBot="1" x14ac:dyDescent="0.35">
      <c r="A15" s="338">
        <f>'Input 6_Product Efficacy'!O15*100</f>
        <v>85</v>
      </c>
      <c r="B15" s="711">
        <f>SUM(Maternal_Vaccine!Z379,Maternal_Vaccine!BC379,Maternal_Vaccine!AZ433,Maternal_Vaccine!W433,Maternal_Vaccine!W518,Maternal_Vaccine!AZ518)</f>
        <v>8650.0712662432852</v>
      </c>
      <c r="C15" s="711">
        <f>SUM(Maternal_Vaccine!Z376,Maternal_Vaccine!BC376,Maternal_Vaccine!AZ430,Maternal_Vaccine!W430,Maternal_Vaccine!W515,Maternal_Vaccine!AZ515)</f>
        <v>20601.908583070373</v>
      </c>
      <c r="D15" s="711">
        <f>SUM(Maternal_Vaccine!Z373,Maternal_Vaccine!BC373,Maternal_Vaccine!AZ427,Maternal_Vaccine!W427,Maternal_Vaccine!W512,Maternal_Vaccine!AZ512)</f>
        <v>61316.748184538665</v>
      </c>
      <c r="E15" s="344"/>
      <c r="F15" s="344"/>
      <c r="G15" s="344"/>
    </row>
    <row r="16" spans="1:8" ht="15.6" x14ac:dyDescent="0.3">
      <c r="A16" s="326"/>
      <c r="B16" s="326"/>
      <c r="C16" s="326"/>
      <c r="D16" s="326"/>
      <c r="E16" s="326"/>
      <c r="F16" s="326"/>
      <c r="G16" s="326"/>
    </row>
    <row r="17" spans="1:7" x14ac:dyDescent="0.3">
      <c r="A17" s="328"/>
      <c r="B17" s="329"/>
      <c r="C17" s="329"/>
      <c r="D17" s="329"/>
      <c r="E17" s="329"/>
      <c r="F17" s="329"/>
      <c r="G17" s="329"/>
    </row>
    <row r="18" spans="1:7" ht="18.600000000000001" thickBot="1" x14ac:dyDescent="0.4">
      <c r="A18" s="24"/>
      <c r="B18" s="345" t="s">
        <v>108</v>
      </c>
      <c r="C18" s="345" t="s">
        <v>92</v>
      </c>
      <c r="D18" s="345" t="s">
        <v>6</v>
      </c>
      <c r="E18" s="347"/>
      <c r="F18" s="347"/>
      <c r="G18" s="347"/>
    </row>
    <row r="19" spans="1:7" ht="15.6" x14ac:dyDescent="0.3">
      <c r="A19" s="343" t="s">
        <v>187</v>
      </c>
      <c r="B19" s="343"/>
      <c r="C19" s="343"/>
      <c r="D19" s="343"/>
      <c r="E19" s="343"/>
      <c r="F19" s="343"/>
      <c r="G19" s="343"/>
    </row>
    <row r="20" spans="1:7" ht="15.6" x14ac:dyDescent="0.3">
      <c r="A20" s="331" t="s">
        <v>94</v>
      </c>
      <c r="B20" s="339">
        <f>B6-B5</f>
        <v>1800</v>
      </c>
      <c r="C20" s="339">
        <f t="shared" ref="C20:D20" si="0">C6-C5</f>
        <v>2820</v>
      </c>
      <c r="D20" s="339">
        <f t="shared" si="0"/>
        <v>9690</v>
      </c>
      <c r="E20" s="339"/>
      <c r="F20" s="339"/>
      <c r="G20" s="339"/>
    </row>
    <row r="21" spans="1:7" ht="15.6" x14ac:dyDescent="0.3">
      <c r="A21" s="331" t="s">
        <v>186</v>
      </c>
      <c r="B21" s="339">
        <f>B6</f>
        <v>8190</v>
      </c>
      <c r="C21" s="339">
        <f t="shared" ref="C21:D21" si="1">C6</f>
        <v>19580</v>
      </c>
      <c r="D21" s="339">
        <f t="shared" si="1"/>
        <v>58210</v>
      </c>
      <c r="E21" s="339"/>
      <c r="F21" s="339"/>
      <c r="G21" s="339"/>
    </row>
    <row r="22" spans="1:7" ht="15.6" x14ac:dyDescent="0.3">
      <c r="A22" s="331" t="s">
        <v>95</v>
      </c>
      <c r="B22" s="339">
        <f>B7-B6</f>
        <v>1960</v>
      </c>
      <c r="C22" s="339">
        <f t="shared" ref="C22:D22" si="2">C7-C6</f>
        <v>2820</v>
      </c>
      <c r="D22" s="339">
        <f t="shared" si="2"/>
        <v>9760</v>
      </c>
      <c r="E22" s="339"/>
      <c r="F22" s="339"/>
      <c r="G22" s="339"/>
    </row>
    <row r="23" spans="1:7" ht="15.6" x14ac:dyDescent="0.3">
      <c r="A23" s="332" t="s">
        <v>171</v>
      </c>
      <c r="B23" s="332"/>
      <c r="C23" s="332"/>
      <c r="D23" s="332"/>
      <c r="E23" s="332"/>
      <c r="F23" s="332"/>
      <c r="G23" s="332"/>
    </row>
    <row r="24" spans="1:7" ht="15.6" x14ac:dyDescent="0.3">
      <c r="A24" s="336">
        <f>A9</f>
        <v>51</v>
      </c>
      <c r="B24" s="339">
        <f>B9-B25</f>
        <v>-664.09886976096459</v>
      </c>
      <c r="C24" s="339">
        <f t="shared" ref="C24:D24" si="3">C9-C25</f>
        <v>-1458.5232200169266</v>
      </c>
      <c r="D24" s="339">
        <f t="shared" si="3"/>
        <v>-4444.6688810688065</v>
      </c>
      <c r="E24" s="339"/>
      <c r="F24" s="339"/>
      <c r="G24" s="339"/>
    </row>
    <row r="25" spans="1:7" ht="15.6" x14ac:dyDescent="0.3">
      <c r="A25" s="336">
        <f t="shared" ref="A25:A30" si="4">A10</f>
        <v>56.000000000000007</v>
      </c>
      <c r="B25" s="339">
        <f>B10</f>
        <v>8190</v>
      </c>
      <c r="C25" s="339">
        <f t="shared" ref="C25:D25" si="5">C10</f>
        <v>19580</v>
      </c>
      <c r="D25" s="339">
        <f t="shared" si="5"/>
        <v>58210</v>
      </c>
      <c r="E25" s="339"/>
      <c r="F25" s="339"/>
      <c r="G25" s="339"/>
    </row>
    <row r="26" spans="1:7" ht="15" customHeight="1" x14ac:dyDescent="0.3">
      <c r="A26" s="337">
        <f t="shared" si="4"/>
        <v>61</v>
      </c>
      <c r="B26" s="339">
        <f>B10-B11</f>
        <v>-658.45423142050822</v>
      </c>
      <c r="C26" s="339">
        <f t="shared" ref="C26:D26" si="6">C10-C11</f>
        <v>-1459.6318424387246</v>
      </c>
      <c r="D26" s="339">
        <f t="shared" si="6"/>
        <v>-4439.3511961164768</v>
      </c>
      <c r="E26" s="339"/>
      <c r="F26" s="339"/>
      <c r="G26" s="339"/>
    </row>
    <row r="27" spans="1:7" ht="15.6" x14ac:dyDescent="0.3">
      <c r="A27" s="346" t="str">
        <f t="shared" si="4"/>
        <v>Efficacy</v>
      </c>
      <c r="B27" s="332"/>
      <c r="C27" s="332"/>
      <c r="D27" s="332"/>
      <c r="E27" s="332"/>
      <c r="F27" s="332"/>
      <c r="G27" s="332"/>
    </row>
    <row r="28" spans="1:7" ht="15.6" x14ac:dyDescent="0.3">
      <c r="A28" s="336">
        <f t="shared" si="4"/>
        <v>73</v>
      </c>
      <c r="B28" s="339">
        <f>B13-B14</f>
        <v>-650.87333874915021</v>
      </c>
      <c r="C28" s="339">
        <f t="shared" ref="C28:D28" si="7">C13-C14</f>
        <v>-1429.1551814505438</v>
      </c>
      <c r="D28" s="339">
        <f t="shared" si="7"/>
        <v>-4355.8286802969596</v>
      </c>
      <c r="E28" s="339"/>
      <c r="F28" s="339"/>
      <c r="G28" s="339"/>
    </row>
    <row r="29" spans="1:7" ht="15.6" x14ac:dyDescent="0.3">
      <c r="A29" s="336">
        <f t="shared" si="4"/>
        <v>80</v>
      </c>
      <c r="B29" s="339">
        <f>B14</f>
        <v>8190</v>
      </c>
      <c r="C29" s="339">
        <f t="shared" ref="C29:D29" si="8">C14</f>
        <v>19580</v>
      </c>
      <c r="D29" s="339">
        <f t="shared" si="8"/>
        <v>58210</v>
      </c>
      <c r="E29" s="339"/>
      <c r="F29" s="339"/>
      <c r="G29" s="339"/>
    </row>
    <row r="30" spans="1:7" ht="16.2" thickBot="1" x14ac:dyDescent="0.35">
      <c r="A30" s="338">
        <f t="shared" si="4"/>
        <v>85</v>
      </c>
      <c r="B30" s="340">
        <f>B14-B15</f>
        <v>-460.07126624328521</v>
      </c>
      <c r="C30" s="340">
        <f t="shared" ref="C30:D30" si="9">C14-C15</f>
        <v>-1021.9085830703734</v>
      </c>
      <c r="D30" s="340">
        <f t="shared" si="9"/>
        <v>-3106.7481845386646</v>
      </c>
      <c r="E30" s="344"/>
      <c r="F30" s="344"/>
      <c r="G30" s="344"/>
    </row>
    <row r="33" spans="1:5" ht="15.6" x14ac:dyDescent="0.3">
      <c r="A33" s="343"/>
      <c r="B33" s="343"/>
      <c r="C33" s="343" t="s">
        <v>186</v>
      </c>
      <c r="D33" s="343" t="s">
        <v>161</v>
      </c>
      <c r="E33" s="343" t="s">
        <v>162</v>
      </c>
    </row>
    <row r="34" spans="1:5" ht="15.6" x14ac:dyDescent="0.3">
      <c r="A34" s="339" t="s">
        <v>108</v>
      </c>
      <c r="B34" s="339" t="s">
        <v>189</v>
      </c>
      <c r="C34" s="339">
        <f>B21</f>
        <v>8190</v>
      </c>
      <c r="D34" s="339">
        <f>B20</f>
        <v>1800</v>
      </c>
      <c r="E34" s="339">
        <f>B22</f>
        <v>1960</v>
      </c>
    </row>
    <row r="35" spans="1:5" ht="15.6" x14ac:dyDescent="0.3">
      <c r="A35" s="339" t="s">
        <v>108</v>
      </c>
      <c r="B35" s="339" t="s">
        <v>190</v>
      </c>
      <c r="C35" s="339">
        <f>B25</f>
        <v>8190</v>
      </c>
      <c r="D35" s="339">
        <f>B26</f>
        <v>-658.45423142050822</v>
      </c>
      <c r="E35" s="339">
        <f>B24</f>
        <v>-664.09886976096459</v>
      </c>
    </row>
    <row r="36" spans="1:5" ht="15.6" x14ac:dyDescent="0.3">
      <c r="A36" s="339" t="s">
        <v>108</v>
      </c>
      <c r="B36" s="339" t="s">
        <v>191</v>
      </c>
      <c r="C36" s="339">
        <f>B29</f>
        <v>8190</v>
      </c>
      <c r="D36" s="348">
        <f>B30</f>
        <v>-460.07126624328521</v>
      </c>
      <c r="E36" s="339">
        <f>B28</f>
        <v>-650.87333874915021</v>
      </c>
    </row>
    <row r="37" spans="1:5" ht="15.6" x14ac:dyDescent="0.3">
      <c r="A37" s="339" t="s">
        <v>92</v>
      </c>
      <c r="B37" s="339" t="s">
        <v>189</v>
      </c>
      <c r="C37" s="339">
        <f>C21</f>
        <v>19580</v>
      </c>
      <c r="D37" s="339">
        <f>C20</f>
        <v>2820</v>
      </c>
      <c r="E37" s="339">
        <f>C22</f>
        <v>2820</v>
      </c>
    </row>
    <row r="38" spans="1:5" ht="15.6" x14ac:dyDescent="0.3">
      <c r="A38" s="339" t="s">
        <v>92</v>
      </c>
      <c r="B38" s="339" t="s">
        <v>190</v>
      </c>
      <c r="C38" s="339">
        <f>C25</f>
        <v>19580</v>
      </c>
      <c r="D38" s="339">
        <f>C26</f>
        <v>-1459.6318424387246</v>
      </c>
      <c r="E38" s="339">
        <f>C24</f>
        <v>-1458.5232200169266</v>
      </c>
    </row>
    <row r="39" spans="1:5" ht="15.6" x14ac:dyDescent="0.3">
      <c r="A39" s="339" t="s">
        <v>92</v>
      </c>
      <c r="B39" s="339" t="s">
        <v>191</v>
      </c>
      <c r="C39" s="339">
        <f>C29</f>
        <v>19580</v>
      </c>
      <c r="D39" s="348">
        <f>C30</f>
        <v>-1021.9085830703734</v>
      </c>
      <c r="E39" s="339">
        <f>C28</f>
        <v>-1429.1551814505438</v>
      </c>
    </row>
    <row r="40" spans="1:5" ht="15.6" x14ac:dyDescent="0.3">
      <c r="A40" s="339" t="s">
        <v>6</v>
      </c>
      <c r="B40" s="339" t="s">
        <v>189</v>
      </c>
      <c r="C40" s="339">
        <f>D21</f>
        <v>58210</v>
      </c>
      <c r="D40" s="339">
        <f>D20</f>
        <v>9690</v>
      </c>
      <c r="E40" s="339">
        <f>D22</f>
        <v>9760</v>
      </c>
    </row>
    <row r="41" spans="1:5" ht="15.6" x14ac:dyDescent="0.3">
      <c r="A41" s="339" t="s">
        <v>6</v>
      </c>
      <c r="B41" s="339" t="s">
        <v>190</v>
      </c>
      <c r="C41" s="339">
        <f>D25</f>
        <v>58210</v>
      </c>
      <c r="D41" s="339">
        <f>D26</f>
        <v>-4439.3511961164768</v>
      </c>
      <c r="E41" s="339">
        <f>D24</f>
        <v>-4444.6688810688065</v>
      </c>
    </row>
    <row r="42" spans="1:5" ht="15.6" x14ac:dyDescent="0.3">
      <c r="A42" s="339" t="s">
        <v>6</v>
      </c>
      <c r="B42" s="339" t="s">
        <v>191</v>
      </c>
      <c r="C42" s="339">
        <f>D29</f>
        <v>58210</v>
      </c>
      <c r="D42" s="348">
        <f>D30</f>
        <v>-3106.7481845386646</v>
      </c>
      <c r="E42" s="339">
        <f>D28</f>
        <v>-4355.8286802969596</v>
      </c>
    </row>
  </sheetData>
  <pageMargins left="0.7" right="0.7" top="0.75" bottom="0.75" header="0.3" footer="0.3"/>
  <pageSetup scale="7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A43"/>
  <sheetViews>
    <sheetView showGridLines="0" showRowColHeaders="0" zoomScale="115" zoomScaleNormal="115" workbookViewId="0">
      <selection activeCell="C27" sqref="C27:D28"/>
    </sheetView>
  </sheetViews>
  <sheetFormatPr defaultRowHeight="14.4" x14ac:dyDescent="0.3"/>
  <cols>
    <col min="1" max="1" width="3.5546875" customWidth="1"/>
    <col min="2" max="2" width="3" customWidth="1"/>
    <col min="3" max="3" width="8.6640625" customWidth="1"/>
    <col min="4" max="4" width="12.88671875" customWidth="1"/>
    <col min="5" max="5" width="29.6640625" customWidth="1"/>
    <col min="6" max="6" width="16.5546875" customWidth="1"/>
    <col min="7" max="7" width="3.44140625" customWidth="1"/>
    <col min="8" max="8" width="10.6640625" customWidth="1"/>
    <col min="9" max="9" width="4.109375" customWidth="1"/>
    <col min="10" max="10" width="12.44140625" customWidth="1"/>
    <col min="11" max="11" width="2.5546875" customWidth="1"/>
    <col min="12" max="12" width="2.6640625" customWidth="1"/>
    <col min="14" max="14" width="9.109375" customWidth="1"/>
    <col min="23" max="23" width="9.109375" customWidth="1"/>
  </cols>
  <sheetData>
    <row r="1" spans="2:27" ht="7.5" customHeight="1" thickBot="1" x14ac:dyDescent="0.35"/>
    <row r="2" spans="2:27" ht="9" customHeight="1" x14ac:dyDescent="0.3">
      <c r="B2" s="123"/>
      <c r="C2" s="124"/>
      <c r="D2" s="124"/>
      <c r="E2" s="124"/>
      <c r="F2" s="124"/>
      <c r="G2" s="124"/>
      <c r="H2" s="124"/>
      <c r="I2" s="124"/>
      <c r="J2" s="124"/>
      <c r="K2" s="124"/>
      <c r="L2" s="125"/>
    </row>
    <row r="3" spans="2:27" ht="18" x14ac:dyDescent="0.35">
      <c r="B3" s="136"/>
      <c r="C3" s="127" t="s">
        <v>104</v>
      </c>
      <c r="D3" s="128"/>
      <c r="E3" s="128"/>
      <c r="F3" s="128"/>
      <c r="G3" s="128"/>
      <c r="H3" s="128"/>
      <c r="I3" s="128"/>
      <c r="J3" s="128"/>
      <c r="K3" s="128"/>
      <c r="L3" s="137"/>
    </row>
    <row r="4" spans="2:27" ht="8.25" customHeight="1" x14ac:dyDescent="0.3">
      <c r="B4" s="126"/>
      <c r="C4" s="13"/>
      <c r="D4" s="13"/>
      <c r="E4" s="13"/>
      <c r="F4" s="13"/>
      <c r="G4" s="13"/>
      <c r="H4" s="13"/>
      <c r="I4" s="13"/>
      <c r="J4" s="13"/>
      <c r="K4" s="13"/>
      <c r="L4" s="129"/>
    </row>
    <row r="5" spans="2:27" ht="18" x14ac:dyDescent="0.35">
      <c r="B5" s="126"/>
      <c r="C5" s="130" t="s">
        <v>372</v>
      </c>
      <c r="D5" s="13"/>
      <c r="E5" s="13"/>
      <c r="F5" s="13"/>
      <c r="G5" s="13"/>
      <c r="H5" s="13"/>
      <c r="I5" s="13"/>
      <c r="J5" s="13"/>
      <c r="K5" s="13"/>
      <c r="L5" s="129"/>
    </row>
    <row r="6" spans="2:27" ht="3.75" customHeight="1" x14ac:dyDescent="0.35">
      <c r="B6" s="126"/>
      <c r="C6" s="130"/>
      <c r="D6" s="13"/>
      <c r="E6" s="13"/>
      <c r="F6" s="13"/>
      <c r="G6" s="13"/>
      <c r="H6" s="13"/>
      <c r="I6" s="13"/>
      <c r="J6" s="13"/>
      <c r="K6" s="13"/>
      <c r="L6" s="129"/>
    </row>
    <row r="7" spans="2:27" ht="18.75" customHeight="1" x14ac:dyDescent="0.3">
      <c r="B7" s="126"/>
      <c r="C7" s="952" t="s">
        <v>103</v>
      </c>
      <c r="D7" s="953"/>
      <c r="E7" s="13"/>
      <c r="F7" s="13"/>
      <c r="G7" s="13"/>
      <c r="H7" s="13"/>
      <c r="I7" s="13"/>
      <c r="J7" s="13"/>
      <c r="K7" s="13"/>
      <c r="L7" s="129"/>
    </row>
    <row r="8" spans="2:27" ht="6" customHeight="1" x14ac:dyDescent="0.3">
      <c r="B8" s="126"/>
      <c r="C8" s="13"/>
      <c r="D8" s="13"/>
      <c r="E8" s="13"/>
      <c r="F8" s="13"/>
      <c r="G8" s="13"/>
      <c r="H8" s="13"/>
      <c r="I8" s="13"/>
      <c r="J8" s="13"/>
      <c r="K8" s="13"/>
      <c r="L8" s="129"/>
    </row>
    <row r="9" spans="2:27" ht="15" customHeight="1" x14ac:dyDescent="0.3">
      <c r="B9" s="126"/>
      <c r="C9" s="957" t="s">
        <v>373</v>
      </c>
      <c r="D9" s="957"/>
      <c r="E9" s="957"/>
      <c r="F9" s="957"/>
      <c r="G9" s="957"/>
      <c r="H9" s="957"/>
      <c r="I9" s="957"/>
      <c r="J9" s="957"/>
      <c r="K9" s="957"/>
      <c r="L9" s="131"/>
    </row>
    <row r="10" spans="2:27" ht="20.25" customHeight="1" x14ac:dyDescent="0.3">
      <c r="B10" s="126"/>
      <c r="C10" s="957"/>
      <c r="D10" s="957"/>
      <c r="E10" s="957"/>
      <c r="F10" s="957"/>
      <c r="G10" s="957"/>
      <c r="H10" s="957"/>
      <c r="I10" s="957"/>
      <c r="J10" s="957"/>
      <c r="K10" s="957"/>
      <c r="L10" s="131"/>
      <c r="AA10" t="s">
        <v>102</v>
      </c>
    </row>
    <row r="11" spans="2:27" ht="14.25" customHeight="1" x14ac:dyDescent="0.3">
      <c r="B11" s="126"/>
      <c r="C11" s="13"/>
      <c r="D11" s="13"/>
      <c r="E11" s="13"/>
      <c r="F11" s="13"/>
      <c r="G11" s="13"/>
      <c r="H11" s="954" t="s">
        <v>444</v>
      </c>
      <c r="I11" s="955"/>
      <c r="J11" s="955"/>
      <c r="K11" s="956"/>
      <c r="L11" s="129"/>
      <c r="AA11" t="s">
        <v>101</v>
      </c>
    </row>
    <row r="12" spans="2:27" ht="19.5" customHeight="1" thickBot="1" x14ac:dyDescent="0.4">
      <c r="B12" s="126"/>
      <c r="C12" s="130" t="s">
        <v>135</v>
      </c>
      <c r="D12" s="13"/>
      <c r="E12" s="13"/>
      <c r="F12" s="13"/>
      <c r="G12" s="13"/>
      <c r="H12" s="960" t="s">
        <v>159</v>
      </c>
      <c r="I12" s="961"/>
      <c r="J12" s="962">
        <v>327628489</v>
      </c>
      <c r="K12" s="963"/>
      <c r="L12" s="278"/>
      <c r="AA12" t="s">
        <v>103</v>
      </c>
    </row>
    <row r="13" spans="2:27" ht="19.5" customHeight="1" thickBot="1" x14ac:dyDescent="0.4">
      <c r="B13" s="126"/>
      <c r="C13" s="120"/>
      <c r="D13" s="120"/>
      <c r="E13" s="120" t="str">
        <f>IF(C7="Birth Cohort","Number of annual live births:","Size of jurisdiciton's population: ")</f>
        <v>Number of annual live births:</v>
      </c>
      <c r="F13" s="797">
        <v>3945875</v>
      </c>
      <c r="G13" s="13"/>
      <c r="H13" s="958" t="s">
        <v>158</v>
      </c>
      <c r="I13" s="959"/>
      <c r="J13" s="279">
        <v>3945875</v>
      </c>
      <c r="K13" s="264"/>
      <c r="L13" s="132"/>
    </row>
    <row r="14" spans="2:27" ht="6.75" customHeight="1" x14ac:dyDescent="0.3">
      <c r="B14" s="126"/>
      <c r="C14" s="13"/>
      <c r="D14" s="13"/>
      <c r="E14" s="13"/>
      <c r="F14" s="13"/>
      <c r="G14" s="13"/>
      <c r="H14" s="13"/>
      <c r="I14" s="13"/>
      <c r="J14" s="13"/>
      <c r="K14" s="13"/>
      <c r="L14" s="129"/>
    </row>
    <row r="15" spans="2:27" ht="15.6" x14ac:dyDescent="0.3">
      <c r="B15" s="126"/>
      <c r="D15" s="972" t="s">
        <v>105</v>
      </c>
      <c r="E15" s="972"/>
      <c r="F15" s="798" t="str">
        <f>IF(C7=AA12,"not applicable",F13/J12*J13)</f>
        <v>not applicable</v>
      </c>
      <c r="G15" s="434"/>
      <c r="H15" s="434"/>
      <c r="I15" s="434"/>
      <c r="J15" s="434"/>
      <c r="K15" s="13"/>
      <c r="L15" s="129"/>
    </row>
    <row r="16" spans="2:27" ht="7.5" customHeight="1" x14ac:dyDescent="0.3">
      <c r="B16" s="126"/>
      <c r="C16" s="421"/>
      <c r="D16" s="421"/>
      <c r="E16" s="421"/>
      <c r="F16" s="422"/>
      <c r="G16" s="434"/>
      <c r="H16" s="434"/>
      <c r="I16" s="434"/>
      <c r="J16" s="434"/>
      <c r="K16" s="13"/>
      <c r="L16" s="129"/>
    </row>
    <row r="17" spans="2:13" ht="18.75" customHeight="1" x14ac:dyDescent="0.3">
      <c r="B17" s="126"/>
      <c r="C17" s="971" t="s">
        <v>488</v>
      </c>
      <c r="D17" s="971"/>
      <c r="E17" s="971"/>
      <c r="F17" s="971"/>
      <c r="G17" s="971"/>
      <c r="H17" s="971"/>
      <c r="I17" s="971"/>
      <c r="J17" s="971"/>
      <c r="K17" s="971"/>
      <c r="L17" s="129"/>
    </row>
    <row r="18" spans="2:13" ht="18.75" customHeight="1" thickBot="1" x14ac:dyDescent="0.35">
      <c r="B18" s="126"/>
      <c r="C18" s="971"/>
      <c r="D18" s="971"/>
      <c r="E18" s="971"/>
      <c r="F18" s="971"/>
      <c r="G18" s="971"/>
      <c r="H18" s="971"/>
      <c r="I18" s="971"/>
      <c r="J18" s="971"/>
      <c r="K18" s="971"/>
      <c r="L18" s="129"/>
    </row>
    <row r="19" spans="2:13" ht="30" customHeight="1" thickBot="1" x14ac:dyDescent="0.35">
      <c r="B19" s="126"/>
      <c r="C19" s="897"/>
      <c r="D19" s="897"/>
      <c r="E19" s="897"/>
      <c r="F19" s="897"/>
      <c r="G19" s="973" t="s">
        <v>251</v>
      </c>
      <c r="H19" s="974"/>
      <c r="I19" s="948" t="s">
        <v>252</v>
      </c>
      <c r="J19" s="949"/>
      <c r="K19" s="13"/>
      <c r="L19" s="129"/>
    </row>
    <row r="20" spans="2:13" x14ac:dyDescent="0.3">
      <c r="B20" s="126"/>
      <c r="D20" s="440" t="s">
        <v>374</v>
      </c>
      <c r="E20" s="441"/>
      <c r="F20" s="441"/>
      <c r="G20" s="944">
        <v>3.8999999999999998E-3</v>
      </c>
      <c r="H20" s="945"/>
      <c r="I20" s="950">
        <v>9.7000000000000003E-2</v>
      </c>
      <c r="J20" s="951"/>
      <c r="K20" s="13"/>
      <c r="L20" s="129"/>
    </row>
    <row r="21" spans="2:13" x14ac:dyDescent="0.3">
      <c r="B21" s="126"/>
      <c r="D21" s="440" t="s">
        <v>266</v>
      </c>
      <c r="E21" s="441"/>
      <c r="F21" s="441"/>
      <c r="G21" s="946">
        <v>1.1999999999999999E-3</v>
      </c>
      <c r="H21" s="947"/>
      <c r="I21" s="964">
        <v>0.128</v>
      </c>
      <c r="J21" s="965"/>
      <c r="K21" s="13"/>
      <c r="L21" s="129"/>
    </row>
    <row r="22" spans="2:13" x14ac:dyDescent="0.3">
      <c r="B22" s="126"/>
      <c r="D22" s="440" t="s">
        <v>487</v>
      </c>
      <c r="E22" s="723"/>
      <c r="F22" s="723"/>
      <c r="G22" s="946">
        <v>4.7000000000000002E-3</v>
      </c>
      <c r="H22" s="947"/>
      <c r="I22" s="964">
        <v>8.1000000000000003E-2</v>
      </c>
      <c r="J22" s="965"/>
      <c r="K22" s="13"/>
      <c r="L22" s="129"/>
    </row>
    <row r="23" spans="2:13" ht="15" thickBot="1" x14ac:dyDescent="0.35">
      <c r="B23" s="126"/>
      <c r="D23" s="482" t="s">
        <v>375</v>
      </c>
      <c r="E23" s="483"/>
      <c r="F23" s="724"/>
      <c r="G23" s="967">
        <v>0</v>
      </c>
      <c r="H23" s="968"/>
      <c r="I23" s="969"/>
      <c r="J23" s="970"/>
      <c r="K23" s="13"/>
      <c r="L23" s="129"/>
    </row>
    <row r="24" spans="2:13" ht="15.75" customHeight="1" x14ac:dyDescent="0.3">
      <c r="B24" s="126"/>
      <c r="E24" s="13"/>
      <c r="F24" s="14" t="s">
        <v>432</v>
      </c>
      <c r="G24" s="966">
        <f>IF(SUM(G20:H23)=0,0.00001,SUM(G20:H23))</f>
        <v>9.7999999999999997E-3</v>
      </c>
      <c r="H24" s="966"/>
      <c r="I24" s="922" t="str">
        <f>IF(G24&lt;0.001,"WARNING: Sum of % live births must be &gt;.10%","")</f>
        <v/>
      </c>
      <c r="J24" s="922"/>
      <c r="K24" s="922"/>
      <c r="L24" s="923"/>
    </row>
    <row r="25" spans="2:13" ht="12" customHeight="1" thickBot="1" x14ac:dyDescent="0.35">
      <c r="B25" s="133"/>
      <c r="C25" s="442"/>
      <c r="D25" s="134"/>
      <c r="E25" s="442"/>
      <c r="F25" s="443"/>
      <c r="G25" s="444"/>
      <c r="H25" s="444"/>
      <c r="I25" s="924"/>
      <c r="J25" s="924"/>
      <c r="K25" s="924"/>
      <c r="L25" s="925"/>
    </row>
    <row r="26" spans="2:13" ht="9" customHeight="1" thickBot="1" x14ac:dyDescent="0.35">
      <c r="H26" s="101"/>
      <c r="I26" s="101"/>
      <c r="J26" s="101"/>
    </row>
    <row r="27" spans="2:13" ht="26.25" customHeight="1" thickTop="1" x14ac:dyDescent="0.3">
      <c r="C27" s="933" t="s">
        <v>112</v>
      </c>
      <c r="D27" s="935"/>
      <c r="E27" s="121"/>
      <c r="H27" s="122"/>
      <c r="I27" s="933" t="s">
        <v>253</v>
      </c>
      <c r="J27" s="934"/>
      <c r="K27" s="935"/>
    </row>
    <row r="28" spans="2:13" ht="24" customHeight="1" thickBot="1" x14ac:dyDescent="0.35">
      <c r="C28" s="936"/>
      <c r="D28" s="938"/>
      <c r="E28" s="121"/>
      <c r="H28" s="122"/>
      <c r="I28" s="936"/>
      <c r="J28" s="937"/>
      <c r="K28" s="938"/>
    </row>
    <row r="29" spans="2:13" ht="15" customHeight="1" thickTop="1" x14ac:dyDescent="0.3">
      <c r="H29" s="101"/>
      <c r="I29" s="101"/>
      <c r="J29" s="101"/>
    </row>
    <row r="30" spans="2:13" ht="21.75" customHeight="1" x14ac:dyDescent="0.3">
      <c r="B30" t="s">
        <v>21</v>
      </c>
      <c r="C30" s="648" t="s">
        <v>448</v>
      </c>
      <c r="D30" s="648"/>
      <c r="E30" s="648"/>
      <c r="F30" s="648"/>
      <c r="G30" s="648"/>
      <c r="H30" s="648"/>
      <c r="I30" s="648"/>
      <c r="J30" s="648"/>
      <c r="K30" s="648"/>
      <c r="L30" s="648"/>
      <c r="M30" s="648"/>
    </row>
    <row r="31" spans="2:13" ht="15" customHeight="1" x14ac:dyDescent="0.3">
      <c r="B31" t="s">
        <v>446</v>
      </c>
      <c r="C31" s="921" t="s">
        <v>449</v>
      </c>
      <c r="D31" s="921"/>
      <c r="E31" s="921"/>
      <c r="F31" s="921"/>
      <c r="G31" s="921"/>
      <c r="H31" s="921"/>
      <c r="I31" s="921"/>
      <c r="J31" s="921"/>
      <c r="K31" s="921"/>
      <c r="L31" s="921"/>
      <c r="M31" s="814"/>
    </row>
    <row r="32" spans="2:13" x14ac:dyDescent="0.3">
      <c r="C32" s="921"/>
      <c r="D32" s="921"/>
      <c r="E32" s="921"/>
      <c r="F32" s="921"/>
      <c r="G32" s="921"/>
      <c r="H32" s="921"/>
      <c r="I32" s="921"/>
      <c r="J32" s="921"/>
      <c r="K32" s="921"/>
      <c r="L32" s="921"/>
      <c r="M32" s="814"/>
    </row>
    <row r="33" spans="2:13" ht="15" customHeight="1" x14ac:dyDescent="0.3">
      <c r="B33" t="s">
        <v>447</v>
      </c>
      <c r="C33" s="921" t="s">
        <v>450</v>
      </c>
      <c r="D33" s="921"/>
      <c r="E33" s="921"/>
      <c r="F33" s="921"/>
      <c r="G33" s="921"/>
      <c r="H33" s="921"/>
      <c r="I33" s="921"/>
      <c r="J33" s="921"/>
      <c r="K33" s="921"/>
      <c r="L33" s="921"/>
      <c r="M33" s="814"/>
    </row>
    <row r="34" spans="2:13" x14ac:dyDescent="0.3">
      <c r="C34" s="921"/>
      <c r="D34" s="921"/>
      <c r="E34" s="921"/>
      <c r="F34" s="921"/>
      <c r="G34" s="921"/>
      <c r="H34" s="921"/>
      <c r="I34" s="921"/>
      <c r="J34" s="921"/>
      <c r="K34" s="921"/>
      <c r="L34" s="921"/>
      <c r="M34" s="814"/>
    </row>
    <row r="35" spans="2:13" ht="15" customHeight="1" x14ac:dyDescent="0.3">
      <c r="C35" s="921" t="s">
        <v>451</v>
      </c>
      <c r="D35" s="921"/>
      <c r="E35" s="921"/>
      <c r="F35" s="921"/>
      <c r="G35" s="921"/>
      <c r="H35" s="921"/>
      <c r="I35" s="921"/>
      <c r="J35" s="921"/>
      <c r="K35" s="921"/>
      <c r="L35" s="921"/>
      <c r="M35" s="814"/>
    </row>
    <row r="36" spans="2:13" x14ac:dyDescent="0.3">
      <c r="C36" s="921"/>
      <c r="D36" s="921"/>
      <c r="E36" s="921"/>
      <c r="F36" s="921"/>
      <c r="G36" s="921"/>
      <c r="H36" s="921"/>
      <c r="I36" s="921"/>
      <c r="J36" s="921"/>
      <c r="K36" s="921"/>
      <c r="L36" s="921"/>
      <c r="M36" s="814"/>
    </row>
    <row r="37" spans="2:13" x14ac:dyDescent="0.3">
      <c r="I37" s="439"/>
    </row>
    <row r="38" spans="2:13" x14ac:dyDescent="0.3">
      <c r="C38" s="7"/>
      <c r="D38" s="7"/>
      <c r="E38" s="927" t="s">
        <v>445</v>
      </c>
      <c r="F38" s="928"/>
      <c r="G38" s="940" t="s">
        <v>251</v>
      </c>
      <c r="H38" s="940"/>
      <c r="I38" s="940" t="s">
        <v>252</v>
      </c>
      <c r="J38" s="942"/>
    </row>
    <row r="39" spans="2:13" ht="15" customHeight="1" x14ac:dyDescent="0.3">
      <c r="E39" s="929"/>
      <c r="F39" s="930"/>
      <c r="G39" s="941"/>
      <c r="H39" s="941"/>
      <c r="I39" s="941"/>
      <c r="J39" s="943"/>
    </row>
    <row r="40" spans="2:13" x14ac:dyDescent="0.3">
      <c r="E40" s="929"/>
      <c r="F40" s="930"/>
      <c r="G40" s="926">
        <v>3.8999999999999998E-3</v>
      </c>
      <c r="H40" s="926"/>
      <c r="I40" s="939">
        <v>9.7000000000000003E-2</v>
      </c>
      <c r="J40" s="939"/>
    </row>
    <row r="41" spans="2:13" x14ac:dyDescent="0.3">
      <c r="C41" s="3"/>
      <c r="D41" s="4"/>
      <c r="E41" s="929"/>
      <c r="F41" s="930"/>
      <c r="G41" s="926">
        <v>1.1999999999999999E-3</v>
      </c>
      <c r="H41" s="926"/>
      <c r="I41" s="939">
        <v>0.128</v>
      </c>
      <c r="J41" s="939"/>
    </row>
    <row r="42" spans="2:13" x14ac:dyDescent="0.3">
      <c r="C42" s="3"/>
      <c r="D42" s="4"/>
      <c r="E42" s="931"/>
      <c r="F42" s="932"/>
      <c r="G42" s="926">
        <v>4.7000000000000002E-3</v>
      </c>
      <c r="H42" s="926"/>
      <c r="I42" s="939">
        <v>8.1000000000000003E-2</v>
      </c>
      <c r="J42" s="939"/>
    </row>
    <row r="43" spans="2:13" x14ac:dyDescent="0.3">
      <c r="C43" s="3"/>
      <c r="D43" s="4"/>
      <c r="I43" s="242"/>
    </row>
  </sheetData>
  <sheetProtection algorithmName="SHA-256" hashValue="O92GSAwO+o6ktO2i/szzfUch0SOIseDCu+LHao5wDSc=" saltValue="Z+I9JrvatqKzK+qn6LGgVQ==" spinCount="100000" sheet="1"/>
  <mergeCells count="35">
    <mergeCell ref="C7:D7"/>
    <mergeCell ref="H11:K11"/>
    <mergeCell ref="C9:K10"/>
    <mergeCell ref="C27:D28"/>
    <mergeCell ref="H13:I13"/>
    <mergeCell ref="H12:I12"/>
    <mergeCell ref="J12:K12"/>
    <mergeCell ref="I21:J21"/>
    <mergeCell ref="I22:J22"/>
    <mergeCell ref="G24:H24"/>
    <mergeCell ref="C19:F19"/>
    <mergeCell ref="G23:H23"/>
    <mergeCell ref="I23:J23"/>
    <mergeCell ref="C17:K18"/>
    <mergeCell ref="D15:E15"/>
    <mergeCell ref="G19:H19"/>
    <mergeCell ref="G20:H20"/>
    <mergeCell ref="G21:H21"/>
    <mergeCell ref="G22:H22"/>
    <mergeCell ref="I19:J19"/>
    <mergeCell ref="I20:J20"/>
    <mergeCell ref="C33:L34"/>
    <mergeCell ref="C35:L36"/>
    <mergeCell ref="I24:L25"/>
    <mergeCell ref="G41:H41"/>
    <mergeCell ref="E38:F42"/>
    <mergeCell ref="I27:K28"/>
    <mergeCell ref="I40:J40"/>
    <mergeCell ref="I41:J41"/>
    <mergeCell ref="G42:H42"/>
    <mergeCell ref="I42:J42"/>
    <mergeCell ref="G38:H39"/>
    <mergeCell ref="I38:J39"/>
    <mergeCell ref="G40:H40"/>
    <mergeCell ref="C31:L32"/>
  </mergeCells>
  <conditionalFormatting sqref="G24">
    <cfRule type="cellIs" dxfId="48" priority="1" operator="lessThan">
      <formula>0.001</formula>
    </cfRule>
  </conditionalFormatting>
  <dataValidations count="2">
    <dataValidation type="list" allowBlank="1" showInputMessage="1" showErrorMessage="1" sqref="C7">
      <formula1>$AA$10:$AA$12</formula1>
    </dataValidation>
    <dataValidation type="decimal" operator="lessThan" allowBlank="1" showErrorMessage="1" sqref="G24:H24">
      <formula1>0.1</formula1>
    </dataValidation>
  </dataValidations>
  <hyperlinks>
    <hyperlink ref="I27:J28" location="'Input 2_RSV Rates'!A1" display="'Input 2_RSV Rates'!A1"/>
    <hyperlink ref="C27:D28" location="HOMEPAGE!A1" display="HOMEPAGE!A1"/>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Z47"/>
  <sheetViews>
    <sheetView showGridLines="0" showRowColHeaders="0" zoomScale="115" zoomScaleNormal="115" workbookViewId="0">
      <selection activeCell="T25" sqref="T25:V26"/>
    </sheetView>
  </sheetViews>
  <sheetFormatPr defaultRowHeight="14.4" x14ac:dyDescent="0.3"/>
  <cols>
    <col min="1" max="1" width="2.6640625" customWidth="1"/>
    <col min="2" max="2" width="4.33203125" customWidth="1"/>
    <col min="3" max="3" width="10.6640625" customWidth="1"/>
    <col min="4" max="4" width="1.6640625" customWidth="1"/>
    <col min="5" max="5" width="10.6640625" customWidth="1"/>
    <col min="6" max="6" width="2" customWidth="1"/>
    <col min="7" max="8" width="7.6640625" customWidth="1"/>
    <col min="9" max="9" width="3.109375" customWidth="1"/>
    <col min="10" max="10" width="2.6640625" customWidth="1"/>
    <col min="11" max="11" width="10.6640625" customWidth="1"/>
    <col min="12" max="12" width="1.6640625" customWidth="1"/>
    <col min="13" max="13" width="10.6640625" customWidth="1"/>
    <col min="14" max="14" width="2.109375" customWidth="1"/>
    <col min="15" max="16" width="7.6640625" customWidth="1"/>
    <col min="17" max="17" width="5.44140625" customWidth="1"/>
    <col min="18" max="18" width="10.6640625" customWidth="1"/>
    <col min="19" max="19" width="1.6640625" customWidth="1"/>
    <col min="20" max="20" width="10.6640625" customWidth="1"/>
    <col min="21" max="21" width="2.109375" customWidth="1"/>
    <col min="22" max="23" width="7.6640625" customWidth="1"/>
    <col min="24" max="24" width="4.33203125" customWidth="1"/>
    <col min="26" max="26" width="11.5546875" bestFit="1" customWidth="1"/>
  </cols>
  <sheetData>
    <row r="1" spans="2:26" ht="4.5" customHeight="1" thickBot="1" x14ac:dyDescent="0.35"/>
    <row r="2" spans="2:26" ht="8.25" customHeight="1" x14ac:dyDescent="0.3">
      <c r="B2" s="123"/>
      <c r="C2" s="124"/>
      <c r="D2" s="124"/>
      <c r="E2" s="124"/>
      <c r="F2" s="124"/>
      <c r="G2" s="124"/>
      <c r="H2" s="124"/>
      <c r="I2" s="124"/>
      <c r="J2" s="124"/>
      <c r="K2" s="124"/>
      <c r="L2" s="124"/>
      <c r="M2" s="124"/>
      <c r="N2" s="124"/>
      <c r="O2" s="124"/>
      <c r="P2" s="124"/>
      <c r="Q2" s="124"/>
      <c r="R2" s="124"/>
      <c r="S2" s="124"/>
      <c r="T2" s="124"/>
      <c r="U2" s="124"/>
      <c r="V2" s="124"/>
      <c r="W2" s="124"/>
      <c r="X2" s="125"/>
    </row>
    <row r="3" spans="2:26" ht="18" x14ac:dyDescent="0.35">
      <c r="B3" s="147"/>
      <c r="C3" s="148" t="s">
        <v>412</v>
      </c>
      <c r="D3" s="148"/>
      <c r="E3" s="149"/>
      <c r="F3" s="149"/>
      <c r="G3" s="149"/>
      <c r="H3" s="149"/>
      <c r="I3" s="149"/>
      <c r="J3" s="149"/>
      <c r="K3" s="149"/>
      <c r="L3" s="149"/>
      <c r="M3" s="149"/>
      <c r="N3" s="149"/>
      <c r="O3" s="149"/>
      <c r="P3" s="150"/>
      <c r="Q3" s="149"/>
      <c r="R3" s="149"/>
      <c r="S3" s="149"/>
      <c r="T3" s="149"/>
      <c r="U3" s="149"/>
      <c r="V3" s="149"/>
      <c r="W3" s="149"/>
      <c r="X3" s="150"/>
    </row>
    <row r="4" spans="2:26" ht="6" customHeight="1" x14ac:dyDescent="0.3">
      <c r="B4" s="126"/>
      <c r="C4" s="13"/>
      <c r="D4" s="13"/>
      <c r="E4" s="13"/>
      <c r="F4" s="13"/>
      <c r="G4" s="13"/>
      <c r="H4" s="13"/>
      <c r="I4" s="13"/>
      <c r="J4" s="13"/>
      <c r="K4" s="13"/>
      <c r="L4" s="13"/>
      <c r="M4" s="13"/>
      <c r="N4" s="13"/>
      <c r="O4" s="13"/>
      <c r="P4" s="13"/>
      <c r="Q4" s="13"/>
      <c r="R4" s="13"/>
      <c r="S4" s="13"/>
      <c r="T4" s="13"/>
      <c r="U4" s="13"/>
      <c r="V4" s="13"/>
      <c r="W4" s="13"/>
      <c r="X4" s="129"/>
    </row>
    <row r="5" spans="2:26" ht="18.75" customHeight="1" x14ac:dyDescent="0.3">
      <c r="B5" s="126"/>
      <c r="C5" s="985" t="s">
        <v>452</v>
      </c>
      <c r="D5" s="985"/>
      <c r="E5" s="985"/>
      <c r="F5" s="985"/>
      <c r="G5" s="985"/>
      <c r="H5" s="985"/>
      <c r="I5" s="985"/>
      <c r="J5" s="985"/>
      <c r="K5" s="985"/>
      <c r="L5" s="985"/>
      <c r="M5" s="985"/>
      <c r="N5" s="985"/>
      <c r="O5" s="985"/>
      <c r="P5" s="985"/>
      <c r="Q5" s="985"/>
      <c r="R5" s="985"/>
      <c r="S5" s="985"/>
      <c r="T5" s="985"/>
      <c r="U5" s="985"/>
      <c r="V5" s="985"/>
      <c r="W5" s="985"/>
      <c r="X5" s="129"/>
    </row>
    <row r="6" spans="2:26" ht="18" customHeight="1" x14ac:dyDescent="0.3">
      <c r="B6" s="126"/>
      <c r="C6" s="985"/>
      <c r="D6" s="985"/>
      <c r="E6" s="985"/>
      <c r="F6" s="985"/>
      <c r="G6" s="985"/>
      <c r="H6" s="985"/>
      <c r="I6" s="985"/>
      <c r="J6" s="985"/>
      <c r="K6" s="985"/>
      <c r="L6" s="985"/>
      <c r="M6" s="985"/>
      <c r="N6" s="985"/>
      <c r="O6" s="985"/>
      <c r="P6" s="985"/>
      <c r="Q6" s="985"/>
      <c r="R6" s="985"/>
      <c r="S6" s="985"/>
      <c r="T6" s="985"/>
      <c r="U6" s="985"/>
      <c r="V6" s="985"/>
      <c r="W6" s="985"/>
      <c r="X6" s="129"/>
    </row>
    <row r="7" spans="2:26" ht="7.5" customHeight="1" thickBot="1" x14ac:dyDescent="0.35">
      <c r="B7" s="126"/>
      <c r="C7" s="13"/>
      <c r="D7" s="13"/>
      <c r="E7" s="13"/>
      <c r="F7" s="13"/>
      <c r="G7" s="13"/>
      <c r="H7" s="13"/>
      <c r="I7" s="13"/>
      <c r="J7" s="13"/>
      <c r="K7" s="13"/>
      <c r="L7" s="13"/>
      <c r="M7" s="13"/>
      <c r="N7" s="13"/>
      <c r="O7" s="13"/>
      <c r="P7" s="13"/>
      <c r="Q7" s="13"/>
      <c r="R7" s="13"/>
      <c r="S7" s="13"/>
      <c r="T7" s="13"/>
      <c r="U7" s="13"/>
      <c r="V7" s="13"/>
      <c r="W7" s="13"/>
      <c r="X7" s="129"/>
    </row>
    <row r="8" spans="2:26" ht="16.2" thickBot="1" x14ac:dyDescent="0.35">
      <c r="B8" s="126"/>
      <c r="C8" s="989" t="s">
        <v>223</v>
      </c>
      <c r="D8" s="990"/>
      <c r="E8" s="990"/>
      <c r="F8" s="990"/>
      <c r="G8" s="990"/>
      <c r="H8" s="991"/>
      <c r="I8" s="415"/>
      <c r="J8" s="13"/>
      <c r="K8" s="989" t="s">
        <v>224</v>
      </c>
      <c r="L8" s="990"/>
      <c r="M8" s="990"/>
      <c r="N8" s="990"/>
      <c r="O8" s="990"/>
      <c r="P8" s="991"/>
      <c r="Q8" s="13"/>
      <c r="R8" s="989" t="s">
        <v>108</v>
      </c>
      <c r="S8" s="990"/>
      <c r="T8" s="990"/>
      <c r="U8" s="990"/>
      <c r="V8" s="990"/>
      <c r="W8" s="991"/>
      <c r="X8" s="129"/>
      <c r="Z8" s="268"/>
    </row>
    <row r="9" spans="2:26" ht="30" customHeight="1" x14ac:dyDescent="0.3">
      <c r="B9" s="126"/>
      <c r="C9" s="138" t="s">
        <v>106</v>
      </c>
      <c r="D9" s="139"/>
      <c r="E9" s="140" t="s">
        <v>109</v>
      </c>
      <c r="F9" s="139"/>
      <c r="G9" s="977" t="s">
        <v>107</v>
      </c>
      <c r="H9" s="978"/>
      <c r="I9" s="415"/>
      <c r="J9" s="13"/>
      <c r="K9" s="138" t="s">
        <v>106</v>
      </c>
      <c r="L9" s="139"/>
      <c r="M9" s="140" t="s">
        <v>109</v>
      </c>
      <c r="N9" s="139"/>
      <c r="O9" s="977" t="s">
        <v>107</v>
      </c>
      <c r="P9" s="978"/>
      <c r="Q9" s="13"/>
      <c r="R9" s="138" t="s">
        <v>106</v>
      </c>
      <c r="S9" s="139"/>
      <c r="T9" s="140" t="s">
        <v>109</v>
      </c>
      <c r="U9" s="139"/>
      <c r="V9" s="975" t="s">
        <v>107</v>
      </c>
      <c r="W9" s="976"/>
      <c r="X9" s="129"/>
    </row>
    <row r="10" spans="2:26" ht="15" customHeight="1" x14ac:dyDescent="0.3">
      <c r="B10" s="126"/>
      <c r="C10" s="141">
        <v>0</v>
      </c>
      <c r="D10" s="142"/>
      <c r="E10" s="1165">
        <v>85.2</v>
      </c>
      <c r="F10" s="152"/>
      <c r="G10" s="1165">
        <v>71</v>
      </c>
      <c r="H10" s="1168">
        <v>99.3</v>
      </c>
      <c r="I10" s="171"/>
      <c r="J10" s="13"/>
      <c r="K10" s="141">
        <v>0</v>
      </c>
      <c r="L10" s="142"/>
      <c r="M10" s="1165">
        <v>19.600000000000001</v>
      </c>
      <c r="N10" s="152"/>
      <c r="O10" s="1165">
        <v>16.8</v>
      </c>
      <c r="P10" s="1168">
        <v>22.4</v>
      </c>
      <c r="Q10" s="13"/>
      <c r="R10" s="141">
        <v>0</v>
      </c>
      <c r="S10" s="142"/>
      <c r="T10" s="1165">
        <v>13.5</v>
      </c>
      <c r="U10" s="152"/>
      <c r="V10" s="1165">
        <v>10.3</v>
      </c>
      <c r="W10" s="1168">
        <v>17.100000000000001</v>
      </c>
      <c r="X10" s="129"/>
      <c r="Z10" s="848"/>
    </row>
    <row r="11" spans="2:26" ht="15" customHeight="1" x14ac:dyDescent="0.3">
      <c r="B11" s="126"/>
      <c r="C11" s="143">
        <v>1</v>
      </c>
      <c r="D11" s="144"/>
      <c r="E11" s="1166">
        <v>187.9</v>
      </c>
      <c r="F11" s="153"/>
      <c r="G11" s="1166">
        <v>156.6</v>
      </c>
      <c r="H11" s="1169">
        <v>219.1</v>
      </c>
      <c r="I11" s="171"/>
      <c r="J11" s="13"/>
      <c r="K11" s="143">
        <v>1</v>
      </c>
      <c r="L11" s="144"/>
      <c r="M11" s="1166">
        <v>64.2</v>
      </c>
      <c r="N11" s="153"/>
      <c r="O11" s="1166">
        <v>54.9</v>
      </c>
      <c r="P11" s="1169">
        <v>73.400000000000006</v>
      </c>
      <c r="Q11" s="13"/>
      <c r="R11" s="143">
        <v>1</v>
      </c>
      <c r="S11" s="144"/>
      <c r="T11" s="1166">
        <v>25.9</v>
      </c>
      <c r="U11" s="153"/>
      <c r="V11" s="1166">
        <v>21.3</v>
      </c>
      <c r="W11" s="1169">
        <v>30.8</v>
      </c>
      <c r="X11" s="129"/>
      <c r="Z11" s="848"/>
    </row>
    <row r="12" spans="2:26" ht="15" customHeight="1" x14ac:dyDescent="0.3">
      <c r="B12" s="126"/>
      <c r="C12" s="143">
        <v>2</v>
      </c>
      <c r="D12" s="144"/>
      <c r="E12" s="1166">
        <v>234.2</v>
      </c>
      <c r="F12" s="153"/>
      <c r="G12" s="1166">
        <v>195.2</v>
      </c>
      <c r="H12" s="1169">
        <v>273.10000000000002</v>
      </c>
      <c r="I12" s="171"/>
      <c r="J12" s="13"/>
      <c r="K12" s="143">
        <v>2</v>
      </c>
      <c r="L12" s="144"/>
      <c r="M12" s="1166">
        <v>72.400000000000006</v>
      </c>
      <c r="N12" s="153"/>
      <c r="O12" s="1166">
        <v>62</v>
      </c>
      <c r="P12" s="1169">
        <v>82.9</v>
      </c>
      <c r="Q12" s="13"/>
      <c r="R12" s="143">
        <v>2</v>
      </c>
      <c r="S12" s="144"/>
      <c r="T12" s="1166">
        <v>14.3</v>
      </c>
      <c r="U12" s="153"/>
      <c r="V12" s="1166">
        <v>11.1</v>
      </c>
      <c r="W12" s="1169">
        <v>17.8</v>
      </c>
      <c r="X12" s="129"/>
      <c r="Z12" s="848"/>
    </row>
    <row r="13" spans="2:26" ht="15" customHeight="1" x14ac:dyDescent="0.3">
      <c r="B13" s="126"/>
      <c r="C13" s="143">
        <v>3</v>
      </c>
      <c r="D13" s="144"/>
      <c r="E13" s="1166">
        <v>232.6</v>
      </c>
      <c r="F13" s="153"/>
      <c r="G13" s="1166">
        <v>194</v>
      </c>
      <c r="H13" s="1169">
        <v>271.3</v>
      </c>
      <c r="I13" s="171"/>
      <c r="J13" s="13"/>
      <c r="K13" s="143">
        <v>3</v>
      </c>
      <c r="L13" s="144"/>
      <c r="M13" s="1166">
        <v>105.2</v>
      </c>
      <c r="N13" s="153"/>
      <c r="O13" s="1166">
        <v>90.1</v>
      </c>
      <c r="P13" s="1169">
        <v>120.4</v>
      </c>
      <c r="Q13" s="13"/>
      <c r="R13" s="143">
        <v>3</v>
      </c>
      <c r="S13" s="144"/>
      <c r="T13" s="1166">
        <v>10.3</v>
      </c>
      <c r="U13" s="153"/>
      <c r="V13" s="1166">
        <v>7.7</v>
      </c>
      <c r="W13" s="1169">
        <v>13.5</v>
      </c>
      <c r="X13" s="129"/>
      <c r="Z13" s="268"/>
    </row>
    <row r="14" spans="2:26" ht="15" customHeight="1" x14ac:dyDescent="0.3">
      <c r="B14" s="126"/>
      <c r="C14" s="143">
        <v>4</v>
      </c>
      <c r="D14" s="144"/>
      <c r="E14" s="1166">
        <v>265</v>
      </c>
      <c r="F14" s="153"/>
      <c r="G14" s="1166">
        <v>221</v>
      </c>
      <c r="H14" s="1169">
        <v>309.10000000000002</v>
      </c>
      <c r="I14" s="171"/>
      <c r="J14" s="13"/>
      <c r="K14" s="143">
        <v>4</v>
      </c>
      <c r="L14" s="144"/>
      <c r="M14" s="1166">
        <v>116</v>
      </c>
      <c r="N14" s="153"/>
      <c r="O14" s="1166">
        <v>99.3</v>
      </c>
      <c r="P14" s="1169">
        <v>132.69999999999999</v>
      </c>
      <c r="Q14" s="13"/>
      <c r="R14" s="143">
        <v>4</v>
      </c>
      <c r="S14" s="144"/>
      <c r="T14" s="1166">
        <v>8.9</v>
      </c>
      <c r="U14" s="153"/>
      <c r="V14" s="1166">
        <v>6.3</v>
      </c>
      <c r="W14" s="1169">
        <v>11.8</v>
      </c>
      <c r="X14" s="129"/>
      <c r="Z14" s="268"/>
    </row>
    <row r="15" spans="2:26" ht="15" customHeight="1" x14ac:dyDescent="0.3">
      <c r="B15" s="126"/>
      <c r="C15" s="143">
        <v>5</v>
      </c>
      <c r="D15" s="144"/>
      <c r="E15" s="1166">
        <v>289.2</v>
      </c>
      <c r="F15" s="153"/>
      <c r="G15" s="1166">
        <v>241.1</v>
      </c>
      <c r="H15" s="1169">
        <v>337.2</v>
      </c>
      <c r="I15" s="171"/>
      <c r="J15" s="13"/>
      <c r="K15" s="143">
        <v>5</v>
      </c>
      <c r="L15" s="144"/>
      <c r="M15" s="1166">
        <v>71.3</v>
      </c>
      <c r="N15" s="153"/>
      <c r="O15" s="1166">
        <v>61.1</v>
      </c>
      <c r="P15" s="1169">
        <v>81.599999999999994</v>
      </c>
      <c r="Q15" s="13"/>
      <c r="R15" s="143">
        <v>5</v>
      </c>
      <c r="S15" s="144"/>
      <c r="T15" s="1166">
        <v>4.8</v>
      </c>
      <c r="U15" s="153"/>
      <c r="V15" s="1166">
        <v>2.9</v>
      </c>
      <c r="W15" s="1169">
        <v>7</v>
      </c>
      <c r="X15" s="129"/>
      <c r="Z15" s="268"/>
    </row>
    <row r="16" spans="2:26" ht="15" customHeight="1" x14ac:dyDescent="0.3">
      <c r="B16" s="126"/>
      <c r="C16" s="143">
        <v>6</v>
      </c>
      <c r="D16" s="144"/>
      <c r="E16" s="1166">
        <v>264.7</v>
      </c>
      <c r="F16" s="154"/>
      <c r="G16" s="1166">
        <v>220.7</v>
      </c>
      <c r="H16" s="1169">
        <v>308.7</v>
      </c>
      <c r="I16" s="171"/>
      <c r="J16" s="13"/>
      <c r="K16" s="143">
        <v>6</v>
      </c>
      <c r="L16" s="144"/>
      <c r="M16" s="1166">
        <v>81.8</v>
      </c>
      <c r="N16" s="154"/>
      <c r="O16" s="1166">
        <v>70.099999999999994</v>
      </c>
      <c r="P16" s="1169">
        <v>93.6</v>
      </c>
      <c r="Q16" s="13"/>
      <c r="R16" s="143">
        <v>6</v>
      </c>
      <c r="S16" s="144"/>
      <c r="T16" s="1166">
        <v>4.0999999999999996</v>
      </c>
      <c r="U16" s="154"/>
      <c r="V16" s="1166">
        <v>2.5</v>
      </c>
      <c r="W16" s="1169">
        <v>6.2</v>
      </c>
      <c r="X16" s="129"/>
      <c r="Z16" s="268"/>
    </row>
    <row r="17" spans="2:26" ht="15" customHeight="1" x14ac:dyDescent="0.3">
      <c r="B17" s="126"/>
      <c r="C17" s="143">
        <v>7</v>
      </c>
      <c r="D17" s="144"/>
      <c r="E17" s="1166">
        <v>207.2</v>
      </c>
      <c r="F17" s="154"/>
      <c r="G17" s="1166">
        <v>172.8</v>
      </c>
      <c r="H17" s="1169">
        <v>241.7</v>
      </c>
      <c r="I17" s="171"/>
      <c r="J17" s="13"/>
      <c r="K17" s="143">
        <v>7</v>
      </c>
      <c r="L17" s="144"/>
      <c r="M17" s="1166">
        <v>56.1</v>
      </c>
      <c r="N17" s="154"/>
      <c r="O17" s="1166">
        <v>48</v>
      </c>
      <c r="P17" s="1169">
        <v>64.2</v>
      </c>
      <c r="Q17" s="13"/>
      <c r="R17" s="143">
        <v>7</v>
      </c>
      <c r="S17" s="144"/>
      <c r="T17" s="1166">
        <v>5.6</v>
      </c>
      <c r="U17" s="154"/>
      <c r="V17" s="1166">
        <v>3.6</v>
      </c>
      <c r="W17" s="1169">
        <v>8</v>
      </c>
      <c r="X17" s="129"/>
      <c r="Z17" s="268"/>
    </row>
    <row r="18" spans="2:26" ht="15" customHeight="1" x14ac:dyDescent="0.3">
      <c r="B18" s="126"/>
      <c r="C18" s="143">
        <v>8</v>
      </c>
      <c r="D18" s="144"/>
      <c r="E18" s="1166">
        <v>277.8</v>
      </c>
      <c r="F18" s="154"/>
      <c r="G18" s="1166">
        <v>231.7</v>
      </c>
      <c r="H18" s="1169">
        <v>324</v>
      </c>
      <c r="I18" s="171"/>
      <c r="J18" s="13"/>
      <c r="K18" s="143">
        <v>8</v>
      </c>
      <c r="L18" s="144"/>
      <c r="M18" s="1166">
        <v>55.6</v>
      </c>
      <c r="N18" s="154"/>
      <c r="O18" s="1166">
        <v>47.6</v>
      </c>
      <c r="P18" s="1169">
        <v>63.5</v>
      </c>
      <c r="Q18" s="13"/>
      <c r="R18" s="143">
        <v>8</v>
      </c>
      <c r="S18" s="144"/>
      <c r="T18" s="1166">
        <v>3.4</v>
      </c>
      <c r="U18" s="154"/>
      <c r="V18" s="1166">
        <v>1.8</v>
      </c>
      <c r="W18" s="1169">
        <v>5.2</v>
      </c>
      <c r="X18" s="129"/>
      <c r="Z18" s="268"/>
    </row>
    <row r="19" spans="2:26" ht="15" customHeight="1" x14ac:dyDescent="0.3">
      <c r="B19" s="126"/>
      <c r="C19" s="143">
        <v>9</v>
      </c>
      <c r="D19" s="144"/>
      <c r="E19" s="1166">
        <v>227.2</v>
      </c>
      <c r="F19" s="154"/>
      <c r="G19" s="1166">
        <v>189.4</v>
      </c>
      <c r="H19" s="1169">
        <v>264.89999999999998</v>
      </c>
      <c r="I19" s="171"/>
      <c r="J19" s="13"/>
      <c r="K19" s="143">
        <v>9</v>
      </c>
      <c r="L19" s="144"/>
      <c r="M19" s="1166">
        <v>55.6</v>
      </c>
      <c r="N19" s="154"/>
      <c r="O19" s="1166">
        <v>47.6</v>
      </c>
      <c r="P19" s="1169">
        <v>63.6</v>
      </c>
      <c r="Q19" s="13"/>
      <c r="R19" s="143">
        <v>9</v>
      </c>
      <c r="S19" s="144"/>
      <c r="T19" s="1166">
        <v>3.8</v>
      </c>
      <c r="U19" s="154"/>
      <c r="V19" s="1166">
        <v>2.1</v>
      </c>
      <c r="W19" s="1169">
        <v>6</v>
      </c>
      <c r="X19" s="129"/>
      <c r="Z19" s="268"/>
    </row>
    <row r="20" spans="2:26" ht="15" customHeight="1" x14ac:dyDescent="0.3">
      <c r="B20" s="126"/>
      <c r="C20" s="143">
        <v>10</v>
      </c>
      <c r="D20" s="144"/>
      <c r="E20" s="1166">
        <v>241.7</v>
      </c>
      <c r="F20" s="154"/>
      <c r="G20" s="1166">
        <v>201.5</v>
      </c>
      <c r="H20" s="1169">
        <v>281.8</v>
      </c>
      <c r="I20" s="171"/>
      <c r="J20" s="13"/>
      <c r="K20" s="143">
        <v>10</v>
      </c>
      <c r="L20" s="144"/>
      <c r="M20" s="1166">
        <v>40.4</v>
      </c>
      <c r="N20" s="154"/>
      <c r="O20" s="1166">
        <v>34.6</v>
      </c>
      <c r="P20" s="1169">
        <v>46.2</v>
      </c>
      <c r="Q20" s="13"/>
      <c r="R20" s="143">
        <v>10</v>
      </c>
      <c r="S20" s="144"/>
      <c r="T20" s="1166">
        <v>3.7</v>
      </c>
      <c r="U20" s="154"/>
      <c r="V20" s="1166">
        <v>2</v>
      </c>
      <c r="W20" s="1169">
        <v>5.7</v>
      </c>
      <c r="X20" s="129"/>
      <c r="Z20" s="268"/>
    </row>
    <row r="21" spans="2:26" ht="15" customHeight="1" thickBot="1" x14ac:dyDescent="0.35">
      <c r="B21" s="126"/>
      <c r="C21" s="145">
        <v>11</v>
      </c>
      <c r="D21" s="146"/>
      <c r="E21" s="1167">
        <v>258.10000000000002</v>
      </c>
      <c r="F21" s="155"/>
      <c r="G21" s="1167">
        <v>215.2</v>
      </c>
      <c r="H21" s="1170">
        <v>301</v>
      </c>
      <c r="I21" s="171"/>
      <c r="J21" s="13"/>
      <c r="K21" s="145">
        <v>11</v>
      </c>
      <c r="L21" s="146"/>
      <c r="M21" s="1167">
        <v>55.6</v>
      </c>
      <c r="N21" s="155"/>
      <c r="O21" s="1167">
        <v>47.6</v>
      </c>
      <c r="P21" s="1170">
        <v>63.6</v>
      </c>
      <c r="Q21" s="13"/>
      <c r="R21" s="145">
        <v>11</v>
      </c>
      <c r="S21" s="146"/>
      <c r="T21" s="1167">
        <v>2.9</v>
      </c>
      <c r="U21" s="155"/>
      <c r="V21" s="1167">
        <v>1.5</v>
      </c>
      <c r="W21" s="1170">
        <v>4.8</v>
      </c>
      <c r="X21" s="129"/>
      <c r="Z21" s="268"/>
    </row>
    <row r="22" spans="2:26" ht="7.5" customHeight="1" x14ac:dyDescent="0.3">
      <c r="B22" s="126"/>
      <c r="C22" s="163"/>
      <c r="D22" s="163"/>
      <c r="E22" s="171"/>
      <c r="F22" s="423"/>
      <c r="G22" s="171"/>
      <c r="H22" s="171"/>
      <c r="I22" s="171"/>
      <c r="J22" s="101"/>
      <c r="K22" s="163"/>
      <c r="L22" s="163"/>
      <c r="M22" s="171"/>
      <c r="N22" s="423"/>
      <c r="O22" s="171"/>
      <c r="P22" s="171"/>
      <c r="Q22" s="101"/>
      <c r="R22" s="163"/>
      <c r="S22" s="163"/>
      <c r="T22" s="171"/>
      <c r="U22" s="423"/>
      <c r="V22" s="171"/>
      <c r="W22" s="171"/>
      <c r="X22" s="129"/>
    </row>
    <row r="23" spans="2:26" ht="9" customHeight="1" thickBot="1" x14ac:dyDescent="0.35">
      <c r="B23" s="133"/>
      <c r="C23" s="151"/>
      <c r="D23" s="151"/>
      <c r="E23" s="134"/>
      <c r="F23" s="134"/>
      <c r="G23" s="134"/>
      <c r="H23" s="134"/>
      <c r="I23" s="134"/>
      <c r="J23" s="134"/>
      <c r="K23" s="134"/>
      <c r="L23" s="134"/>
      <c r="M23" s="134"/>
      <c r="N23" s="134"/>
      <c r="O23" s="134"/>
      <c r="P23" s="134"/>
      <c r="Q23" s="134"/>
      <c r="R23" s="134"/>
      <c r="S23" s="134"/>
      <c r="T23" s="134"/>
      <c r="U23" s="134"/>
      <c r="V23" s="134"/>
      <c r="W23" s="134"/>
      <c r="X23" s="135"/>
    </row>
    <row r="24" spans="2:26" ht="9.75" customHeight="1" thickBot="1" x14ac:dyDescent="0.4">
      <c r="C24" s="130"/>
      <c r="D24" s="13"/>
      <c r="E24" s="13"/>
      <c r="F24" s="13"/>
      <c r="G24" s="13"/>
      <c r="H24" s="13"/>
      <c r="I24" s="13"/>
      <c r="J24" s="13"/>
      <c r="K24" s="13"/>
      <c r="L24" s="13"/>
      <c r="M24" s="13"/>
      <c r="N24" s="13"/>
      <c r="O24" s="13"/>
      <c r="P24" s="13"/>
      <c r="Q24" s="13"/>
      <c r="R24" s="13"/>
    </row>
    <row r="25" spans="2:26" ht="20.25" customHeight="1" thickTop="1" x14ac:dyDescent="0.3">
      <c r="C25" s="979" t="s">
        <v>113</v>
      </c>
      <c r="D25" s="980"/>
      <c r="E25" s="981"/>
      <c r="T25" s="979" t="s">
        <v>114</v>
      </c>
      <c r="U25" s="980"/>
      <c r="V25" s="981"/>
      <c r="W25" s="122"/>
    </row>
    <row r="26" spans="2:26" ht="20.25" customHeight="1" thickBot="1" x14ac:dyDescent="0.35">
      <c r="C26" s="982"/>
      <c r="D26" s="983"/>
      <c r="E26" s="984"/>
      <c r="T26" s="982"/>
      <c r="U26" s="983"/>
      <c r="V26" s="984"/>
      <c r="W26" s="122"/>
    </row>
    <row r="27" spans="2:26" ht="15" thickTop="1" x14ac:dyDescent="0.3"/>
    <row r="28" spans="2:26" ht="15" customHeight="1" x14ac:dyDescent="0.3">
      <c r="B28" s="815" t="s">
        <v>21</v>
      </c>
      <c r="C28" s="921" t="s">
        <v>490</v>
      </c>
      <c r="D28" s="921"/>
      <c r="E28" s="921"/>
      <c r="F28" s="921"/>
      <c r="G28" s="921"/>
      <c r="H28" s="921"/>
      <c r="I28" s="921"/>
      <c r="J28" s="921"/>
      <c r="K28" s="921"/>
      <c r="L28" s="921"/>
      <c r="M28" s="921"/>
      <c r="N28" s="921"/>
      <c r="O28" s="921"/>
      <c r="P28" s="921"/>
      <c r="Q28" s="921"/>
      <c r="R28" s="921"/>
      <c r="S28" s="921"/>
      <c r="T28" s="921"/>
      <c r="U28" s="921"/>
      <c r="V28" s="921"/>
      <c r="W28" s="921"/>
      <c r="X28" s="921"/>
    </row>
    <row r="29" spans="2:26" ht="15.6" x14ac:dyDescent="0.3">
      <c r="B29" s="810"/>
      <c r="C29" s="921"/>
      <c r="D29" s="921"/>
      <c r="E29" s="921"/>
      <c r="F29" s="921"/>
      <c r="G29" s="921"/>
      <c r="H29" s="921"/>
      <c r="I29" s="921"/>
      <c r="J29" s="921"/>
      <c r="K29" s="921"/>
      <c r="L29" s="921"/>
      <c r="M29" s="921"/>
      <c r="N29" s="921"/>
      <c r="O29" s="921"/>
      <c r="P29" s="921"/>
      <c r="Q29" s="921"/>
      <c r="R29" s="921"/>
      <c r="S29" s="921"/>
      <c r="T29" s="921"/>
      <c r="U29" s="921"/>
      <c r="V29" s="921"/>
      <c r="W29" s="921"/>
      <c r="X29" s="921"/>
    </row>
    <row r="30" spans="2:26" ht="15" customHeight="1" x14ac:dyDescent="0.3">
      <c r="B30" s="815"/>
      <c r="C30" s="921" t="s">
        <v>489</v>
      </c>
      <c r="D30" s="921"/>
      <c r="E30" s="921"/>
      <c r="F30" s="921"/>
      <c r="G30" s="921"/>
      <c r="H30" s="921"/>
      <c r="I30" s="921"/>
      <c r="J30" s="921"/>
      <c r="K30" s="921"/>
      <c r="L30" s="921"/>
      <c r="M30" s="921"/>
      <c r="N30" s="921"/>
      <c r="O30" s="921"/>
      <c r="P30" s="921"/>
      <c r="Q30" s="921"/>
      <c r="R30" s="921"/>
      <c r="S30" s="921"/>
      <c r="T30" s="921"/>
      <c r="U30" s="921"/>
      <c r="V30" s="921"/>
      <c r="W30" s="921"/>
      <c r="X30" s="921"/>
    </row>
    <row r="31" spans="2:26" ht="15.6" x14ac:dyDescent="0.3">
      <c r="B31" s="810"/>
      <c r="C31" s="921"/>
      <c r="D31" s="921"/>
      <c r="E31" s="921"/>
      <c r="F31" s="921"/>
      <c r="G31" s="921"/>
      <c r="H31" s="921"/>
      <c r="I31" s="921"/>
      <c r="J31" s="921"/>
      <c r="K31" s="921"/>
      <c r="L31" s="921"/>
      <c r="M31" s="921"/>
      <c r="N31" s="921"/>
      <c r="O31" s="921"/>
      <c r="P31" s="921"/>
      <c r="Q31" s="921"/>
      <c r="R31" s="921"/>
      <c r="S31" s="921"/>
      <c r="T31" s="921"/>
      <c r="U31" s="921"/>
      <c r="V31" s="921"/>
      <c r="W31" s="921"/>
      <c r="X31" s="921"/>
    </row>
    <row r="33" spans="2:23" ht="18.600000000000001" thickBot="1" x14ac:dyDescent="0.4">
      <c r="B33" s="162" t="s">
        <v>246</v>
      </c>
    </row>
    <row r="34" spans="2:23" ht="16.2" thickBot="1" x14ac:dyDescent="0.35">
      <c r="C34" s="986" t="s">
        <v>111</v>
      </c>
      <c r="D34" s="987"/>
      <c r="E34" s="987"/>
      <c r="F34" s="987"/>
      <c r="G34" s="987"/>
      <c r="H34" s="988"/>
      <c r="I34" s="415"/>
      <c r="J34" s="101"/>
      <c r="K34" s="986" t="s">
        <v>110</v>
      </c>
      <c r="L34" s="987"/>
      <c r="M34" s="987"/>
      <c r="N34" s="987"/>
      <c r="O34" s="987"/>
      <c r="P34" s="988"/>
      <c r="Q34" s="101"/>
      <c r="R34" s="986" t="s">
        <v>108</v>
      </c>
      <c r="S34" s="987"/>
      <c r="T34" s="987"/>
      <c r="U34" s="987"/>
      <c r="V34" s="987"/>
      <c r="W34" s="988"/>
    </row>
    <row r="35" spans="2:23" ht="31.2" x14ac:dyDescent="0.3">
      <c r="C35" s="138" t="s">
        <v>106</v>
      </c>
      <c r="D35" s="139"/>
      <c r="E35" s="140" t="s">
        <v>109</v>
      </c>
      <c r="F35" s="139"/>
      <c r="G35" s="977" t="s">
        <v>107</v>
      </c>
      <c r="H35" s="978"/>
      <c r="I35" s="415"/>
      <c r="J35" s="101"/>
      <c r="K35" s="138" t="s">
        <v>106</v>
      </c>
      <c r="L35" s="139"/>
      <c r="M35" s="140" t="s">
        <v>109</v>
      </c>
      <c r="N35" s="139"/>
      <c r="O35" s="977" t="s">
        <v>107</v>
      </c>
      <c r="P35" s="978"/>
      <c r="Q35" s="101"/>
      <c r="R35" s="138" t="s">
        <v>106</v>
      </c>
      <c r="S35" s="139"/>
      <c r="T35" s="140" t="s">
        <v>109</v>
      </c>
      <c r="U35" s="139"/>
      <c r="V35" s="975" t="s">
        <v>107</v>
      </c>
      <c r="W35" s="976"/>
    </row>
    <row r="36" spans="2:23" ht="15.6" x14ac:dyDescent="0.3">
      <c r="C36" s="141">
        <v>0</v>
      </c>
      <c r="D36" s="142"/>
      <c r="E36" s="152">
        <v>85.2</v>
      </c>
      <c r="F36" s="152"/>
      <c r="G36" s="152">
        <v>71</v>
      </c>
      <c r="H36" s="156">
        <v>99.3</v>
      </c>
      <c r="I36" s="171"/>
      <c r="J36" s="101"/>
      <c r="K36" s="141">
        <v>0</v>
      </c>
      <c r="L36" s="142"/>
      <c r="M36" s="152">
        <v>19.600000000000001</v>
      </c>
      <c r="N36" s="152"/>
      <c r="O36" s="152">
        <v>16.8</v>
      </c>
      <c r="P36" s="156">
        <v>22.4</v>
      </c>
      <c r="Q36" s="101"/>
      <c r="R36" s="141">
        <v>0</v>
      </c>
      <c r="S36" s="142"/>
      <c r="T36" s="152">
        <v>13.5</v>
      </c>
      <c r="U36" s="152"/>
      <c r="V36" s="152">
        <v>10.3</v>
      </c>
      <c r="W36" s="156">
        <v>17.100000000000001</v>
      </c>
    </row>
    <row r="37" spans="2:23" ht="15.6" x14ac:dyDescent="0.3">
      <c r="C37" s="143">
        <v>1</v>
      </c>
      <c r="D37" s="144"/>
      <c r="E37" s="153">
        <v>187.9</v>
      </c>
      <c r="F37" s="153"/>
      <c r="G37" s="153">
        <v>156.6</v>
      </c>
      <c r="H37" s="157">
        <v>219.1</v>
      </c>
      <c r="I37" s="171"/>
      <c r="J37" s="101"/>
      <c r="K37" s="143">
        <v>1</v>
      </c>
      <c r="L37" s="144"/>
      <c r="M37" s="153">
        <v>64.2</v>
      </c>
      <c r="N37" s="153"/>
      <c r="O37" s="153">
        <v>54.9</v>
      </c>
      <c r="P37" s="157">
        <v>73.400000000000006</v>
      </c>
      <c r="Q37" s="101"/>
      <c r="R37" s="143">
        <v>1</v>
      </c>
      <c r="S37" s="144"/>
      <c r="T37" s="153">
        <v>25.9</v>
      </c>
      <c r="U37" s="153"/>
      <c r="V37" s="153">
        <v>21.3</v>
      </c>
      <c r="W37" s="157">
        <v>30.8</v>
      </c>
    </row>
    <row r="38" spans="2:23" ht="15.6" x14ac:dyDescent="0.3">
      <c r="C38" s="143">
        <v>2</v>
      </c>
      <c r="D38" s="144"/>
      <c r="E38" s="153">
        <v>234.2</v>
      </c>
      <c r="F38" s="153"/>
      <c r="G38" s="153">
        <v>195.2</v>
      </c>
      <c r="H38" s="157">
        <v>273.10000000000002</v>
      </c>
      <c r="I38" s="171"/>
      <c r="J38" s="101"/>
      <c r="K38" s="143">
        <v>2</v>
      </c>
      <c r="L38" s="144"/>
      <c r="M38" s="153">
        <v>72.400000000000006</v>
      </c>
      <c r="N38" s="153"/>
      <c r="O38" s="153">
        <v>62</v>
      </c>
      <c r="P38" s="157">
        <v>82.9</v>
      </c>
      <c r="Q38" s="101"/>
      <c r="R38" s="143">
        <v>2</v>
      </c>
      <c r="S38" s="144"/>
      <c r="T38" s="153">
        <v>14.3</v>
      </c>
      <c r="U38" s="153"/>
      <c r="V38" s="153">
        <v>11.1</v>
      </c>
      <c r="W38" s="157">
        <v>17.8</v>
      </c>
    </row>
    <row r="39" spans="2:23" ht="15.6" x14ac:dyDescent="0.3">
      <c r="C39" s="143">
        <v>3</v>
      </c>
      <c r="D39" s="144"/>
      <c r="E39" s="153">
        <v>232.6</v>
      </c>
      <c r="F39" s="153"/>
      <c r="G39" s="153">
        <v>194</v>
      </c>
      <c r="H39" s="157">
        <v>271.3</v>
      </c>
      <c r="I39" s="171"/>
      <c r="J39" s="101"/>
      <c r="K39" s="143">
        <v>3</v>
      </c>
      <c r="L39" s="144"/>
      <c r="M39" s="153">
        <v>105.2</v>
      </c>
      <c r="N39" s="153"/>
      <c r="O39" s="153">
        <v>90.1</v>
      </c>
      <c r="P39" s="157">
        <v>120.4</v>
      </c>
      <c r="Q39" s="101"/>
      <c r="R39" s="143">
        <v>3</v>
      </c>
      <c r="S39" s="144"/>
      <c r="T39" s="153">
        <v>10.3</v>
      </c>
      <c r="U39" s="153"/>
      <c r="V39" s="153">
        <v>7.7</v>
      </c>
      <c r="W39" s="157">
        <v>13.5</v>
      </c>
    </row>
    <row r="40" spans="2:23" ht="15.6" x14ac:dyDescent="0.3">
      <c r="C40" s="143">
        <v>4</v>
      </c>
      <c r="D40" s="144"/>
      <c r="E40" s="153">
        <v>265</v>
      </c>
      <c r="F40" s="153"/>
      <c r="G40" s="153">
        <v>221</v>
      </c>
      <c r="H40" s="157">
        <v>309.10000000000002</v>
      </c>
      <c r="I40" s="171"/>
      <c r="J40" s="101"/>
      <c r="K40" s="143">
        <v>4</v>
      </c>
      <c r="L40" s="144"/>
      <c r="M40" s="153">
        <v>116</v>
      </c>
      <c r="N40" s="153"/>
      <c r="O40" s="153">
        <v>99.3</v>
      </c>
      <c r="P40" s="157">
        <v>132.69999999999999</v>
      </c>
      <c r="Q40" s="101"/>
      <c r="R40" s="143">
        <v>4</v>
      </c>
      <c r="S40" s="144"/>
      <c r="T40" s="153">
        <v>8.9</v>
      </c>
      <c r="U40" s="153"/>
      <c r="V40" s="153">
        <v>6.3</v>
      </c>
      <c r="W40" s="157">
        <v>11.8</v>
      </c>
    </row>
    <row r="41" spans="2:23" ht="15.6" x14ac:dyDescent="0.3">
      <c r="C41" s="143">
        <v>5</v>
      </c>
      <c r="D41" s="144"/>
      <c r="E41" s="153">
        <v>289.2</v>
      </c>
      <c r="F41" s="153"/>
      <c r="G41" s="153">
        <v>241.1</v>
      </c>
      <c r="H41" s="157">
        <v>337.2</v>
      </c>
      <c r="I41" s="171"/>
      <c r="J41" s="101"/>
      <c r="K41" s="143">
        <v>5</v>
      </c>
      <c r="L41" s="144"/>
      <c r="M41" s="153">
        <v>71.3</v>
      </c>
      <c r="N41" s="153"/>
      <c r="O41" s="153">
        <v>61.1</v>
      </c>
      <c r="P41" s="157">
        <v>81.599999999999994</v>
      </c>
      <c r="Q41" s="101"/>
      <c r="R41" s="143">
        <v>5</v>
      </c>
      <c r="S41" s="144"/>
      <c r="T41" s="153">
        <v>4.8</v>
      </c>
      <c r="U41" s="153"/>
      <c r="V41" s="153">
        <v>2.9</v>
      </c>
      <c r="W41" s="157">
        <v>7</v>
      </c>
    </row>
    <row r="42" spans="2:23" ht="15.6" x14ac:dyDescent="0.3">
      <c r="C42" s="143">
        <v>6</v>
      </c>
      <c r="D42" s="144"/>
      <c r="E42" s="153">
        <v>264.7</v>
      </c>
      <c r="F42" s="158"/>
      <c r="G42" s="153">
        <v>220.7</v>
      </c>
      <c r="H42" s="157">
        <v>308.7</v>
      </c>
      <c r="I42" s="171"/>
      <c r="J42" s="101"/>
      <c r="K42" s="143">
        <v>6</v>
      </c>
      <c r="L42" s="144"/>
      <c r="M42" s="153">
        <v>81.8</v>
      </c>
      <c r="N42" s="158"/>
      <c r="O42" s="153">
        <v>70.099999999999994</v>
      </c>
      <c r="P42" s="157">
        <v>93.6</v>
      </c>
      <c r="Q42" s="101"/>
      <c r="R42" s="143">
        <v>6</v>
      </c>
      <c r="S42" s="144"/>
      <c r="T42" s="153">
        <v>4.0999999999999996</v>
      </c>
      <c r="U42" s="158"/>
      <c r="V42" s="153">
        <v>2.5</v>
      </c>
      <c r="W42" s="157">
        <v>6.2</v>
      </c>
    </row>
    <row r="43" spans="2:23" ht="15.6" x14ac:dyDescent="0.3">
      <c r="C43" s="143">
        <v>7</v>
      </c>
      <c r="D43" s="144"/>
      <c r="E43" s="153">
        <v>207.2</v>
      </c>
      <c r="F43" s="158"/>
      <c r="G43" s="153">
        <v>172.8</v>
      </c>
      <c r="H43" s="157">
        <v>241.7</v>
      </c>
      <c r="I43" s="171"/>
      <c r="J43" s="101"/>
      <c r="K43" s="143">
        <v>7</v>
      </c>
      <c r="L43" s="144"/>
      <c r="M43" s="153">
        <v>56.1</v>
      </c>
      <c r="N43" s="158"/>
      <c r="O43" s="153">
        <v>48</v>
      </c>
      <c r="P43" s="157">
        <v>64.2</v>
      </c>
      <c r="Q43" s="101"/>
      <c r="R43" s="143">
        <v>7</v>
      </c>
      <c r="S43" s="144"/>
      <c r="T43" s="153">
        <v>5.6</v>
      </c>
      <c r="U43" s="158"/>
      <c r="V43" s="153">
        <v>3.6</v>
      </c>
      <c r="W43" s="157">
        <v>8</v>
      </c>
    </row>
    <row r="44" spans="2:23" ht="15.6" x14ac:dyDescent="0.3">
      <c r="C44" s="143">
        <v>8</v>
      </c>
      <c r="D44" s="144"/>
      <c r="E44" s="153">
        <v>277.8</v>
      </c>
      <c r="F44" s="158"/>
      <c r="G44" s="153">
        <v>231.7</v>
      </c>
      <c r="H44" s="157">
        <v>324</v>
      </c>
      <c r="I44" s="171"/>
      <c r="J44" s="101"/>
      <c r="K44" s="143">
        <v>8</v>
      </c>
      <c r="L44" s="144"/>
      <c r="M44" s="153">
        <v>55.6</v>
      </c>
      <c r="N44" s="158"/>
      <c r="O44" s="153">
        <v>47.6</v>
      </c>
      <c r="P44" s="157">
        <v>63.5</v>
      </c>
      <c r="Q44" s="101"/>
      <c r="R44" s="143">
        <v>8</v>
      </c>
      <c r="S44" s="144"/>
      <c r="T44" s="153">
        <v>3.4</v>
      </c>
      <c r="U44" s="158"/>
      <c r="V44" s="153">
        <v>1.8</v>
      </c>
      <c r="W44" s="157">
        <v>5.2</v>
      </c>
    </row>
    <row r="45" spans="2:23" ht="15.6" x14ac:dyDescent="0.3">
      <c r="C45" s="143">
        <v>9</v>
      </c>
      <c r="D45" s="144"/>
      <c r="E45" s="153">
        <v>227.2</v>
      </c>
      <c r="F45" s="158"/>
      <c r="G45" s="153">
        <v>189.4</v>
      </c>
      <c r="H45" s="157">
        <v>264.89999999999998</v>
      </c>
      <c r="I45" s="171"/>
      <c r="J45" s="101"/>
      <c r="K45" s="143">
        <v>9</v>
      </c>
      <c r="L45" s="144"/>
      <c r="M45" s="153">
        <v>55.6</v>
      </c>
      <c r="N45" s="158"/>
      <c r="O45" s="153">
        <v>47.6</v>
      </c>
      <c r="P45" s="157">
        <v>63.6</v>
      </c>
      <c r="Q45" s="101"/>
      <c r="R45" s="143">
        <v>9</v>
      </c>
      <c r="S45" s="144"/>
      <c r="T45" s="153">
        <v>3.8</v>
      </c>
      <c r="U45" s="158"/>
      <c r="V45" s="153">
        <v>2.1</v>
      </c>
      <c r="W45" s="157">
        <v>6</v>
      </c>
    </row>
    <row r="46" spans="2:23" ht="15.6" x14ac:dyDescent="0.3">
      <c r="C46" s="143">
        <v>10</v>
      </c>
      <c r="D46" s="144"/>
      <c r="E46" s="153">
        <v>241.7</v>
      </c>
      <c r="F46" s="158"/>
      <c r="G46" s="153">
        <v>201.5</v>
      </c>
      <c r="H46" s="157">
        <v>281.8</v>
      </c>
      <c r="I46" s="171"/>
      <c r="J46" s="101"/>
      <c r="K46" s="143">
        <v>10</v>
      </c>
      <c r="L46" s="144"/>
      <c r="M46" s="153">
        <v>40.4</v>
      </c>
      <c r="N46" s="158"/>
      <c r="O46" s="153">
        <v>34.6</v>
      </c>
      <c r="P46" s="157">
        <v>46.2</v>
      </c>
      <c r="Q46" s="101"/>
      <c r="R46" s="143">
        <v>10</v>
      </c>
      <c r="S46" s="144"/>
      <c r="T46" s="153">
        <v>3.7</v>
      </c>
      <c r="U46" s="158"/>
      <c r="V46" s="153">
        <v>2</v>
      </c>
      <c r="W46" s="157">
        <v>5.7</v>
      </c>
    </row>
    <row r="47" spans="2:23" ht="16.2" thickBot="1" x14ac:dyDescent="0.35">
      <c r="C47" s="145">
        <v>11</v>
      </c>
      <c r="D47" s="146"/>
      <c r="E47" s="159">
        <v>258.10000000000002</v>
      </c>
      <c r="F47" s="160"/>
      <c r="G47" s="159">
        <v>215.2</v>
      </c>
      <c r="H47" s="161">
        <v>301</v>
      </c>
      <c r="I47" s="171"/>
      <c r="J47" s="101"/>
      <c r="K47" s="145">
        <v>11</v>
      </c>
      <c r="L47" s="146"/>
      <c r="M47" s="159">
        <v>55.6</v>
      </c>
      <c r="N47" s="160"/>
      <c r="O47" s="159">
        <v>47.6</v>
      </c>
      <c r="P47" s="161">
        <v>63.6</v>
      </c>
      <c r="Q47" s="101"/>
      <c r="R47" s="145">
        <v>11</v>
      </c>
      <c r="S47" s="146"/>
      <c r="T47" s="159">
        <v>2.9</v>
      </c>
      <c r="U47" s="160"/>
      <c r="V47" s="159">
        <v>1.5</v>
      </c>
      <c r="W47" s="161">
        <v>4.8</v>
      </c>
    </row>
  </sheetData>
  <sheetProtection algorithmName="SHA-256" hashValue="7fBUfNxQxLOJSS0PqAMJGKuPkUE6jQ547bayzKFWKl8=" saltValue="GSy/cfYTfPJbM56jlaZJJQ==" spinCount="100000" sheet="1" objects="1" scenarios="1"/>
  <mergeCells count="17">
    <mergeCell ref="C5:W6"/>
    <mergeCell ref="R34:W34"/>
    <mergeCell ref="K34:P34"/>
    <mergeCell ref="C34:H34"/>
    <mergeCell ref="R8:W8"/>
    <mergeCell ref="V9:W9"/>
    <mergeCell ref="K8:P8"/>
    <mergeCell ref="O9:P9"/>
    <mergeCell ref="C8:H8"/>
    <mergeCell ref="G9:H9"/>
    <mergeCell ref="V35:W35"/>
    <mergeCell ref="O35:P35"/>
    <mergeCell ref="G35:H35"/>
    <mergeCell ref="C25:E26"/>
    <mergeCell ref="T25:V26"/>
    <mergeCell ref="C30:X31"/>
    <mergeCell ref="C28:X29"/>
  </mergeCells>
  <hyperlinks>
    <hyperlink ref="C25:D26" location="HOMEPAGE!A1" display="HOMEPAGE!A1"/>
    <hyperlink ref="C25" location="'Input 1_Population'!A1" display="'Input 1_Population'!A1"/>
    <hyperlink ref="T25:U26" location="'Input 2_'!A1" display="'Input 2_'!A1"/>
    <hyperlink ref="T25:V26" location="'Input 3_Clinical Severity'!A1" display="'Input 3_Clinical Severity'!A1"/>
  </hyperlink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Y30"/>
  <sheetViews>
    <sheetView showGridLines="0" showRowColHeaders="0" zoomScale="130" zoomScaleNormal="130" workbookViewId="0">
      <selection activeCell="U21" sqref="U21:V22"/>
    </sheetView>
  </sheetViews>
  <sheetFormatPr defaultRowHeight="14.4" x14ac:dyDescent="0.3"/>
  <cols>
    <col min="1" max="1" width="2.6640625" customWidth="1"/>
    <col min="2" max="2" width="4.33203125" customWidth="1"/>
    <col min="3" max="3" width="10.6640625" customWidth="1"/>
    <col min="4" max="4" width="1.6640625" customWidth="1"/>
    <col min="5" max="5" width="10.6640625" customWidth="1"/>
    <col min="6" max="6" width="2" customWidth="1"/>
    <col min="7" max="8" width="7.6640625" customWidth="1"/>
    <col min="9" max="9" width="3.109375" customWidth="1"/>
    <col min="10" max="10" width="2.6640625" customWidth="1"/>
    <col min="11" max="11" width="10" customWidth="1"/>
    <col min="12" max="12" width="3.109375" customWidth="1"/>
    <col min="13" max="13" width="1.5546875" customWidth="1"/>
    <col min="14" max="14" width="10.6640625" customWidth="1"/>
    <col min="15" max="15" width="2.6640625" customWidth="1"/>
    <col min="16" max="16" width="0.88671875" customWidth="1"/>
    <col min="17" max="17" width="10.33203125" style="9" customWidth="1"/>
    <col min="18" max="18" width="4.33203125" customWidth="1"/>
    <col min="19" max="19" width="11.109375" customWidth="1"/>
    <col min="20" max="20" width="2.6640625" customWidth="1"/>
    <col min="21" max="21" width="9.6640625" customWidth="1"/>
    <col min="22" max="22" width="7.6640625" customWidth="1"/>
    <col min="23" max="23" width="4.33203125" customWidth="1"/>
  </cols>
  <sheetData>
    <row r="1" spans="2:25" ht="4.5" customHeight="1" thickBot="1" x14ac:dyDescent="0.35"/>
    <row r="2" spans="2:25" ht="8.25" customHeight="1" x14ac:dyDescent="0.3">
      <c r="B2" s="123"/>
      <c r="C2" s="124"/>
      <c r="D2" s="124"/>
      <c r="E2" s="124"/>
      <c r="F2" s="124"/>
      <c r="G2" s="124"/>
      <c r="H2" s="124"/>
      <c r="I2" s="124"/>
      <c r="J2" s="124"/>
      <c r="K2" s="124"/>
      <c r="L2" s="124"/>
      <c r="M2" s="124"/>
      <c r="N2" s="124"/>
      <c r="O2" s="124"/>
      <c r="P2" s="124"/>
      <c r="Q2" s="787"/>
      <c r="R2" s="124"/>
      <c r="S2" s="124"/>
      <c r="T2" s="124"/>
      <c r="U2" s="124"/>
      <c r="V2" s="124"/>
      <c r="W2" s="125"/>
    </row>
    <row r="3" spans="2:25" ht="18" x14ac:dyDescent="0.35">
      <c r="B3" s="147"/>
      <c r="C3" s="148" t="s">
        <v>491</v>
      </c>
      <c r="D3" s="148"/>
      <c r="E3" s="149"/>
      <c r="F3" s="149"/>
      <c r="G3" s="149"/>
      <c r="H3" s="149"/>
      <c r="I3" s="149"/>
      <c r="J3" s="149"/>
      <c r="K3" s="149"/>
      <c r="L3" s="149"/>
      <c r="M3" s="149"/>
      <c r="N3" s="149"/>
      <c r="O3" s="149"/>
      <c r="P3" s="149"/>
      <c r="Q3" s="788"/>
      <c r="R3" s="149"/>
      <c r="S3" s="149"/>
      <c r="T3" s="149"/>
      <c r="U3" s="149"/>
      <c r="V3" s="149"/>
      <c r="W3" s="150"/>
    </row>
    <row r="4" spans="2:25" ht="6" customHeight="1" x14ac:dyDescent="0.3">
      <c r="B4" s="126"/>
      <c r="C4" s="13"/>
      <c r="D4" s="13"/>
      <c r="E4" s="13"/>
      <c r="F4" s="13"/>
      <c r="G4" s="13"/>
      <c r="H4" s="13"/>
      <c r="I4" s="13"/>
      <c r="J4" s="13"/>
      <c r="K4" s="13"/>
      <c r="L4" s="13"/>
      <c r="M4" s="13"/>
      <c r="N4" s="13"/>
      <c r="O4" s="13"/>
      <c r="P4" s="13"/>
      <c r="Q4" s="440"/>
      <c r="R4" s="13"/>
      <c r="S4" s="13"/>
      <c r="T4" s="13"/>
      <c r="U4" s="13"/>
      <c r="V4" s="13"/>
      <c r="W4" s="129"/>
    </row>
    <row r="5" spans="2:25" ht="18.75" customHeight="1" x14ac:dyDescent="0.3">
      <c r="B5" s="126"/>
      <c r="C5" s="985" t="s">
        <v>441</v>
      </c>
      <c r="D5" s="985"/>
      <c r="E5" s="985"/>
      <c r="F5" s="985"/>
      <c r="G5" s="985"/>
      <c r="H5" s="985"/>
      <c r="I5" s="985"/>
      <c r="J5" s="985"/>
      <c r="K5" s="985"/>
      <c r="L5" s="985"/>
      <c r="M5" s="985"/>
      <c r="N5" s="985"/>
      <c r="O5" s="985"/>
      <c r="P5" s="985"/>
      <c r="Q5" s="985"/>
      <c r="R5" s="985"/>
      <c r="S5" s="985"/>
      <c r="T5" s="985"/>
      <c r="U5" s="985"/>
      <c r="V5" s="985"/>
      <c r="W5" s="129"/>
    </row>
    <row r="6" spans="2:25" ht="18" customHeight="1" x14ac:dyDescent="0.3">
      <c r="B6" s="126"/>
      <c r="C6" s="985"/>
      <c r="D6" s="985"/>
      <c r="E6" s="985"/>
      <c r="F6" s="985"/>
      <c r="G6" s="985"/>
      <c r="H6" s="985"/>
      <c r="I6" s="985"/>
      <c r="J6" s="985"/>
      <c r="K6" s="985"/>
      <c r="L6" s="985"/>
      <c r="M6" s="985"/>
      <c r="N6" s="985"/>
      <c r="O6" s="985"/>
      <c r="P6" s="985"/>
      <c r="Q6" s="985"/>
      <c r="R6" s="985"/>
      <c r="S6" s="985"/>
      <c r="T6" s="985"/>
      <c r="U6" s="985"/>
      <c r="V6" s="985"/>
      <c r="W6" s="129"/>
    </row>
    <row r="7" spans="2:25" ht="15.75" customHeight="1" x14ac:dyDescent="0.3">
      <c r="B7" s="126"/>
      <c r="C7" s="773"/>
      <c r="D7" s="773"/>
      <c r="E7" s="773"/>
      <c r="F7" s="773"/>
      <c r="G7" s="773"/>
      <c r="H7" s="992" t="s">
        <v>421</v>
      </c>
      <c r="I7" s="992"/>
      <c r="J7" s="992"/>
      <c r="K7" s="992"/>
      <c r="N7" s="992" t="s">
        <v>424</v>
      </c>
      <c r="O7" s="992"/>
      <c r="P7" s="992"/>
      <c r="Q7" s="992"/>
      <c r="R7" s="783"/>
      <c r="S7" s="992" t="s">
        <v>108</v>
      </c>
      <c r="T7" s="992"/>
      <c r="U7" s="992"/>
      <c r="V7" s="777"/>
      <c r="W7" s="129"/>
    </row>
    <row r="8" spans="2:25" ht="15.75" customHeight="1" x14ac:dyDescent="0.3">
      <c r="B8" s="126"/>
      <c r="C8" s="773"/>
      <c r="D8" s="773"/>
      <c r="E8" s="773"/>
      <c r="F8" s="773"/>
      <c r="G8" s="773"/>
      <c r="H8" s="782" t="s">
        <v>242</v>
      </c>
      <c r="I8" s="782"/>
      <c r="J8" s="780"/>
      <c r="K8" s="779" t="s">
        <v>453</v>
      </c>
      <c r="N8" s="777" t="s">
        <v>242</v>
      </c>
      <c r="O8" s="778"/>
      <c r="P8" s="778"/>
      <c r="Q8" s="779" t="s">
        <v>453</v>
      </c>
      <c r="S8" s="777" t="s">
        <v>242</v>
      </c>
      <c r="T8" s="778"/>
      <c r="U8" s="779" t="s">
        <v>453</v>
      </c>
      <c r="V8" s="777"/>
      <c r="W8" s="129"/>
    </row>
    <row r="9" spans="2:25" ht="18" customHeight="1" x14ac:dyDescent="0.3">
      <c r="B9" s="126"/>
      <c r="C9" s="794" t="s">
        <v>422</v>
      </c>
      <c r="D9" s="774"/>
      <c r="E9" s="773"/>
      <c r="F9" s="773"/>
      <c r="G9" s="773"/>
      <c r="H9" s="1171">
        <v>0.65</v>
      </c>
      <c r="I9" s="1172"/>
      <c r="J9" s="781"/>
      <c r="K9" s="837">
        <v>0.65</v>
      </c>
      <c r="N9" s="1174">
        <v>0.65</v>
      </c>
      <c r="O9" s="781"/>
      <c r="P9" s="781"/>
      <c r="Q9" s="837">
        <v>0.65</v>
      </c>
      <c r="S9" s="1174">
        <v>1</v>
      </c>
      <c r="T9" s="781"/>
      <c r="U9" s="837">
        <v>1</v>
      </c>
      <c r="V9" s="771"/>
      <c r="W9" s="129"/>
      <c r="Y9" s="50"/>
    </row>
    <row r="10" spans="2:25" ht="5.25" customHeight="1" x14ac:dyDescent="0.3">
      <c r="B10" s="126"/>
      <c r="C10" s="773"/>
      <c r="D10" s="773"/>
      <c r="E10" s="773"/>
      <c r="F10" s="773"/>
      <c r="G10" s="773"/>
      <c r="H10" s="1173"/>
      <c r="I10" s="1173"/>
      <c r="J10" s="773"/>
      <c r="K10" s="837"/>
      <c r="N10" s="1175"/>
      <c r="O10" s="773"/>
      <c r="P10" s="773"/>
      <c r="Q10" s="837"/>
      <c r="S10" s="1175"/>
      <c r="T10" s="773"/>
      <c r="U10" s="837"/>
      <c r="V10" s="771"/>
      <c r="W10" s="129"/>
    </row>
    <row r="11" spans="2:25" ht="18" customHeight="1" x14ac:dyDescent="0.3">
      <c r="B11" s="126"/>
      <c r="C11" s="794" t="s">
        <v>423</v>
      </c>
      <c r="D11" s="774"/>
      <c r="E11" s="774"/>
      <c r="F11" s="773"/>
      <c r="G11" s="773"/>
      <c r="H11" s="1171">
        <v>0.3</v>
      </c>
      <c r="I11" s="1172"/>
      <c r="J11" s="781"/>
      <c r="K11" s="837">
        <v>0.3</v>
      </c>
      <c r="N11" s="1174">
        <v>0.5</v>
      </c>
      <c r="O11" s="781"/>
      <c r="P11" s="781"/>
      <c r="Q11" s="837">
        <v>0.5</v>
      </c>
      <c r="S11" s="1174">
        <v>1</v>
      </c>
      <c r="T11" s="781"/>
      <c r="U11" s="837">
        <v>1</v>
      </c>
      <c r="V11" s="771"/>
      <c r="W11" s="129"/>
    </row>
    <row r="12" spans="2:25" ht="11.25" customHeight="1" x14ac:dyDescent="0.3">
      <c r="B12" s="126"/>
      <c r="C12" s="163"/>
      <c r="D12" s="163"/>
      <c r="E12" s="171"/>
      <c r="F12" s="423"/>
      <c r="G12" s="171"/>
      <c r="H12" s="171"/>
      <c r="I12" s="171"/>
      <c r="J12" s="101"/>
      <c r="K12" s="163"/>
      <c r="L12" s="163"/>
      <c r="M12" s="163"/>
      <c r="N12" s="171"/>
      <c r="O12" s="423"/>
      <c r="P12" s="423"/>
      <c r="Q12" s="789"/>
      <c r="R12" s="171"/>
      <c r="S12" s="101"/>
      <c r="T12" s="163"/>
      <c r="U12" s="163"/>
      <c r="V12" s="171"/>
      <c r="W12" s="129"/>
    </row>
    <row r="13" spans="2:25" ht="18" customHeight="1" x14ac:dyDescent="0.3">
      <c r="B13" s="126"/>
      <c r="C13" s="994" t="s">
        <v>425</v>
      </c>
      <c r="D13" s="994"/>
      <c r="E13" s="994"/>
      <c r="F13" s="994"/>
      <c r="G13" s="994"/>
      <c r="H13" s="994"/>
      <c r="I13" s="994"/>
      <c r="J13" s="994"/>
      <c r="K13" s="994"/>
      <c r="L13" s="994"/>
      <c r="M13" s="994"/>
      <c r="N13" s="994"/>
      <c r="O13" s="994"/>
      <c r="P13" s="994"/>
      <c r="Q13" s="994"/>
      <c r="R13" s="994"/>
      <c r="S13" s="994"/>
      <c r="T13" s="994"/>
      <c r="U13" s="994"/>
      <c r="V13" s="994"/>
      <c r="W13" s="129"/>
    </row>
    <row r="14" spans="2:25" ht="3.75" customHeight="1" x14ac:dyDescent="0.3">
      <c r="B14" s="126"/>
      <c r="C14" s="773"/>
      <c r="D14" s="773"/>
      <c r="E14" s="773"/>
      <c r="F14" s="773"/>
      <c r="G14" s="773"/>
      <c r="H14" s="773"/>
      <c r="I14" s="773"/>
      <c r="J14" s="773"/>
      <c r="K14" s="773"/>
      <c r="L14" s="773"/>
      <c r="M14" s="773"/>
      <c r="N14" s="773"/>
      <c r="O14" s="773"/>
      <c r="P14" s="773"/>
      <c r="Q14" s="773"/>
      <c r="R14" s="773"/>
      <c r="S14" s="773"/>
      <c r="T14" s="773"/>
      <c r="U14" s="773"/>
      <c r="V14" s="773"/>
      <c r="W14" s="129"/>
    </row>
    <row r="15" spans="2:25" ht="31.5" customHeight="1" x14ac:dyDescent="0.3">
      <c r="B15" s="126"/>
      <c r="C15" s="773"/>
      <c r="D15" s="773"/>
      <c r="E15" s="773"/>
      <c r="F15" s="773"/>
      <c r="G15" s="773"/>
      <c r="H15" s="790" t="s">
        <v>242</v>
      </c>
      <c r="I15" s="426"/>
      <c r="J15" s="773"/>
      <c r="K15" s="791" t="s">
        <v>238</v>
      </c>
      <c r="L15" s="427"/>
      <c r="M15" s="996" t="s">
        <v>239</v>
      </c>
      <c r="N15" s="996"/>
      <c r="O15" s="996"/>
      <c r="P15" s="786"/>
      <c r="Q15" s="995" t="s">
        <v>245</v>
      </c>
      <c r="R15" s="995"/>
      <c r="S15" s="792" t="s">
        <v>240</v>
      </c>
      <c r="T15" s="792"/>
      <c r="U15" s="793" t="s">
        <v>241</v>
      </c>
      <c r="V15" s="363"/>
      <c r="W15" s="129"/>
    </row>
    <row r="16" spans="2:25" ht="18" customHeight="1" x14ac:dyDescent="0.3">
      <c r="B16" s="126"/>
      <c r="C16" s="794" t="s">
        <v>243</v>
      </c>
      <c r="D16" s="774"/>
      <c r="E16" s="773"/>
      <c r="F16" s="773"/>
      <c r="G16" s="773"/>
      <c r="H16" s="1176">
        <v>1E-3</v>
      </c>
      <c r="I16" s="1177"/>
      <c r="J16" s="773"/>
      <c r="K16" s="432">
        <v>1.7000000000000001E-2</v>
      </c>
      <c r="L16" s="199"/>
      <c r="M16" s="993">
        <v>2.3E-2</v>
      </c>
      <c r="N16" s="993"/>
      <c r="O16" s="993"/>
      <c r="P16" s="769"/>
      <c r="Q16" s="784">
        <v>2E-3</v>
      </c>
      <c r="R16" s="13"/>
      <c r="S16" s="769">
        <v>2.1999999999999999E-2</v>
      </c>
      <c r="T16" s="769"/>
      <c r="U16" s="771">
        <v>5.0000000000000001E-4</v>
      </c>
      <c r="V16" s="78"/>
      <c r="W16" s="129"/>
    </row>
    <row r="17" spans="2:23" ht="5.25" customHeight="1" x14ac:dyDescent="0.3">
      <c r="B17" s="126"/>
      <c r="C17" s="773"/>
      <c r="D17" s="773"/>
      <c r="E17" s="773"/>
      <c r="F17" s="773"/>
      <c r="G17" s="773"/>
      <c r="H17" s="1173"/>
      <c r="I17" s="1173"/>
      <c r="J17" s="773"/>
      <c r="K17" s="432"/>
      <c r="L17" s="199"/>
      <c r="M17" s="199"/>
      <c r="N17" s="769"/>
      <c r="O17" s="769"/>
      <c r="P17" s="769"/>
      <c r="Q17" s="993"/>
      <c r="R17" s="993"/>
      <c r="S17" s="769"/>
      <c r="T17" s="769"/>
      <c r="U17" s="771"/>
      <c r="V17" s="78"/>
      <c r="W17" s="129"/>
    </row>
    <row r="18" spans="2:23" ht="18" customHeight="1" x14ac:dyDescent="0.3">
      <c r="B18" s="126"/>
      <c r="C18" s="794" t="s">
        <v>244</v>
      </c>
      <c r="D18" s="774"/>
      <c r="E18" s="774"/>
      <c r="F18" s="773"/>
      <c r="G18" s="773"/>
      <c r="H18" s="1176">
        <v>1E-3</v>
      </c>
      <c r="I18" s="1177"/>
      <c r="J18" s="773"/>
      <c r="K18" s="433">
        <v>9.2999999999999999E-2</v>
      </c>
      <c r="L18" s="428"/>
      <c r="M18" s="997">
        <v>2.5999999999999999E-2</v>
      </c>
      <c r="N18" s="997"/>
      <c r="O18" s="997"/>
      <c r="P18" s="770"/>
      <c r="Q18" s="785">
        <v>8.9999999999999993E-3</v>
      </c>
      <c r="R18" s="500"/>
      <c r="S18" s="770">
        <v>2.4E-2</v>
      </c>
      <c r="T18" s="770"/>
      <c r="U18" s="772">
        <v>1E-3</v>
      </c>
      <c r="V18" s="51"/>
      <c r="W18" s="129"/>
    </row>
    <row r="19" spans="2:23" ht="9" customHeight="1" thickBot="1" x14ac:dyDescent="0.35">
      <c r="B19" s="133"/>
      <c r="C19" s="151"/>
      <c r="D19" s="151"/>
      <c r="E19" s="134"/>
      <c r="F19" s="134"/>
      <c r="G19" s="134"/>
      <c r="H19" s="134"/>
      <c r="I19" s="134"/>
      <c r="J19" s="134"/>
      <c r="K19" s="134"/>
      <c r="L19" s="134"/>
      <c r="M19" s="134"/>
      <c r="N19" s="134"/>
      <c r="O19" s="134"/>
      <c r="P19" s="134"/>
      <c r="Q19" s="482"/>
      <c r="R19" s="134"/>
      <c r="S19" s="134"/>
      <c r="T19" s="134"/>
      <c r="U19" s="134"/>
      <c r="V19" s="134"/>
      <c r="W19" s="135"/>
    </row>
    <row r="20" spans="2:23" ht="9.75" customHeight="1" thickBot="1" x14ac:dyDescent="0.4">
      <c r="C20" s="130"/>
      <c r="D20" s="13"/>
      <c r="E20" s="13"/>
      <c r="F20" s="13"/>
      <c r="G20" s="13"/>
      <c r="H20" s="13"/>
      <c r="I20" s="13"/>
      <c r="J20" s="13"/>
      <c r="K20" s="13"/>
      <c r="L20" s="13"/>
      <c r="M20" s="13"/>
      <c r="N20" s="13"/>
      <c r="O20" s="13"/>
      <c r="P20" s="13"/>
      <c r="Q20" s="440"/>
      <c r="R20" s="13"/>
      <c r="S20" s="13"/>
      <c r="T20" s="13"/>
    </row>
    <row r="21" spans="2:23" ht="20.25" customHeight="1" thickTop="1" x14ac:dyDescent="0.3">
      <c r="C21" s="979" t="s">
        <v>113</v>
      </c>
      <c r="D21" s="980"/>
      <c r="E21" s="981"/>
      <c r="U21" s="979" t="s">
        <v>114</v>
      </c>
      <c r="V21" s="981"/>
    </row>
    <row r="22" spans="2:23" ht="20.25" customHeight="1" thickBot="1" x14ac:dyDescent="0.35">
      <c r="C22" s="982"/>
      <c r="D22" s="983"/>
      <c r="E22" s="984"/>
      <c r="U22" s="982"/>
      <c r="V22" s="984"/>
    </row>
    <row r="23" spans="2:23" ht="20.25" customHeight="1" thickTop="1" x14ac:dyDescent="0.3">
      <c r="C23" s="122"/>
      <c r="D23" s="122"/>
      <c r="E23" s="122"/>
      <c r="U23" s="122"/>
      <c r="V23" s="122"/>
    </row>
    <row r="24" spans="2:23" x14ac:dyDescent="0.3">
      <c r="B24" s="815" t="s">
        <v>21</v>
      </c>
      <c r="C24" s="921" t="s">
        <v>492</v>
      </c>
      <c r="D24" s="921"/>
      <c r="E24" s="921"/>
      <c r="F24" s="921"/>
      <c r="G24" s="921"/>
      <c r="H24" s="921"/>
      <c r="I24" s="921"/>
      <c r="J24" s="921"/>
      <c r="K24" s="921"/>
      <c r="L24" s="921"/>
      <c r="M24" s="921"/>
      <c r="N24" s="921"/>
      <c r="O24" s="921"/>
      <c r="P24" s="921"/>
      <c r="Q24" s="921"/>
      <c r="R24" s="921"/>
      <c r="S24" s="921"/>
      <c r="T24" s="921"/>
      <c r="U24" s="921"/>
      <c r="V24" s="921"/>
      <c r="W24" s="921"/>
    </row>
    <row r="25" spans="2:23" ht="18.75" customHeight="1" x14ac:dyDescent="0.3">
      <c r="B25" s="2"/>
      <c r="C25" s="921"/>
      <c r="D25" s="921"/>
      <c r="E25" s="921"/>
      <c r="F25" s="921"/>
      <c r="G25" s="921"/>
      <c r="H25" s="921"/>
      <c r="I25" s="921"/>
      <c r="J25" s="921"/>
      <c r="K25" s="921"/>
      <c r="L25" s="921"/>
      <c r="M25" s="921"/>
      <c r="N25" s="921"/>
      <c r="O25" s="921"/>
      <c r="P25" s="921"/>
      <c r="Q25" s="921"/>
      <c r="R25" s="921"/>
      <c r="S25" s="921"/>
      <c r="T25" s="921"/>
      <c r="U25" s="921"/>
      <c r="V25" s="921"/>
      <c r="W25" s="921"/>
    </row>
    <row r="26" spans="2:23" ht="15.6" customHeight="1" x14ac:dyDescent="0.3">
      <c r="B26" s="2" t="s">
        <v>446</v>
      </c>
      <c r="C26" s="921" t="s">
        <v>454</v>
      </c>
      <c r="D26" s="921"/>
      <c r="E26" s="921"/>
      <c r="F26" s="921"/>
      <c r="G26" s="921"/>
      <c r="H26" s="921"/>
      <c r="I26" s="921"/>
      <c r="J26" s="921"/>
      <c r="K26" s="921"/>
      <c r="L26" s="921"/>
      <c r="M26" s="921"/>
      <c r="N26" s="921"/>
      <c r="O26" s="921"/>
      <c r="P26" s="921"/>
      <c r="Q26" s="921"/>
      <c r="R26" s="921"/>
      <c r="S26" s="921"/>
      <c r="T26" s="921"/>
      <c r="U26" s="921"/>
      <c r="V26" s="921"/>
      <c r="W26" s="921"/>
    </row>
    <row r="27" spans="2:23" x14ac:dyDescent="0.3">
      <c r="C27" s="921"/>
      <c r="D27" s="921"/>
      <c r="E27" s="921"/>
      <c r="F27" s="921"/>
      <c r="G27" s="921"/>
      <c r="H27" s="921"/>
      <c r="I27" s="921"/>
      <c r="J27" s="921"/>
      <c r="K27" s="921"/>
      <c r="L27" s="921"/>
      <c r="M27" s="921"/>
      <c r="N27" s="921"/>
      <c r="O27" s="921"/>
      <c r="P27" s="921"/>
      <c r="Q27" s="921"/>
      <c r="R27" s="921"/>
      <c r="S27" s="921"/>
      <c r="T27" s="921"/>
      <c r="U27" s="921"/>
      <c r="V27" s="921"/>
      <c r="W27" s="921"/>
    </row>
    <row r="28" spans="2:23" x14ac:dyDescent="0.3">
      <c r="C28" s="921"/>
      <c r="D28" s="921"/>
      <c r="E28" s="921"/>
      <c r="F28" s="921"/>
      <c r="G28" s="921"/>
      <c r="H28" s="921"/>
      <c r="I28" s="921"/>
      <c r="J28" s="921"/>
      <c r="K28" s="921"/>
      <c r="L28" s="921"/>
      <c r="M28" s="921"/>
      <c r="N28" s="921"/>
      <c r="O28" s="921"/>
      <c r="P28" s="921"/>
      <c r="Q28" s="921"/>
      <c r="R28" s="921"/>
      <c r="S28" s="921"/>
      <c r="T28" s="921"/>
      <c r="U28" s="921"/>
      <c r="V28" s="921"/>
      <c r="W28" s="921"/>
    </row>
    <row r="29" spans="2:23" x14ac:dyDescent="0.3">
      <c r="C29" s="921"/>
      <c r="D29" s="921"/>
      <c r="E29" s="921"/>
      <c r="F29" s="921"/>
      <c r="G29" s="921"/>
      <c r="H29" s="921"/>
      <c r="I29" s="921"/>
      <c r="J29" s="921"/>
      <c r="K29" s="921"/>
      <c r="L29" s="921"/>
      <c r="M29" s="921"/>
      <c r="N29" s="921"/>
      <c r="O29" s="921"/>
      <c r="P29" s="921"/>
      <c r="Q29" s="921"/>
      <c r="R29" s="921"/>
      <c r="S29" s="921"/>
      <c r="T29" s="921"/>
      <c r="U29" s="921"/>
      <c r="V29" s="921"/>
      <c r="W29" s="921"/>
    </row>
    <row r="30" spans="2:23" x14ac:dyDescent="0.3">
      <c r="C30" s="921"/>
      <c r="D30" s="921"/>
      <c r="E30" s="921"/>
      <c r="F30" s="921"/>
      <c r="G30" s="921"/>
      <c r="H30" s="921"/>
      <c r="I30" s="921"/>
      <c r="J30" s="921"/>
      <c r="K30" s="921"/>
      <c r="L30" s="921"/>
      <c r="M30" s="921"/>
      <c r="N30" s="921"/>
      <c r="O30" s="921"/>
      <c r="P30" s="921"/>
      <c r="Q30" s="921"/>
      <c r="R30" s="921"/>
      <c r="S30" s="921"/>
      <c r="T30" s="921"/>
      <c r="U30" s="921"/>
      <c r="V30" s="921"/>
      <c r="W30" s="921"/>
    </row>
  </sheetData>
  <sheetProtection algorithmName="SHA-256" hashValue="H429sn4bsimmz7I2Hzv9w1YdEturI8HjNrD8FB8G4fY=" saltValue="ucdKFQLwHpCChxFppm5Hmw==" spinCount="100000" sheet="1" objects="1" scenarios="1"/>
  <mergeCells count="18">
    <mergeCell ref="C26:W30"/>
    <mergeCell ref="Q17:R17"/>
    <mergeCell ref="H18:I18"/>
    <mergeCell ref="C13:V13"/>
    <mergeCell ref="Q15:R15"/>
    <mergeCell ref="H16:I16"/>
    <mergeCell ref="U21:V22"/>
    <mergeCell ref="M15:O15"/>
    <mergeCell ref="M16:O16"/>
    <mergeCell ref="M18:O18"/>
    <mergeCell ref="C24:W25"/>
    <mergeCell ref="C5:V6"/>
    <mergeCell ref="H9:I9"/>
    <mergeCell ref="H11:I11"/>
    <mergeCell ref="H7:K7"/>
    <mergeCell ref="C21:E22"/>
    <mergeCell ref="N7:Q7"/>
    <mergeCell ref="S7:U7"/>
  </mergeCells>
  <hyperlinks>
    <hyperlink ref="C21:D22" location="HOMEPAGE!A1" display="HOMEPAGE!A1"/>
    <hyperlink ref="C21" location="'Input 1_Population'!A1" display="'Input 1_Population'!A1"/>
    <hyperlink ref="U21:V22" location="'Input 4_RSV Season'!A1" display="'Input 4_RSV Season'!A1"/>
    <hyperlink ref="C21:E22" location="'Input 2_RSV Rates'!A1" display="'Input 2_RSV Rates'!A1"/>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AH33"/>
  <sheetViews>
    <sheetView showGridLines="0" showRowColHeaders="0" zoomScale="110" zoomScaleNormal="110" workbookViewId="0">
      <selection activeCell="Q28" sqref="Q28:S29"/>
    </sheetView>
  </sheetViews>
  <sheetFormatPr defaultRowHeight="14.4" x14ac:dyDescent="0.3"/>
  <cols>
    <col min="1" max="1" width="3.109375" customWidth="1"/>
    <col min="2" max="2" width="4.33203125" customWidth="1"/>
    <col min="3" max="3" width="12.33203125" customWidth="1"/>
    <col min="4" max="4" width="1.6640625" customWidth="1"/>
    <col min="5" max="5" width="16.88671875" customWidth="1"/>
    <col min="6" max="6" width="19.88671875" customWidth="1"/>
    <col min="7" max="7" width="4.33203125" customWidth="1"/>
    <col min="8" max="8" width="10.6640625" customWidth="1"/>
    <col min="9" max="9" width="1.6640625" customWidth="1"/>
    <col min="10" max="10" width="10.6640625" customWidth="1"/>
    <col min="11" max="11" width="1.6640625" customWidth="1"/>
    <col min="12" max="13" width="7.6640625" customWidth="1"/>
    <col min="14" max="14" width="6.5546875" customWidth="1"/>
    <col min="15" max="15" width="10.6640625" customWidth="1"/>
    <col min="16" max="16" width="1.6640625" customWidth="1"/>
    <col min="17" max="17" width="10.6640625" customWidth="1"/>
    <col min="18" max="18" width="1.6640625" customWidth="1"/>
    <col min="19" max="19" width="7.6640625" customWidth="1"/>
    <col min="20" max="20" width="4.33203125" customWidth="1"/>
    <col min="22" max="22" width="11.44140625" hidden="1" customWidth="1"/>
    <col min="23" max="23" width="14" hidden="1" customWidth="1"/>
    <col min="24" max="24" width="13.44140625" style="13" hidden="1" customWidth="1"/>
    <col min="25" max="25" width="13.44140625" hidden="1" customWidth="1"/>
    <col min="26" max="26" width="11.5546875" hidden="1" customWidth="1"/>
    <col min="27" max="27" width="10.88671875" hidden="1" customWidth="1"/>
    <col min="28" max="28" width="18.109375" style="13" hidden="1" customWidth="1"/>
    <col min="29" max="29" width="13.88671875" hidden="1" customWidth="1"/>
    <col min="30" max="30" width="13.33203125" hidden="1" customWidth="1"/>
    <col min="31" max="31" width="15.44140625" hidden="1" customWidth="1"/>
    <col min="32" max="32" width="15.5546875" hidden="1" customWidth="1"/>
    <col min="33" max="33" width="13.33203125" hidden="1" customWidth="1"/>
    <col min="34" max="34" width="9.109375" customWidth="1"/>
  </cols>
  <sheetData>
    <row r="1" spans="2:34" ht="6.6" customHeight="1" thickBot="1" x14ac:dyDescent="0.35"/>
    <row r="2" spans="2:34" ht="10.199999999999999" customHeight="1" x14ac:dyDescent="0.3">
      <c r="B2" s="123"/>
      <c r="C2" s="124"/>
      <c r="D2" s="124"/>
      <c r="E2" s="124"/>
      <c r="F2" s="124"/>
      <c r="G2" s="124"/>
      <c r="H2" s="124"/>
      <c r="I2" s="124"/>
      <c r="J2" s="124"/>
      <c r="K2" s="124"/>
      <c r="L2" s="124"/>
      <c r="M2" s="124"/>
      <c r="N2" s="124"/>
      <c r="O2" s="124"/>
      <c r="P2" s="124"/>
      <c r="Q2" s="124"/>
      <c r="R2" s="124"/>
      <c r="S2" s="124"/>
      <c r="T2" s="125"/>
    </row>
    <row r="3" spans="2:34" ht="18" x14ac:dyDescent="0.35">
      <c r="B3" s="147"/>
      <c r="C3" s="148" t="s">
        <v>427</v>
      </c>
      <c r="D3" s="148"/>
      <c r="E3" s="149"/>
      <c r="F3" s="149"/>
      <c r="G3" s="149"/>
      <c r="H3" s="149"/>
      <c r="I3" s="149"/>
      <c r="J3" s="149"/>
      <c r="K3" s="149"/>
      <c r="L3" s="149"/>
      <c r="M3" s="149"/>
      <c r="N3" s="149"/>
      <c r="O3" s="149"/>
      <c r="P3" s="149"/>
      <c r="Q3" s="149"/>
      <c r="R3" s="149"/>
      <c r="S3" s="149"/>
      <c r="T3" s="150"/>
    </row>
    <row r="4" spans="2:34" ht="10.199999999999999" customHeight="1" x14ac:dyDescent="0.3">
      <c r="B4" s="126"/>
      <c r="C4" s="13"/>
      <c r="D4" s="13"/>
      <c r="E4" s="13"/>
      <c r="F4" s="13"/>
      <c r="G4" s="13"/>
      <c r="H4" s="13"/>
      <c r="I4" s="13"/>
      <c r="J4" s="13"/>
      <c r="K4" s="13"/>
      <c r="L4" s="13"/>
      <c r="M4" s="13"/>
      <c r="N4" s="13"/>
      <c r="O4" s="13"/>
      <c r="P4" s="13"/>
      <c r="Q4" s="13"/>
      <c r="R4" s="13"/>
      <c r="S4" s="13"/>
      <c r="T4" s="129"/>
    </row>
    <row r="5" spans="2:34" ht="18.75" customHeight="1" x14ac:dyDescent="0.35">
      <c r="B5" s="126"/>
      <c r="C5" s="985" t="s">
        <v>428</v>
      </c>
      <c r="D5" s="985"/>
      <c r="E5" s="985"/>
      <c r="F5" s="985"/>
      <c r="G5" s="1178" t="s">
        <v>145</v>
      </c>
      <c r="H5" s="1179"/>
      <c r="I5" s="766"/>
      <c r="J5" s="1003" t="str">
        <f>IF(E14&gt;0,"&lt;---!!!WARNING!!! Are you sure about this entry? 
In step 4.2 you input that cases occur in months prior to this one.","")</f>
        <v/>
      </c>
      <c r="K5" s="1003"/>
      <c r="L5" s="1003"/>
      <c r="M5" s="1003"/>
      <c r="N5" s="1003"/>
      <c r="O5" s="1003"/>
      <c r="P5" s="1003"/>
      <c r="Q5" s="1003"/>
      <c r="R5" s="1003"/>
      <c r="S5" s="1003"/>
      <c r="T5" s="129"/>
    </row>
    <row r="6" spans="2:34" ht="15" customHeight="1" x14ac:dyDescent="0.35">
      <c r="B6" s="126"/>
      <c r="C6" s="766"/>
      <c r="D6" s="766"/>
      <c r="E6" s="766"/>
      <c r="F6" s="766"/>
      <c r="G6" s="766"/>
      <c r="H6" s="766"/>
      <c r="I6" s="795"/>
      <c r="J6" s="1003"/>
      <c r="K6" s="1003"/>
      <c r="L6" s="1003"/>
      <c r="M6" s="1003"/>
      <c r="N6" s="1003"/>
      <c r="O6" s="1003"/>
      <c r="P6" s="1003"/>
      <c r="Q6" s="1003"/>
      <c r="R6" s="1003"/>
      <c r="S6" s="1003"/>
      <c r="T6" s="129"/>
    </row>
    <row r="7" spans="2:34" ht="30.75" customHeight="1" x14ac:dyDescent="0.3">
      <c r="B7" s="126"/>
      <c r="C7" s="998" t="s">
        <v>418</v>
      </c>
      <c r="D7" s="999"/>
      <c r="E7" s="999"/>
      <c r="F7" s="999"/>
      <c r="G7" s="999"/>
      <c r="H7" s="999"/>
      <c r="I7" s="999"/>
      <c r="J7" s="999"/>
      <c r="K7" s="999"/>
      <c r="L7" s="999"/>
      <c r="M7" s="999"/>
      <c r="N7" s="999"/>
      <c r="O7" s="999"/>
      <c r="P7" s="999"/>
      <c r="Q7" s="999"/>
      <c r="R7" s="999"/>
      <c r="S7" s="999"/>
      <c r="T7" s="129"/>
    </row>
    <row r="8" spans="2:34" ht="8.4" customHeight="1" x14ac:dyDescent="0.35">
      <c r="B8" s="126"/>
      <c r="C8" s="259"/>
      <c r="D8" s="259"/>
      <c r="E8" s="259"/>
      <c r="F8" s="259"/>
      <c r="G8" s="259"/>
      <c r="H8" s="259"/>
      <c r="I8" s="259"/>
      <c r="J8" s="259"/>
      <c r="K8" s="259"/>
      <c r="L8" s="259"/>
      <c r="M8" s="259"/>
      <c r="N8" s="259"/>
      <c r="O8" s="259"/>
      <c r="P8" s="259"/>
      <c r="Q8" s="259"/>
      <c r="R8" s="259"/>
      <c r="S8" s="259"/>
      <c r="T8" s="129"/>
    </row>
    <row r="9" spans="2:34" ht="18.75" customHeight="1" x14ac:dyDescent="0.3">
      <c r="B9" s="126"/>
      <c r="C9" s="985" t="s">
        <v>437</v>
      </c>
      <c r="D9" s="985"/>
      <c r="E9" s="985"/>
      <c r="F9" s="985"/>
      <c r="G9" s="985"/>
      <c r="H9" s="985"/>
      <c r="I9" s="985"/>
      <c r="J9" s="985"/>
      <c r="K9" s="985"/>
      <c r="L9" s="985"/>
      <c r="M9" s="985"/>
      <c r="N9" s="985"/>
      <c r="O9" s="985"/>
      <c r="P9" s="985"/>
      <c r="Q9" s="985"/>
      <c r="R9" s="985"/>
      <c r="S9" s="985"/>
      <c r="T9" s="129"/>
    </row>
    <row r="10" spans="2:34" ht="20.25" customHeight="1" x14ac:dyDescent="0.3">
      <c r="B10" s="126"/>
      <c r="C10" s="985"/>
      <c r="D10" s="985"/>
      <c r="E10" s="985"/>
      <c r="F10" s="985"/>
      <c r="G10" s="985"/>
      <c r="H10" s="985"/>
      <c r="I10" s="985"/>
      <c r="J10" s="985"/>
      <c r="K10" s="985"/>
      <c r="L10" s="985"/>
      <c r="M10" s="985"/>
      <c r="N10" s="985"/>
      <c r="O10" s="985"/>
      <c r="P10" s="985"/>
      <c r="Q10" s="985"/>
      <c r="R10" s="985"/>
      <c r="S10" s="985"/>
      <c r="T10" s="129"/>
      <c r="V10" s="1" t="s">
        <v>152</v>
      </c>
      <c r="W10" s="1" t="s">
        <v>150</v>
      </c>
      <c r="X10" s="230" t="s">
        <v>153</v>
      </c>
      <c r="Y10" s="1" t="s">
        <v>148</v>
      </c>
      <c r="Z10" s="1" t="s">
        <v>149</v>
      </c>
      <c r="AA10" s="1" t="s">
        <v>151</v>
      </c>
    </row>
    <row r="11" spans="2:34" ht="25.5" customHeight="1" x14ac:dyDescent="0.3">
      <c r="B11" s="126"/>
      <c r="C11" s="1000" t="s">
        <v>130</v>
      </c>
      <c r="D11" s="13"/>
      <c r="E11" s="1000" t="s">
        <v>132</v>
      </c>
      <c r="F11" s="261" t="s">
        <v>133</v>
      </c>
      <c r="G11" s="13"/>
      <c r="H11" s="13"/>
      <c r="I11" s="13"/>
      <c r="J11" s="13"/>
      <c r="K11" s="13"/>
      <c r="L11" s="13"/>
      <c r="M11" s="13"/>
      <c r="N11" s="13"/>
      <c r="O11" s="13"/>
      <c r="P11" s="13"/>
      <c r="Q11" s="13"/>
      <c r="R11" s="13"/>
      <c r="S11" s="13"/>
      <c r="T11" s="129"/>
      <c r="AA11" t="str">
        <f>LOOKUP(AA12,$W$13:$W$24,$Y$13:$Y$24)</f>
        <v>August</v>
      </c>
    </row>
    <row r="12" spans="2:34" ht="13.5" customHeight="1" x14ac:dyDescent="0.3">
      <c r="B12" s="126"/>
      <c r="C12" s="1001"/>
      <c r="D12" s="262"/>
      <c r="E12" s="1001"/>
      <c r="F12" s="262" t="s">
        <v>134</v>
      </c>
      <c r="G12" s="13"/>
      <c r="H12" s="261"/>
      <c r="I12" s="261"/>
      <c r="J12" s="260"/>
      <c r="K12" s="261"/>
      <c r="L12" s="1002"/>
      <c r="M12" s="1002"/>
      <c r="N12" s="101"/>
      <c r="O12" s="261"/>
      <c r="P12" s="261"/>
      <c r="Q12" s="260"/>
      <c r="R12" s="261"/>
      <c r="S12" s="260"/>
      <c r="T12" s="129"/>
      <c r="AA12" t="str">
        <f>LOOKUP(AA13,$W$13:$W$24,$Y$13:$Y$24)</f>
        <v>September</v>
      </c>
      <c r="AB12" s="261" t="s">
        <v>131</v>
      </c>
      <c r="AC12" s="263" t="s">
        <v>409</v>
      </c>
      <c r="AD12" s="263" t="s">
        <v>410</v>
      </c>
      <c r="AE12" t="s">
        <v>154</v>
      </c>
      <c r="AF12" t="s">
        <v>155</v>
      </c>
      <c r="AG12" s="263" t="s">
        <v>419</v>
      </c>
    </row>
    <row r="13" spans="2:34" ht="15.6" x14ac:dyDescent="0.3">
      <c r="B13" s="126"/>
      <c r="C13" s="257" t="str">
        <f>AA11</f>
        <v>August</v>
      </c>
      <c r="D13" s="142"/>
      <c r="E13" s="1180">
        <v>0</v>
      </c>
      <c r="F13" s="167">
        <f>LOOKUP(C13,$W$13:$W$24,$X$13:$X$24)</f>
        <v>0</v>
      </c>
      <c r="G13" s="13"/>
      <c r="H13" s="163"/>
      <c r="I13" s="163"/>
      <c r="J13" s="164"/>
      <c r="K13" s="164"/>
      <c r="L13" s="164"/>
      <c r="M13" s="164"/>
      <c r="N13" s="101"/>
      <c r="O13" s="163"/>
      <c r="P13" s="163"/>
      <c r="Q13" s="164"/>
      <c r="R13" s="164"/>
      <c r="S13" s="164"/>
      <c r="T13" s="129"/>
      <c r="V13" t="s">
        <v>136</v>
      </c>
      <c r="W13" t="s">
        <v>139</v>
      </c>
      <c r="X13" s="269">
        <v>0</v>
      </c>
      <c r="Y13" t="s">
        <v>138</v>
      </c>
      <c r="Z13" t="s">
        <v>140</v>
      </c>
      <c r="AA13" s="267" t="str">
        <f>G5</f>
        <v>October</v>
      </c>
      <c r="AB13" s="269">
        <f t="shared" ref="AB13:AB24" si="0">F13+0.01</f>
        <v>0.01</v>
      </c>
      <c r="AC13" s="60" t="str">
        <f t="shared" ref="AC13:AC24" si="1">IF(C13=$G$5,1," ")</f>
        <v xml:space="preserve"> </v>
      </c>
      <c r="AD13" s="60" t="str">
        <f>IF(C13=$P$5,1," ")</f>
        <v xml:space="preserve"> </v>
      </c>
      <c r="AE13" s="270">
        <f>IF(AC13=1,1,0)</f>
        <v>0</v>
      </c>
      <c r="AF13" s="270">
        <f>IF(AD13=1,1,0)</f>
        <v>0</v>
      </c>
      <c r="AG13" s="60">
        <f t="shared" ref="AG13:AG24" si="2">IF(AND(AE13=1,AF13=0),1,0)</f>
        <v>0</v>
      </c>
      <c r="AH13" s="267" t="str">
        <f>IF(AD13=1,C13,"")</f>
        <v/>
      </c>
    </row>
    <row r="14" spans="2:34" ht="15.6" x14ac:dyDescent="0.3">
      <c r="B14" s="126"/>
      <c r="C14" s="257" t="str">
        <f t="shared" ref="C14:C24" si="3">AA12</f>
        <v>September</v>
      </c>
      <c r="D14" s="144"/>
      <c r="E14" s="1181">
        <v>0</v>
      </c>
      <c r="F14" s="167">
        <f t="shared" ref="F14:F24" si="4">LOOKUP(C14,$W$13:$W$24,$X$13:$X$24)</f>
        <v>0</v>
      </c>
      <c r="G14" s="13"/>
      <c r="H14" s="163"/>
      <c r="I14" s="163"/>
      <c r="J14" s="164"/>
      <c r="K14" s="164"/>
      <c r="L14" s="164"/>
      <c r="M14" s="164"/>
      <c r="N14" s="101"/>
      <c r="O14" s="163"/>
      <c r="P14" s="163"/>
      <c r="Q14" s="164"/>
      <c r="R14" s="164"/>
      <c r="S14" s="164"/>
      <c r="T14" s="129"/>
      <c r="V14" t="s">
        <v>137</v>
      </c>
      <c r="W14" t="s">
        <v>143</v>
      </c>
      <c r="X14" s="269">
        <v>0</v>
      </c>
      <c r="Y14" t="s">
        <v>142</v>
      </c>
      <c r="Z14" t="s">
        <v>144</v>
      </c>
      <c r="AA14" t="str">
        <f>LOOKUP(AA13,$W$13:$W$24,$Z$13:$Z$24)</f>
        <v>November</v>
      </c>
      <c r="AB14" s="269">
        <f t="shared" si="0"/>
        <v>0.01</v>
      </c>
      <c r="AC14" s="60" t="str">
        <f t="shared" si="1"/>
        <v xml:space="preserve"> </v>
      </c>
      <c r="AD14" s="60" t="str">
        <f t="shared" ref="AD14" si="5">IF(C14=$P$5,1," ")</f>
        <v xml:space="preserve"> </v>
      </c>
      <c r="AE14" s="268">
        <f t="shared" ref="AE14:AE24" si="6">IF(AC14=1,1,IF(AE13&gt;0,AE13*1,0))</f>
        <v>0</v>
      </c>
      <c r="AF14" s="268">
        <f t="shared" ref="AF14:AF24" si="7">IF(AD13=1,1,IF(AF13&gt;0,AF13*1,0))</f>
        <v>0</v>
      </c>
      <c r="AG14" s="60">
        <f t="shared" si="2"/>
        <v>0</v>
      </c>
      <c r="AH14" s="267" t="str">
        <f t="shared" ref="AH14:AH24" si="8">IF(AD14=1,C14,"")</f>
        <v/>
      </c>
    </row>
    <row r="15" spans="2:34" ht="15.6" x14ac:dyDescent="0.3">
      <c r="B15" s="126"/>
      <c r="C15" s="257" t="str">
        <f t="shared" si="3"/>
        <v>October</v>
      </c>
      <c r="D15" s="144"/>
      <c r="E15" s="1181">
        <v>7.9000000000000001E-2</v>
      </c>
      <c r="F15" s="167">
        <f t="shared" si="4"/>
        <v>7.9000000000000001E-2</v>
      </c>
      <c r="G15" s="13"/>
      <c r="H15" s="163"/>
      <c r="I15" s="163"/>
      <c r="J15" s="164"/>
      <c r="K15" s="164"/>
      <c r="L15" s="164"/>
      <c r="M15" s="164"/>
      <c r="N15" s="101"/>
      <c r="O15" s="163"/>
      <c r="P15" s="163"/>
      <c r="Q15" s="164"/>
      <c r="R15" s="164"/>
      <c r="S15" s="164"/>
      <c r="T15" s="129"/>
      <c r="V15" t="s">
        <v>138</v>
      </c>
      <c r="W15" t="s">
        <v>147</v>
      </c>
      <c r="X15" s="269">
        <v>0.32600000000000001</v>
      </c>
      <c r="Y15" t="s">
        <v>146</v>
      </c>
      <c r="Z15" t="s">
        <v>136</v>
      </c>
      <c r="AA15" t="str">
        <f t="shared" ref="AA15:AA24" si="9">LOOKUP(AA14,$W$13:$W$24,$Z$13:$Z$24)</f>
        <v>December</v>
      </c>
      <c r="AB15" s="269">
        <f t="shared" si="0"/>
        <v>8.8999999999999996E-2</v>
      </c>
      <c r="AC15" s="60">
        <f t="shared" si="1"/>
        <v>1</v>
      </c>
      <c r="AD15" s="60" t="str">
        <f>IF(AND(E15&gt;0,E16=0),1,"")</f>
        <v/>
      </c>
      <c r="AE15" s="268">
        <f t="shared" si="6"/>
        <v>1</v>
      </c>
      <c r="AF15" s="268">
        <f t="shared" si="7"/>
        <v>0</v>
      </c>
      <c r="AG15" s="60">
        <f t="shared" si="2"/>
        <v>1</v>
      </c>
      <c r="AH15" s="267" t="str">
        <f t="shared" si="8"/>
        <v/>
      </c>
    </row>
    <row r="16" spans="2:34" ht="15.6" x14ac:dyDescent="0.3">
      <c r="B16" s="126"/>
      <c r="C16" s="257" t="str">
        <f t="shared" si="3"/>
        <v>November</v>
      </c>
      <c r="D16" s="144"/>
      <c r="E16" s="1181">
        <v>0.22899999999999998</v>
      </c>
      <c r="F16" s="167">
        <f t="shared" si="4"/>
        <v>0.22899999999999998</v>
      </c>
      <c r="G16" s="13"/>
      <c r="H16" s="163"/>
      <c r="I16" s="163"/>
      <c r="J16" s="164"/>
      <c r="K16" s="164"/>
      <c r="L16" s="164"/>
      <c r="M16" s="164"/>
      <c r="N16" s="101"/>
      <c r="O16" s="163"/>
      <c r="P16" s="163"/>
      <c r="Q16" s="164"/>
      <c r="R16" s="164"/>
      <c r="S16" s="164"/>
      <c r="T16" s="129"/>
      <c r="V16" t="s">
        <v>139</v>
      </c>
      <c r="W16" t="s">
        <v>137</v>
      </c>
      <c r="X16" s="269">
        <v>0.11700000000000001</v>
      </c>
      <c r="Y16" t="s">
        <v>136</v>
      </c>
      <c r="Z16" t="s">
        <v>138</v>
      </c>
      <c r="AA16" t="str">
        <f t="shared" si="9"/>
        <v>January</v>
      </c>
      <c r="AB16" s="269">
        <f t="shared" si="0"/>
        <v>0.23899999999999999</v>
      </c>
      <c r="AC16" s="60" t="str">
        <f t="shared" si="1"/>
        <v xml:space="preserve"> </v>
      </c>
      <c r="AD16" s="60" t="str">
        <f t="shared" ref="AD16:AD24" si="10">IF(AND(E16&gt;0,E17=0),1,"")</f>
        <v/>
      </c>
      <c r="AE16" s="268">
        <f t="shared" si="6"/>
        <v>1</v>
      </c>
      <c r="AF16" s="268">
        <f t="shared" si="7"/>
        <v>0</v>
      </c>
      <c r="AG16" s="60">
        <f t="shared" si="2"/>
        <v>1</v>
      </c>
      <c r="AH16" s="267" t="str">
        <f t="shared" si="8"/>
        <v/>
      </c>
    </row>
    <row r="17" spans="2:34" ht="15.6" x14ac:dyDescent="0.3">
      <c r="B17" s="126"/>
      <c r="C17" s="257" t="str">
        <f t="shared" si="3"/>
        <v>December</v>
      </c>
      <c r="D17" s="144"/>
      <c r="E17" s="1181">
        <v>0.32600000000000001</v>
      </c>
      <c r="F17" s="167">
        <f t="shared" si="4"/>
        <v>0.32600000000000001</v>
      </c>
      <c r="G17" s="13"/>
      <c r="H17" s="163"/>
      <c r="I17" s="163"/>
      <c r="J17" s="164"/>
      <c r="K17" s="164"/>
      <c r="L17" s="164"/>
      <c r="M17" s="164"/>
      <c r="N17" s="101"/>
      <c r="O17" s="163"/>
      <c r="P17" s="163"/>
      <c r="Q17" s="164"/>
      <c r="R17" s="164"/>
      <c r="S17" s="164"/>
      <c r="T17" s="129"/>
      <c r="V17" t="s">
        <v>140</v>
      </c>
      <c r="W17" t="s">
        <v>136</v>
      </c>
      <c r="X17" s="269">
        <v>0.218</v>
      </c>
      <c r="Y17" t="s">
        <v>147</v>
      </c>
      <c r="Z17" t="s">
        <v>137</v>
      </c>
      <c r="AA17" t="str">
        <f t="shared" si="9"/>
        <v>February</v>
      </c>
      <c r="AB17" s="269">
        <f t="shared" si="0"/>
        <v>0.33600000000000002</v>
      </c>
      <c r="AC17" s="60" t="str">
        <f t="shared" si="1"/>
        <v xml:space="preserve"> </v>
      </c>
      <c r="AD17" s="60" t="str">
        <f t="shared" si="10"/>
        <v/>
      </c>
      <c r="AE17" s="268">
        <f t="shared" si="6"/>
        <v>1</v>
      </c>
      <c r="AF17" s="268">
        <f t="shared" si="7"/>
        <v>0</v>
      </c>
      <c r="AG17" s="60">
        <f t="shared" si="2"/>
        <v>1</v>
      </c>
      <c r="AH17" s="267" t="str">
        <f t="shared" si="8"/>
        <v/>
      </c>
    </row>
    <row r="18" spans="2:34" ht="15.6" x14ac:dyDescent="0.3">
      <c r="B18" s="126"/>
      <c r="C18" s="257" t="str">
        <f t="shared" si="3"/>
        <v>January</v>
      </c>
      <c r="D18" s="144"/>
      <c r="E18" s="1181">
        <v>0.218</v>
      </c>
      <c r="F18" s="167">
        <f t="shared" si="4"/>
        <v>0.218</v>
      </c>
      <c r="G18" s="13"/>
      <c r="H18" s="163"/>
      <c r="I18" s="163"/>
      <c r="J18" s="164"/>
      <c r="K18" s="164"/>
      <c r="L18" s="164"/>
      <c r="M18" s="164"/>
      <c r="N18" s="101"/>
      <c r="O18" s="163"/>
      <c r="P18" s="163"/>
      <c r="Q18" s="164"/>
      <c r="R18" s="164"/>
      <c r="S18" s="164"/>
      <c r="T18" s="129"/>
      <c r="V18" t="s">
        <v>141</v>
      </c>
      <c r="W18" t="s">
        <v>142</v>
      </c>
      <c r="X18" s="269">
        <v>0</v>
      </c>
      <c r="Y18" t="s">
        <v>141</v>
      </c>
      <c r="Z18" t="s">
        <v>143</v>
      </c>
      <c r="AA18" t="str">
        <f t="shared" si="9"/>
        <v>March</v>
      </c>
      <c r="AB18" s="269">
        <f t="shared" si="0"/>
        <v>0.22800000000000001</v>
      </c>
      <c r="AC18" s="60" t="str">
        <f t="shared" si="1"/>
        <v xml:space="preserve"> </v>
      </c>
      <c r="AD18" s="60" t="str">
        <f t="shared" si="10"/>
        <v/>
      </c>
      <c r="AE18" s="268">
        <f t="shared" si="6"/>
        <v>1</v>
      </c>
      <c r="AF18" s="268">
        <f t="shared" si="7"/>
        <v>0</v>
      </c>
      <c r="AG18" s="60">
        <f t="shared" si="2"/>
        <v>1</v>
      </c>
      <c r="AH18" s="267" t="str">
        <f t="shared" si="8"/>
        <v/>
      </c>
    </row>
    <row r="19" spans="2:34" ht="15.6" x14ac:dyDescent="0.3">
      <c r="B19" s="126"/>
      <c r="C19" s="257" t="str">
        <f t="shared" si="3"/>
        <v>February</v>
      </c>
      <c r="D19" s="144"/>
      <c r="E19" s="1181">
        <v>0.11700000000000001</v>
      </c>
      <c r="F19" s="167">
        <f t="shared" si="4"/>
        <v>0.11700000000000001</v>
      </c>
      <c r="G19" s="13"/>
      <c r="H19" s="163"/>
      <c r="I19" s="163"/>
      <c r="J19" s="164"/>
      <c r="K19" s="165"/>
      <c r="L19" s="164"/>
      <c r="M19" s="164"/>
      <c r="N19" s="101"/>
      <c r="O19" s="163"/>
      <c r="P19" s="163"/>
      <c r="Q19" s="164"/>
      <c r="R19" s="165"/>
      <c r="S19" s="164"/>
      <c r="T19" s="129"/>
      <c r="V19" t="s">
        <v>142</v>
      </c>
      <c r="W19" t="s">
        <v>141</v>
      </c>
      <c r="X19" s="269">
        <v>0</v>
      </c>
      <c r="Y19" t="s">
        <v>140</v>
      </c>
      <c r="Z19" t="s">
        <v>142</v>
      </c>
      <c r="AA19" t="str">
        <f t="shared" si="9"/>
        <v>April</v>
      </c>
      <c r="AB19" s="269">
        <f t="shared" si="0"/>
        <v>0.127</v>
      </c>
      <c r="AC19" s="60" t="str">
        <f t="shared" si="1"/>
        <v xml:space="preserve"> </v>
      </c>
      <c r="AD19" s="60" t="str">
        <f t="shared" si="10"/>
        <v/>
      </c>
      <c r="AE19" s="268">
        <f t="shared" si="6"/>
        <v>1</v>
      </c>
      <c r="AF19" s="268">
        <f t="shared" si="7"/>
        <v>0</v>
      </c>
      <c r="AG19" s="60">
        <f t="shared" si="2"/>
        <v>1</v>
      </c>
      <c r="AH19" s="267" t="str">
        <f t="shared" si="8"/>
        <v/>
      </c>
    </row>
    <row r="20" spans="2:34" ht="15.6" x14ac:dyDescent="0.3">
      <c r="B20" s="126"/>
      <c r="C20" s="257" t="str">
        <f t="shared" si="3"/>
        <v>March</v>
      </c>
      <c r="D20" s="144"/>
      <c r="E20" s="1181">
        <v>3.1E-2</v>
      </c>
      <c r="F20" s="167">
        <f t="shared" si="4"/>
        <v>3.1E-2</v>
      </c>
      <c r="G20" s="13"/>
      <c r="H20" s="163"/>
      <c r="I20" s="163"/>
      <c r="J20" s="164"/>
      <c r="K20" s="165"/>
      <c r="L20" s="164"/>
      <c r="M20" s="164"/>
      <c r="N20" s="101"/>
      <c r="O20" s="163"/>
      <c r="P20" s="163"/>
      <c r="Q20" s="164"/>
      <c r="R20" s="165"/>
      <c r="S20" s="164"/>
      <c r="T20" s="129"/>
      <c r="V20" t="s">
        <v>143</v>
      </c>
      <c r="W20" t="s">
        <v>138</v>
      </c>
      <c r="X20" s="269">
        <v>3.1E-2</v>
      </c>
      <c r="Y20" t="s">
        <v>137</v>
      </c>
      <c r="Z20" t="s">
        <v>139</v>
      </c>
      <c r="AA20" t="str">
        <f t="shared" si="9"/>
        <v>May</v>
      </c>
      <c r="AB20" s="269">
        <f t="shared" si="0"/>
        <v>4.1000000000000002E-2</v>
      </c>
      <c r="AC20" s="60" t="str">
        <f t="shared" si="1"/>
        <v xml:space="preserve"> </v>
      </c>
      <c r="AD20" s="60">
        <f t="shared" si="10"/>
        <v>1</v>
      </c>
      <c r="AE20" s="268">
        <f t="shared" si="6"/>
        <v>1</v>
      </c>
      <c r="AF20" s="268">
        <f t="shared" si="7"/>
        <v>0</v>
      </c>
      <c r="AG20" s="60">
        <f t="shared" si="2"/>
        <v>1</v>
      </c>
      <c r="AH20" s="267"/>
    </row>
    <row r="21" spans="2:34" ht="15.6" x14ac:dyDescent="0.3">
      <c r="B21" s="126"/>
      <c r="C21" s="257" t="str">
        <f t="shared" si="3"/>
        <v>April</v>
      </c>
      <c r="D21" s="144"/>
      <c r="E21" s="1181">
        <v>0</v>
      </c>
      <c r="F21" s="167">
        <f t="shared" si="4"/>
        <v>0</v>
      </c>
      <c r="G21" s="13"/>
      <c r="H21" s="163"/>
      <c r="I21" s="163"/>
      <c r="J21" s="164"/>
      <c r="K21" s="165"/>
      <c r="L21" s="164"/>
      <c r="M21" s="164"/>
      <c r="N21" s="101"/>
      <c r="O21" s="163"/>
      <c r="P21" s="163"/>
      <c r="Q21" s="164"/>
      <c r="R21" s="165"/>
      <c r="S21" s="164"/>
      <c r="T21" s="129"/>
      <c r="V21" t="s">
        <v>144</v>
      </c>
      <c r="W21" t="s">
        <v>140</v>
      </c>
      <c r="X21" s="269">
        <v>0</v>
      </c>
      <c r="Y21" t="s">
        <v>139</v>
      </c>
      <c r="Z21" t="s">
        <v>141</v>
      </c>
      <c r="AA21" t="str">
        <f t="shared" si="9"/>
        <v>June</v>
      </c>
      <c r="AB21" s="269">
        <f t="shared" si="0"/>
        <v>0.01</v>
      </c>
      <c r="AC21" s="60" t="str">
        <f t="shared" si="1"/>
        <v xml:space="preserve"> </v>
      </c>
      <c r="AD21" s="60" t="str">
        <f t="shared" si="10"/>
        <v/>
      </c>
      <c r="AE21" s="268">
        <f t="shared" si="6"/>
        <v>1</v>
      </c>
      <c r="AF21" s="268">
        <f t="shared" si="7"/>
        <v>1</v>
      </c>
      <c r="AG21" s="60">
        <f t="shared" si="2"/>
        <v>0</v>
      </c>
      <c r="AH21" s="267" t="str">
        <f t="shared" si="8"/>
        <v/>
      </c>
    </row>
    <row r="22" spans="2:34" ht="15.6" x14ac:dyDescent="0.3">
      <c r="B22" s="126"/>
      <c r="C22" s="257" t="str">
        <f t="shared" si="3"/>
        <v>May</v>
      </c>
      <c r="D22" s="144"/>
      <c r="E22" s="1181">
        <v>0</v>
      </c>
      <c r="F22" s="167">
        <f t="shared" si="4"/>
        <v>0</v>
      </c>
      <c r="G22" s="13"/>
      <c r="H22" s="163"/>
      <c r="I22" s="163"/>
      <c r="J22" s="164"/>
      <c r="K22" s="165"/>
      <c r="L22" s="164"/>
      <c r="M22" s="164"/>
      <c r="N22" s="101"/>
      <c r="O22" s="163"/>
      <c r="P22" s="163"/>
      <c r="Q22" s="164"/>
      <c r="R22" s="165"/>
      <c r="S22" s="164"/>
      <c r="T22" s="129"/>
      <c r="V22" t="s">
        <v>145</v>
      </c>
      <c r="W22" t="s">
        <v>146</v>
      </c>
      <c r="X22" s="269">
        <v>0.22899999999999998</v>
      </c>
      <c r="Y22" t="s">
        <v>145</v>
      </c>
      <c r="Z22" t="s">
        <v>147</v>
      </c>
      <c r="AA22" t="str">
        <f t="shared" si="9"/>
        <v>July</v>
      </c>
      <c r="AB22" s="269">
        <f t="shared" si="0"/>
        <v>0.01</v>
      </c>
      <c r="AC22" s="60" t="str">
        <f t="shared" si="1"/>
        <v xml:space="preserve"> </v>
      </c>
      <c r="AD22" s="60" t="str">
        <f t="shared" si="10"/>
        <v/>
      </c>
      <c r="AE22" s="268">
        <f t="shared" si="6"/>
        <v>1</v>
      </c>
      <c r="AF22" s="268">
        <f t="shared" si="7"/>
        <v>1</v>
      </c>
      <c r="AG22" s="60">
        <f t="shared" si="2"/>
        <v>0</v>
      </c>
      <c r="AH22" s="267" t="str">
        <f t="shared" si="8"/>
        <v/>
      </c>
    </row>
    <row r="23" spans="2:34" ht="15.6" x14ac:dyDescent="0.3">
      <c r="B23" s="126"/>
      <c r="C23" s="257" t="str">
        <f t="shared" si="3"/>
        <v>June</v>
      </c>
      <c r="D23" s="144"/>
      <c r="E23" s="1181">
        <v>0</v>
      </c>
      <c r="F23" s="167">
        <f t="shared" si="4"/>
        <v>0</v>
      </c>
      <c r="G23" s="13"/>
      <c r="H23" s="163"/>
      <c r="I23" s="163"/>
      <c r="J23" s="164"/>
      <c r="K23" s="165"/>
      <c r="L23" s="164"/>
      <c r="M23" s="164"/>
      <c r="N23" s="101"/>
      <c r="O23" s="163"/>
      <c r="P23" s="163"/>
      <c r="Q23" s="164"/>
      <c r="R23" s="165"/>
      <c r="S23" s="164"/>
      <c r="T23" s="129"/>
      <c r="V23" t="s">
        <v>146</v>
      </c>
      <c r="W23" t="s">
        <v>145</v>
      </c>
      <c r="X23" s="269">
        <v>7.9000000000000001E-2</v>
      </c>
      <c r="Y23" t="s">
        <v>144</v>
      </c>
      <c r="Z23" t="s">
        <v>146</v>
      </c>
      <c r="AA23" t="str">
        <f t="shared" si="9"/>
        <v>August</v>
      </c>
      <c r="AB23" s="269">
        <f t="shared" si="0"/>
        <v>0.01</v>
      </c>
      <c r="AC23" s="60" t="str">
        <f t="shared" si="1"/>
        <v xml:space="preserve"> </v>
      </c>
      <c r="AD23" s="60" t="str">
        <f t="shared" si="10"/>
        <v/>
      </c>
      <c r="AE23" s="268">
        <f t="shared" si="6"/>
        <v>1</v>
      </c>
      <c r="AF23" s="268">
        <f t="shared" si="7"/>
        <v>1</v>
      </c>
      <c r="AG23" s="60">
        <f t="shared" si="2"/>
        <v>0</v>
      </c>
      <c r="AH23" s="267" t="str">
        <f t="shared" si="8"/>
        <v/>
      </c>
    </row>
    <row r="24" spans="2:34" ht="15.6" x14ac:dyDescent="0.3">
      <c r="B24" s="126"/>
      <c r="C24" s="258" t="str">
        <f t="shared" si="3"/>
        <v>July</v>
      </c>
      <c r="D24" s="166"/>
      <c r="E24" s="1181">
        <v>0</v>
      </c>
      <c r="F24" s="168">
        <f t="shared" si="4"/>
        <v>0</v>
      </c>
      <c r="G24" s="13"/>
      <c r="H24" s="163"/>
      <c r="I24" s="163"/>
      <c r="J24" s="164"/>
      <c r="K24" s="165"/>
      <c r="L24" s="164"/>
      <c r="M24" s="164"/>
      <c r="N24" s="101"/>
      <c r="O24" s="163"/>
      <c r="P24" s="163"/>
      <c r="Q24" s="164"/>
      <c r="R24" s="165"/>
      <c r="S24" s="164"/>
      <c r="T24" s="129"/>
      <c r="V24" t="s">
        <v>147</v>
      </c>
      <c r="W24" t="s">
        <v>144</v>
      </c>
      <c r="X24" s="269">
        <v>0</v>
      </c>
      <c r="Y24" t="s">
        <v>143</v>
      </c>
      <c r="Z24" t="s">
        <v>145</v>
      </c>
      <c r="AA24" t="str">
        <f t="shared" si="9"/>
        <v>September</v>
      </c>
      <c r="AB24" s="269">
        <f t="shared" si="0"/>
        <v>0.01</v>
      </c>
      <c r="AC24" s="60" t="str">
        <f t="shared" si="1"/>
        <v xml:space="preserve"> </v>
      </c>
      <c r="AD24" s="60" t="str">
        <f t="shared" si="10"/>
        <v/>
      </c>
      <c r="AE24" s="268">
        <f t="shared" si="6"/>
        <v>1</v>
      </c>
      <c r="AF24" s="268">
        <f t="shared" si="7"/>
        <v>1</v>
      </c>
      <c r="AG24" s="60">
        <f t="shared" si="2"/>
        <v>0</v>
      </c>
      <c r="AH24" s="267" t="str">
        <f t="shared" si="8"/>
        <v/>
      </c>
    </row>
    <row r="25" spans="2:34" ht="16.2" thickBot="1" x14ac:dyDescent="0.35">
      <c r="B25" s="1007" t="str">
        <f>IF(E25=1," ","!!! WARNING !!!
SUM TO 100%")</f>
        <v xml:space="preserve"> </v>
      </c>
      <c r="C25" s="1008"/>
      <c r="D25" s="1008"/>
      <c r="E25" s="169">
        <f>SUM(E13:E24)</f>
        <v>1</v>
      </c>
      <c r="F25" s="269">
        <f>SUM(F13:F24)</f>
        <v>1</v>
      </c>
      <c r="G25" s="13"/>
      <c r="H25" s="163"/>
      <c r="I25" s="163"/>
      <c r="J25" s="164"/>
      <c r="K25" s="165"/>
      <c r="L25" s="164"/>
      <c r="M25" s="164"/>
      <c r="N25" s="101"/>
      <c r="O25" s="163"/>
      <c r="P25" s="163"/>
      <c r="Q25" s="164"/>
      <c r="R25" s="165"/>
      <c r="S25" s="164"/>
      <c r="T25" s="129"/>
      <c r="X25" s="269"/>
      <c r="AD25" s="60" t="str">
        <f>LOOKUP(1,AD13:AD24,C13:C24)</f>
        <v>March</v>
      </c>
      <c r="AH25" s="267"/>
    </row>
    <row r="26" spans="2:34" ht="15" thickBot="1" x14ac:dyDescent="0.35">
      <c r="B26" s="1009"/>
      <c r="C26" s="1010"/>
      <c r="D26" s="1010"/>
      <c r="E26" s="134"/>
      <c r="F26" s="134"/>
      <c r="G26" s="134"/>
      <c r="H26" s="768" t="s">
        <v>420</v>
      </c>
      <c r="I26" s="134"/>
      <c r="J26" s="134"/>
      <c r="K26" s="134"/>
      <c r="L26" s="134"/>
      <c r="M26" s="134"/>
      <c r="N26" s="134"/>
      <c r="O26" s="134"/>
      <c r="P26" s="134"/>
      <c r="Q26" s="134"/>
      <c r="R26" s="134"/>
      <c r="S26" s="134"/>
      <c r="T26" s="135"/>
      <c r="AE26" s="1005" t="s">
        <v>310</v>
      </c>
      <c r="AF26" s="1006"/>
      <c r="AG26" s="548">
        <f>COUNTIF(AG14:AG24,1)</f>
        <v>6</v>
      </c>
    </row>
    <row r="27" spans="2:34" ht="15" customHeight="1" thickBot="1" x14ac:dyDescent="0.4">
      <c r="C27" s="130"/>
      <c r="D27" s="13"/>
      <c r="E27" s="13"/>
      <c r="F27" s="13"/>
      <c r="G27" s="13"/>
      <c r="H27" s="13"/>
      <c r="I27" s="13"/>
      <c r="J27" s="13"/>
      <c r="K27" s="13"/>
      <c r="L27" s="13"/>
      <c r="M27" s="13"/>
      <c r="N27" s="13"/>
      <c r="O27" s="13"/>
      <c r="AE27" s="1005" t="s">
        <v>411</v>
      </c>
      <c r="AF27" s="1006"/>
      <c r="AG27" s="548">
        <f>COUNTIF(E13:E24,"&gt;0")</f>
        <v>6</v>
      </c>
    </row>
    <row r="28" spans="2:34" ht="20.25" customHeight="1" thickTop="1" x14ac:dyDescent="0.3">
      <c r="C28" s="979" t="s">
        <v>113</v>
      </c>
      <c r="D28" s="980"/>
      <c r="E28" s="981"/>
      <c r="Q28" s="979" t="s">
        <v>114</v>
      </c>
      <c r="R28" s="980"/>
      <c r="S28" s="981"/>
    </row>
    <row r="29" spans="2:34" ht="20.25" customHeight="1" thickBot="1" x14ac:dyDescent="0.35">
      <c r="C29" s="982"/>
      <c r="D29" s="983"/>
      <c r="E29" s="984"/>
      <c r="Q29" s="982"/>
      <c r="R29" s="983"/>
      <c r="S29" s="984"/>
    </row>
    <row r="30" spans="2:34" ht="15" thickTop="1" x14ac:dyDescent="0.3"/>
    <row r="32" spans="2:34" x14ac:dyDescent="0.3">
      <c r="B32" s="2" t="s">
        <v>21</v>
      </c>
      <c r="C32" s="1004" t="s">
        <v>493</v>
      </c>
      <c r="D32" s="1004"/>
      <c r="E32" s="1004"/>
      <c r="F32" s="1004"/>
      <c r="G32" s="1004"/>
      <c r="H32" s="1004"/>
      <c r="I32" s="1004"/>
      <c r="J32" s="1004"/>
      <c r="K32" s="1004"/>
      <c r="L32" s="1004"/>
      <c r="M32" s="1004"/>
      <c r="N32" s="1004"/>
      <c r="O32" s="1004"/>
      <c r="P32" s="1004"/>
      <c r="Q32" s="1004"/>
      <c r="R32" s="1004"/>
      <c r="S32" s="1004"/>
      <c r="T32" s="1004"/>
    </row>
    <row r="33" spans="3:20" x14ac:dyDescent="0.3">
      <c r="C33" s="1004"/>
      <c r="D33" s="1004"/>
      <c r="E33" s="1004"/>
      <c r="F33" s="1004"/>
      <c r="G33" s="1004"/>
      <c r="H33" s="1004"/>
      <c r="I33" s="1004"/>
      <c r="J33" s="1004"/>
      <c r="K33" s="1004"/>
      <c r="L33" s="1004"/>
      <c r="M33" s="1004"/>
      <c r="N33" s="1004"/>
      <c r="O33" s="1004"/>
      <c r="P33" s="1004"/>
      <c r="Q33" s="1004"/>
      <c r="R33" s="1004"/>
      <c r="S33" s="1004"/>
      <c r="T33" s="1004"/>
    </row>
  </sheetData>
  <sheetProtection algorithmName="SHA-256" hashValue="0NxNitrJt75cfslFGl/XkCYiONV5vizxNeEI4TelE5w=" saltValue="nslOJXt2NJncVWF94UTYfQ==" spinCount="100000" sheet="1" objects="1" scenarios="1"/>
  <sortState ref="W13:W24">
    <sortCondition ref="W13"/>
  </sortState>
  <mergeCells count="14">
    <mergeCell ref="C32:T33"/>
    <mergeCell ref="AE26:AF26"/>
    <mergeCell ref="B25:D26"/>
    <mergeCell ref="C28:E29"/>
    <mergeCell ref="Q28:S29"/>
    <mergeCell ref="AE27:AF27"/>
    <mergeCell ref="G5:H5"/>
    <mergeCell ref="C7:S7"/>
    <mergeCell ref="C9:S10"/>
    <mergeCell ref="C11:C12"/>
    <mergeCell ref="E11:E12"/>
    <mergeCell ref="L12:M12"/>
    <mergeCell ref="C5:F5"/>
    <mergeCell ref="J5:S6"/>
  </mergeCells>
  <conditionalFormatting sqref="E25">
    <cfRule type="cellIs" dxfId="47" priority="1" stopIfTrue="1" operator="equal">
      <formula>1</formula>
    </cfRule>
    <cfRule type="cellIs" dxfId="46" priority="2" operator="notEqual">
      <formula>1</formula>
    </cfRule>
  </conditionalFormatting>
  <dataValidations count="1">
    <dataValidation type="list" allowBlank="1" showInputMessage="1" showErrorMessage="1" sqref="G5:H5">
      <formula1>$V$13:$V$24</formula1>
    </dataValidation>
  </dataValidations>
  <hyperlinks>
    <hyperlink ref="C28:D29" location="HOMEPAGE!A1" display="HOMEPAGE!A1"/>
    <hyperlink ref="C28" location="'Input 1_Population'!A1" display="'Input 1_Population'!A1"/>
    <hyperlink ref="Q28:R29" location="'Input 2_'!A1" display="'Input 2_'!A1"/>
    <hyperlink ref="C28:E29" location="'Input 3_Clinical Severity'!A1" display="'Input 3_Clinical Severity'!A1"/>
    <hyperlink ref="Q28:S29" location="'Input 5_Product Uptake'!A1" display="'Input 5_Product Uptake'!A1"/>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AE39"/>
  <sheetViews>
    <sheetView showGridLines="0" showRowColHeaders="0" zoomScale="140" zoomScaleNormal="140" workbookViewId="0">
      <selection activeCell="S24" sqref="S24:U25"/>
    </sheetView>
  </sheetViews>
  <sheetFormatPr defaultRowHeight="14.4" x14ac:dyDescent="0.3"/>
  <cols>
    <col min="1" max="1" width="2.109375" customWidth="1"/>
    <col min="2" max="2" width="2.5546875" customWidth="1"/>
    <col min="3" max="3" width="10.6640625" customWidth="1"/>
    <col min="4" max="4" width="2.44140625" customWidth="1"/>
    <col min="5" max="5" width="9.88671875" customWidth="1"/>
    <col min="6" max="6" width="1.6640625" customWidth="1"/>
    <col min="7" max="7" width="1.88671875" customWidth="1"/>
    <col min="8" max="8" width="7.6640625" customWidth="1"/>
    <col min="9" max="9" width="10.33203125" customWidth="1"/>
    <col min="10" max="10" width="5.5546875" customWidth="1"/>
    <col min="11" max="11" width="1.6640625" customWidth="1"/>
    <col min="12" max="12" width="10.6640625" customWidth="1"/>
    <col min="13" max="13" width="8.5546875" customWidth="1"/>
    <col min="14" max="14" width="1.6640625" customWidth="1"/>
    <col min="15" max="15" width="8.6640625" customWidth="1"/>
    <col min="16" max="16" width="1.6640625" style="24" customWidth="1"/>
    <col min="17" max="17" width="8.6640625" customWidth="1"/>
    <col min="18" max="18" width="1.6640625" customWidth="1"/>
    <col min="19" max="19" width="10.6640625" customWidth="1"/>
    <col min="20" max="20" width="1.6640625" customWidth="1"/>
    <col min="21" max="22" width="7.6640625" customWidth="1"/>
    <col min="23" max="23" width="4.33203125" customWidth="1"/>
  </cols>
  <sheetData>
    <row r="1" spans="2:31" ht="8.25" customHeight="1" thickBot="1" x14ac:dyDescent="0.35"/>
    <row r="2" spans="2:31" ht="6.75" customHeight="1" x14ac:dyDescent="0.3">
      <c r="B2" s="123"/>
      <c r="C2" s="124"/>
      <c r="D2" s="124"/>
      <c r="E2" s="124"/>
      <c r="F2" s="124"/>
      <c r="G2" s="124"/>
      <c r="H2" s="124"/>
      <c r="I2" s="124"/>
      <c r="J2" s="124"/>
      <c r="K2" s="124"/>
      <c r="L2" s="124"/>
      <c r="M2" s="124"/>
      <c r="N2" s="124"/>
      <c r="O2" s="124"/>
      <c r="P2" s="190"/>
      <c r="Q2" s="124"/>
      <c r="R2" s="124"/>
      <c r="S2" s="124"/>
      <c r="T2" s="124"/>
      <c r="U2" s="124"/>
      <c r="V2" s="124"/>
      <c r="W2" s="125"/>
    </row>
    <row r="3" spans="2:31" ht="18" x14ac:dyDescent="0.35">
      <c r="B3" s="147"/>
      <c r="C3" s="148" t="s">
        <v>429</v>
      </c>
      <c r="D3" s="148"/>
      <c r="E3" s="149"/>
      <c r="F3" s="149"/>
      <c r="G3" s="149"/>
      <c r="H3" s="149"/>
      <c r="I3" s="149"/>
      <c r="J3" s="149"/>
      <c r="K3" s="149"/>
      <c r="L3" s="149"/>
      <c r="M3" s="149"/>
      <c r="N3" s="150"/>
      <c r="O3" s="149"/>
      <c r="P3" s="149"/>
      <c r="Q3" s="149"/>
      <c r="R3" s="149"/>
      <c r="S3" s="149"/>
      <c r="T3" s="149"/>
      <c r="U3" s="149"/>
      <c r="V3" s="149"/>
      <c r="W3" s="150"/>
    </row>
    <row r="4" spans="2:31" ht="5.25" customHeight="1" x14ac:dyDescent="0.3">
      <c r="B4" s="126"/>
      <c r="C4" s="13"/>
      <c r="D4" s="13"/>
      <c r="E4" s="13"/>
      <c r="F4" s="13"/>
      <c r="G4" s="13"/>
      <c r="H4" s="13"/>
      <c r="I4" s="13"/>
      <c r="J4" s="13"/>
      <c r="K4" s="13"/>
      <c r="L4" s="13"/>
      <c r="M4" s="13"/>
      <c r="N4" s="13"/>
      <c r="O4" s="13"/>
      <c r="P4" s="101"/>
      <c r="Q4" s="13"/>
      <c r="R4" s="13"/>
      <c r="S4" s="13"/>
      <c r="T4" s="13"/>
      <c r="U4" s="13"/>
      <c r="V4" s="13"/>
      <c r="W4" s="129"/>
    </row>
    <row r="5" spans="2:31" ht="18" customHeight="1" x14ac:dyDescent="0.3">
      <c r="B5" s="126"/>
      <c r="C5" s="985" t="s">
        <v>225</v>
      </c>
      <c r="D5" s="985"/>
      <c r="E5" s="985"/>
      <c r="F5" s="985"/>
      <c r="G5" s="985"/>
      <c r="H5" s="985"/>
      <c r="I5" s="985"/>
      <c r="J5" s="985"/>
      <c r="K5" s="985"/>
      <c r="L5" s="985"/>
      <c r="M5" s="985"/>
      <c r="N5" s="985"/>
      <c r="O5" s="985"/>
      <c r="P5" s="985"/>
      <c r="Q5" s="985"/>
      <c r="R5" s="985"/>
      <c r="S5" s="985"/>
      <c r="T5" s="985"/>
      <c r="U5" s="985"/>
      <c r="V5" s="985"/>
      <c r="W5" s="129"/>
    </row>
    <row r="6" spans="2:31" ht="18.75" customHeight="1" x14ac:dyDescent="0.3">
      <c r="B6" s="126"/>
      <c r="C6" s="985"/>
      <c r="D6" s="985"/>
      <c r="E6" s="985"/>
      <c r="F6" s="985"/>
      <c r="G6" s="985"/>
      <c r="H6" s="985"/>
      <c r="I6" s="985"/>
      <c r="J6" s="985"/>
      <c r="K6" s="985"/>
      <c r="L6" s="985"/>
      <c r="M6" s="985"/>
      <c r="N6" s="985"/>
      <c r="O6" s="985"/>
      <c r="P6" s="985"/>
      <c r="Q6" s="985"/>
      <c r="R6" s="985"/>
      <c r="S6" s="985"/>
      <c r="T6" s="985"/>
      <c r="U6" s="985"/>
      <c r="V6" s="985"/>
      <c r="W6" s="129"/>
    </row>
    <row r="7" spans="2:31" ht="21" customHeight="1" x14ac:dyDescent="0.35">
      <c r="B7" s="126"/>
      <c r="C7" s="13"/>
      <c r="D7" s="13"/>
      <c r="E7" s="13"/>
      <c r="F7" s="13"/>
      <c r="G7" s="1014" t="s">
        <v>116</v>
      </c>
      <c r="H7" s="1014"/>
      <c r="I7" s="1014"/>
      <c r="J7" s="1014"/>
      <c r="K7" s="13"/>
      <c r="L7" s="1012" t="s">
        <v>122</v>
      </c>
      <c r="M7" s="1012"/>
      <c r="N7" s="1012"/>
      <c r="O7" s="1012"/>
      <c r="P7" s="1012"/>
      <c r="Q7" s="1012"/>
      <c r="R7" s="13"/>
      <c r="S7" s="13"/>
      <c r="T7" s="13"/>
      <c r="U7" s="13"/>
      <c r="V7" s="13"/>
      <c r="W7" s="129"/>
    </row>
    <row r="8" spans="2:31" s="119" customFormat="1" ht="18" x14ac:dyDescent="0.35">
      <c r="B8" s="172"/>
      <c r="C8" s="634" t="s">
        <v>115</v>
      </c>
      <c r="D8" s="633"/>
      <c r="E8" s="610"/>
      <c r="F8" s="130"/>
      <c r="G8" s="1015"/>
      <c r="H8" s="1015"/>
      <c r="I8" s="1015"/>
      <c r="J8" s="1015"/>
      <c r="M8" s="630" t="s">
        <v>91</v>
      </c>
      <c r="N8" s="173"/>
      <c r="O8" s="610" t="s">
        <v>0</v>
      </c>
      <c r="P8" s="173"/>
      <c r="Q8" s="610" t="s">
        <v>1</v>
      </c>
      <c r="R8" s="173"/>
      <c r="S8" s="1012" t="s">
        <v>118</v>
      </c>
      <c r="T8" s="1012"/>
      <c r="U8" s="1012"/>
      <c r="V8" s="1012"/>
      <c r="W8" s="174"/>
      <c r="Y8"/>
      <c r="Z8"/>
      <c r="AA8"/>
      <c r="AB8"/>
      <c r="AC8"/>
      <c r="AD8"/>
      <c r="AE8"/>
    </row>
    <row r="9" spans="2:31" ht="27" customHeight="1" x14ac:dyDescent="0.3">
      <c r="B9" s="126"/>
      <c r="C9" s="628" t="s">
        <v>117</v>
      </c>
      <c r="D9" s="629"/>
      <c r="E9" s="178"/>
      <c r="F9" s="608"/>
      <c r="G9" s="1016" t="s">
        <v>413</v>
      </c>
      <c r="H9" s="1016"/>
      <c r="I9" s="1016"/>
      <c r="J9" s="1016"/>
      <c r="K9" s="608"/>
      <c r="L9" s="199"/>
      <c r="M9" s="1182">
        <v>0.38</v>
      </c>
      <c r="N9" s="181"/>
      <c r="O9" s="631"/>
      <c r="P9" s="632"/>
      <c r="Q9" s="631"/>
      <c r="R9" s="184"/>
      <c r="S9" s="1013" t="s">
        <v>416</v>
      </c>
      <c r="T9" s="1013"/>
      <c r="U9" s="1013"/>
      <c r="V9" s="1013"/>
      <c r="W9" s="129"/>
    </row>
    <row r="10" spans="2:31" s="648" customFormat="1" ht="12.75" customHeight="1" x14ac:dyDescent="0.3">
      <c r="B10" s="638"/>
      <c r="C10" s="639"/>
      <c r="D10" s="640"/>
      <c r="E10" s="641"/>
      <c r="F10" s="642"/>
      <c r="G10" s="1017"/>
      <c r="H10" s="1017"/>
      <c r="I10" s="1017"/>
      <c r="J10" s="1017"/>
      <c r="K10" s="642"/>
      <c r="L10" s="641" t="s">
        <v>123</v>
      </c>
      <c r="M10" s="833">
        <v>0.38</v>
      </c>
      <c r="N10" s="643"/>
      <c r="O10" s="644"/>
      <c r="P10" s="645"/>
      <c r="Q10" s="644"/>
      <c r="R10" s="646"/>
      <c r="S10" s="1013"/>
      <c r="T10" s="1013"/>
      <c r="U10" s="1013"/>
      <c r="V10" s="1013"/>
      <c r="W10" s="647"/>
    </row>
    <row r="11" spans="2:31" ht="6" customHeight="1" x14ac:dyDescent="0.3">
      <c r="B11" s="126"/>
      <c r="C11" s="200"/>
      <c r="D11" s="198"/>
      <c r="E11" s="194"/>
      <c r="F11" s="195"/>
      <c r="G11" s="671"/>
      <c r="H11" s="672"/>
      <c r="I11" s="673"/>
      <c r="J11" s="625"/>
      <c r="K11" s="195"/>
      <c r="L11" s="194"/>
      <c r="M11" s="504"/>
      <c r="N11" s="196"/>
      <c r="O11" s="196"/>
      <c r="P11" s="196"/>
      <c r="Q11" s="196"/>
      <c r="R11" s="197"/>
      <c r="S11" s="1011"/>
      <c r="T11" s="1011"/>
      <c r="U11" s="1011"/>
      <c r="V11" s="1011"/>
      <c r="W11" s="129"/>
    </row>
    <row r="12" spans="2:31" ht="6" customHeight="1" x14ac:dyDescent="0.3">
      <c r="B12" s="126"/>
      <c r="C12" s="266"/>
      <c r="D12" s="177"/>
      <c r="E12" s="178"/>
      <c r="F12" s="179"/>
      <c r="G12" s="635"/>
      <c r="H12" s="636"/>
      <c r="I12" s="637"/>
      <c r="J12" s="609"/>
      <c r="K12" s="179"/>
      <c r="L12" s="178"/>
      <c r="M12" s="183"/>
      <c r="N12" s="181"/>
      <c r="O12" s="181"/>
      <c r="P12" s="181"/>
      <c r="Q12" s="181"/>
      <c r="R12" s="184"/>
      <c r="S12" s="265"/>
      <c r="T12" s="265"/>
      <c r="U12" s="265"/>
      <c r="V12" s="265"/>
      <c r="W12" s="129"/>
    </row>
    <row r="13" spans="2:31" ht="27" customHeight="1" x14ac:dyDescent="0.3">
      <c r="B13" s="126"/>
      <c r="C13" s="1019" t="s">
        <v>338</v>
      </c>
      <c r="D13" s="1019"/>
      <c r="E13" s="1019"/>
      <c r="F13" s="608"/>
      <c r="G13" s="1017" t="s">
        <v>414</v>
      </c>
      <c r="H13" s="1017"/>
      <c r="I13" s="1017"/>
      <c r="J13" s="1017"/>
      <c r="K13" s="608"/>
      <c r="L13" s="199"/>
      <c r="M13" s="1182">
        <v>0.71</v>
      </c>
      <c r="N13" s="1183"/>
      <c r="O13" s="1182">
        <v>0.66</v>
      </c>
      <c r="P13" s="1183"/>
      <c r="Q13" s="1182">
        <v>0.76</v>
      </c>
      <c r="R13" s="184"/>
      <c r="S13" s="1022" t="s">
        <v>219</v>
      </c>
      <c r="T13" s="1022"/>
      <c r="U13" s="1022"/>
      <c r="V13" s="1022"/>
      <c r="W13" s="129"/>
    </row>
    <row r="14" spans="2:31" s="648" customFormat="1" ht="13.8" x14ac:dyDescent="0.3">
      <c r="B14" s="638"/>
      <c r="C14" s="1019"/>
      <c r="D14" s="1019"/>
      <c r="E14" s="1019"/>
      <c r="F14" s="642"/>
      <c r="G14" s="1017"/>
      <c r="H14" s="1017"/>
      <c r="I14" s="1017"/>
      <c r="J14" s="1017"/>
      <c r="K14" s="642"/>
      <c r="L14" s="641" t="s">
        <v>124</v>
      </c>
      <c r="M14" s="833">
        <v>0.71</v>
      </c>
      <c r="N14" s="643"/>
      <c r="O14" s="834">
        <v>0.66</v>
      </c>
      <c r="P14" s="643"/>
      <c r="Q14" s="834">
        <v>0.76</v>
      </c>
      <c r="R14" s="646"/>
      <c r="S14" s="1022"/>
      <c r="T14" s="1022"/>
      <c r="U14" s="1022"/>
      <c r="V14" s="1022"/>
      <c r="W14" s="647"/>
    </row>
    <row r="15" spans="2:31" ht="6" customHeight="1" x14ac:dyDescent="0.3">
      <c r="B15" s="126"/>
      <c r="C15" s="1019"/>
      <c r="D15" s="1019"/>
      <c r="E15" s="1019"/>
      <c r="F15" s="608"/>
      <c r="G15" s="635"/>
      <c r="H15" s="636"/>
      <c r="I15" s="637"/>
      <c r="J15" s="609"/>
      <c r="K15" s="608"/>
      <c r="L15" s="178"/>
      <c r="M15" s="183"/>
      <c r="N15" s="181"/>
      <c r="O15" s="181"/>
      <c r="P15" s="181"/>
      <c r="Q15" s="181"/>
      <c r="R15" s="184"/>
      <c r="S15" s="414"/>
      <c r="T15" s="414"/>
      <c r="U15" s="414"/>
      <c r="V15" s="414"/>
      <c r="W15" s="129"/>
    </row>
    <row r="16" spans="2:31" ht="27" customHeight="1" x14ac:dyDescent="0.3">
      <c r="B16" s="126"/>
      <c r="C16" s="1019"/>
      <c r="D16" s="1019"/>
      <c r="E16" s="1019"/>
      <c r="F16" s="608"/>
      <c r="G16" s="1017" t="s">
        <v>415</v>
      </c>
      <c r="H16" s="1017"/>
      <c r="I16" s="1017"/>
      <c r="J16" s="1017"/>
      <c r="K16" s="608"/>
      <c r="L16" s="199"/>
      <c r="M16" s="1182">
        <v>0.8</v>
      </c>
      <c r="N16" s="181"/>
      <c r="O16" s="192"/>
      <c r="P16" s="193"/>
      <c r="Q16" s="192"/>
      <c r="R16" s="184"/>
      <c r="S16" s="1022" t="s">
        <v>219</v>
      </c>
      <c r="T16" s="1022"/>
      <c r="U16" s="1022"/>
      <c r="V16" s="1022"/>
      <c r="W16" s="129"/>
    </row>
    <row r="17" spans="2:23" s="648" customFormat="1" ht="12.75" customHeight="1" x14ac:dyDescent="0.3">
      <c r="B17" s="638"/>
      <c r="C17" s="1019"/>
      <c r="D17" s="1019"/>
      <c r="E17" s="1019"/>
      <c r="F17" s="642"/>
      <c r="G17" s="1017"/>
      <c r="H17" s="1017"/>
      <c r="I17" s="1017"/>
      <c r="J17" s="1017"/>
      <c r="K17" s="642"/>
      <c r="L17" s="641" t="s">
        <v>265</v>
      </c>
      <c r="M17" s="835">
        <v>0.8</v>
      </c>
      <c r="N17" s="643"/>
      <c r="O17" s="644"/>
      <c r="P17" s="645"/>
      <c r="Q17" s="644"/>
      <c r="R17" s="646"/>
      <c r="S17" s="1022"/>
      <c r="T17" s="1022"/>
      <c r="U17" s="1022"/>
      <c r="V17" s="1022"/>
      <c r="W17" s="647"/>
    </row>
    <row r="18" spans="2:23" s="648" customFormat="1" ht="6" customHeight="1" x14ac:dyDescent="0.3">
      <c r="B18" s="638"/>
      <c r="C18" s="1023"/>
      <c r="D18" s="1023"/>
      <c r="E18" s="1023"/>
      <c r="F18" s="650"/>
      <c r="G18" s="659"/>
      <c r="H18" s="659"/>
      <c r="I18" s="659"/>
      <c r="J18" s="659"/>
      <c r="K18" s="650"/>
      <c r="L18" s="649"/>
      <c r="M18" s="658"/>
      <c r="N18" s="651"/>
      <c r="O18" s="652"/>
      <c r="P18" s="653"/>
      <c r="Q18" s="652"/>
      <c r="R18" s="654"/>
      <c r="S18" s="1011"/>
      <c r="T18" s="1011"/>
      <c r="U18" s="1011"/>
      <c r="V18" s="1011"/>
      <c r="W18" s="647"/>
    </row>
    <row r="19" spans="2:23" ht="6" customHeight="1" x14ac:dyDescent="0.3">
      <c r="B19" s="126"/>
      <c r="C19" s="186"/>
      <c r="D19" s="177"/>
      <c r="E19" s="185"/>
      <c r="F19" s="185"/>
      <c r="G19" s="611"/>
      <c r="H19" s="611"/>
      <c r="I19" s="637"/>
      <c r="J19" s="635"/>
      <c r="K19" s="186"/>
      <c r="L19" s="185"/>
      <c r="M19" s="185"/>
      <c r="N19" s="185"/>
      <c r="O19" s="185"/>
      <c r="P19" s="185"/>
      <c r="Q19" s="185"/>
      <c r="R19" s="186"/>
      <c r="S19" s="1021"/>
      <c r="T19" s="1021"/>
      <c r="U19" s="1021"/>
      <c r="V19" s="1021"/>
      <c r="W19" s="129"/>
    </row>
    <row r="20" spans="2:23" ht="27" customHeight="1" x14ac:dyDescent="0.3">
      <c r="B20" s="126"/>
      <c r="C20" s="1019" t="s">
        <v>218</v>
      </c>
      <c r="D20" s="1020"/>
      <c r="E20" s="1020"/>
      <c r="F20" s="179"/>
      <c r="G20" s="1017" t="s">
        <v>121</v>
      </c>
      <c r="H20" s="1017"/>
      <c r="I20" s="1017"/>
      <c r="J20" s="1017"/>
      <c r="K20" s="179"/>
      <c r="L20" s="199"/>
      <c r="M20" s="1182">
        <v>0.56000000000000005</v>
      </c>
      <c r="N20" s="1183"/>
      <c r="O20" s="1182">
        <v>0.51</v>
      </c>
      <c r="P20" s="1183"/>
      <c r="Q20" s="1182">
        <v>0.61</v>
      </c>
      <c r="R20" s="184"/>
      <c r="S20" s="1022" t="s">
        <v>219</v>
      </c>
      <c r="T20" s="1022"/>
      <c r="U20" s="1022"/>
      <c r="V20" s="1022"/>
      <c r="W20" s="129"/>
    </row>
    <row r="21" spans="2:23" s="648" customFormat="1" ht="13.8" x14ac:dyDescent="0.3">
      <c r="B21" s="638"/>
      <c r="C21" s="1020"/>
      <c r="D21" s="1020"/>
      <c r="E21" s="1020"/>
      <c r="F21" s="655"/>
      <c r="G21" s="1017"/>
      <c r="H21" s="1017"/>
      <c r="I21" s="1017"/>
      <c r="J21" s="1017"/>
      <c r="K21" s="656"/>
      <c r="L21" s="641" t="s">
        <v>339</v>
      </c>
      <c r="M21" s="836">
        <v>0.56000000000000005</v>
      </c>
      <c r="N21" s="657"/>
      <c r="O21" s="834">
        <v>0.51</v>
      </c>
      <c r="P21" s="657"/>
      <c r="Q21" s="834">
        <v>0.61</v>
      </c>
      <c r="R21" s="656"/>
      <c r="S21" s="1022"/>
      <c r="T21" s="1022"/>
      <c r="U21" s="1022"/>
      <c r="V21" s="1022"/>
      <c r="W21" s="647"/>
    </row>
    <row r="22" spans="2:23" ht="6.75" customHeight="1" thickBot="1" x14ac:dyDescent="0.35">
      <c r="B22" s="133"/>
      <c r="C22" s="416"/>
      <c r="D22" s="416"/>
      <c r="E22" s="417"/>
      <c r="F22" s="417"/>
      <c r="G22" s="417"/>
      <c r="H22" s="417"/>
      <c r="I22" s="191"/>
      <c r="J22" s="416"/>
      <c r="K22" s="416"/>
      <c r="L22" s="417"/>
      <c r="M22" s="417"/>
      <c r="N22" s="417"/>
      <c r="O22" s="417"/>
      <c r="P22" s="417"/>
      <c r="Q22" s="417"/>
      <c r="R22" s="416"/>
      <c r="S22" s="417"/>
      <c r="T22" s="417"/>
      <c r="U22" s="417"/>
      <c r="V22" s="417"/>
      <c r="W22" s="135"/>
    </row>
    <row r="23" spans="2:23" ht="9.75" customHeight="1" thickBot="1" x14ac:dyDescent="0.4">
      <c r="C23" s="130"/>
      <c r="D23" s="13"/>
      <c r="E23" s="13"/>
      <c r="F23" s="13"/>
      <c r="G23" s="13"/>
      <c r="H23" s="13"/>
      <c r="I23" s="13"/>
      <c r="J23" s="13"/>
      <c r="K23" s="13"/>
      <c r="L23" s="13"/>
      <c r="M23" s="13"/>
      <c r="N23" s="13"/>
      <c r="O23" s="13"/>
      <c r="P23" s="101"/>
      <c r="Q23" s="13"/>
    </row>
    <row r="24" spans="2:23" ht="20.25" customHeight="1" thickTop="1" x14ac:dyDescent="0.3">
      <c r="C24" s="979" t="s">
        <v>113</v>
      </c>
      <c r="D24" s="980"/>
      <c r="E24" s="981"/>
      <c r="S24" s="979" t="s">
        <v>114</v>
      </c>
      <c r="T24" s="980"/>
      <c r="U24" s="981"/>
      <c r="V24" s="122"/>
    </row>
    <row r="25" spans="2:23" ht="20.25" customHeight="1" thickBot="1" x14ac:dyDescent="0.35">
      <c r="C25" s="982"/>
      <c r="D25" s="983"/>
      <c r="E25" s="984"/>
      <c r="S25" s="982"/>
      <c r="T25" s="983"/>
      <c r="U25" s="984"/>
      <c r="V25" s="122"/>
    </row>
    <row r="26" spans="2:23" ht="15" thickTop="1" x14ac:dyDescent="0.3"/>
    <row r="27" spans="2:23" ht="15.6" customHeight="1" x14ac:dyDescent="0.3">
      <c r="B27" s="2" t="s">
        <v>21</v>
      </c>
      <c r="C27" s="921" t="s">
        <v>455</v>
      </c>
      <c r="D27" s="921"/>
      <c r="E27" s="921"/>
      <c r="F27" s="921"/>
      <c r="G27" s="921"/>
      <c r="H27" s="921"/>
      <c r="I27" s="921"/>
      <c r="J27" s="921"/>
      <c r="K27" s="921"/>
      <c r="L27" s="921"/>
      <c r="M27" s="921"/>
      <c r="N27" s="921"/>
      <c r="O27" s="921"/>
      <c r="P27" s="921"/>
      <c r="Q27" s="921"/>
      <c r="R27" s="921"/>
      <c r="S27" s="921"/>
      <c r="T27" s="921"/>
      <c r="U27" s="921"/>
      <c r="V27" s="921"/>
      <c r="W27" s="921"/>
    </row>
    <row r="28" spans="2:23" ht="15.6" x14ac:dyDescent="0.3">
      <c r="B28" s="816"/>
      <c r="C28" s="921"/>
      <c r="D28" s="921"/>
      <c r="E28" s="921"/>
      <c r="F28" s="921"/>
      <c r="G28" s="921"/>
      <c r="H28" s="921"/>
      <c r="I28" s="921"/>
      <c r="J28" s="921"/>
      <c r="K28" s="921"/>
      <c r="L28" s="921"/>
      <c r="M28" s="921"/>
      <c r="N28" s="921"/>
      <c r="O28" s="921"/>
      <c r="P28" s="921"/>
      <c r="Q28" s="921"/>
      <c r="R28" s="921"/>
      <c r="S28" s="921"/>
      <c r="T28" s="921"/>
      <c r="U28" s="921"/>
      <c r="V28" s="921"/>
      <c r="W28" s="921"/>
    </row>
    <row r="29" spans="2:23" ht="14.4" customHeight="1" x14ac:dyDescent="0.3">
      <c r="B29" s="2" t="s">
        <v>446</v>
      </c>
      <c r="C29" s="921" t="s">
        <v>506</v>
      </c>
      <c r="D29" s="921"/>
      <c r="E29" s="921"/>
      <c r="F29" s="921"/>
      <c r="G29" s="921"/>
      <c r="H29" s="921"/>
      <c r="I29" s="921"/>
      <c r="J29" s="921"/>
      <c r="K29" s="921"/>
      <c r="L29" s="921"/>
      <c r="M29" s="921"/>
      <c r="N29" s="921"/>
      <c r="O29" s="921"/>
      <c r="P29" s="921"/>
      <c r="Q29" s="921"/>
      <c r="R29" s="921"/>
      <c r="S29" s="921"/>
      <c r="T29" s="921"/>
      <c r="U29" s="921"/>
      <c r="V29" s="921"/>
      <c r="W29" s="921"/>
    </row>
    <row r="30" spans="2:23" ht="15.6" x14ac:dyDescent="0.3">
      <c r="B30" s="817"/>
      <c r="C30" s="921"/>
      <c r="D30" s="921"/>
      <c r="E30" s="921"/>
      <c r="F30" s="921"/>
      <c r="G30" s="921"/>
      <c r="H30" s="921"/>
      <c r="I30" s="921"/>
      <c r="J30" s="921"/>
      <c r="K30" s="921"/>
      <c r="L30" s="921"/>
      <c r="M30" s="921"/>
      <c r="N30" s="921"/>
      <c r="O30" s="921"/>
      <c r="P30" s="921"/>
      <c r="Q30" s="921"/>
      <c r="R30" s="921"/>
      <c r="S30" s="921"/>
      <c r="T30" s="921"/>
      <c r="U30" s="921"/>
      <c r="V30" s="921"/>
      <c r="W30" s="921"/>
    </row>
    <row r="31" spans="2:23" ht="15.6" x14ac:dyDescent="0.3">
      <c r="B31" s="817"/>
      <c r="C31" s="921"/>
      <c r="D31" s="921"/>
      <c r="E31" s="921"/>
      <c r="F31" s="921"/>
      <c r="G31" s="921"/>
      <c r="H31" s="921"/>
      <c r="I31" s="921"/>
      <c r="J31" s="921"/>
      <c r="K31" s="921"/>
      <c r="L31" s="921"/>
      <c r="M31" s="921"/>
      <c r="N31" s="921"/>
      <c r="O31" s="921"/>
      <c r="P31" s="921"/>
      <c r="Q31" s="921"/>
      <c r="R31" s="921"/>
      <c r="S31" s="921"/>
      <c r="T31" s="921"/>
      <c r="U31" s="921"/>
      <c r="V31" s="921"/>
      <c r="W31" s="921"/>
    </row>
    <row r="32" spans="2:23" ht="15.6" x14ac:dyDescent="0.3">
      <c r="B32" s="817"/>
      <c r="C32" s="921"/>
      <c r="D32" s="921"/>
      <c r="E32" s="921"/>
      <c r="F32" s="921"/>
      <c r="G32" s="921"/>
      <c r="H32" s="921"/>
      <c r="I32" s="921"/>
      <c r="J32" s="921"/>
      <c r="K32" s="921"/>
      <c r="L32" s="921"/>
      <c r="M32" s="921"/>
      <c r="N32" s="921"/>
      <c r="O32" s="921"/>
      <c r="P32" s="921"/>
      <c r="Q32" s="921"/>
      <c r="R32" s="921"/>
      <c r="S32" s="921"/>
      <c r="T32" s="921"/>
      <c r="U32" s="921"/>
      <c r="V32" s="921"/>
      <c r="W32" s="921"/>
    </row>
    <row r="33" spans="2:23" ht="15.6" x14ac:dyDescent="0.3">
      <c r="B33" s="817"/>
      <c r="C33" s="921"/>
      <c r="D33" s="921"/>
      <c r="E33" s="921"/>
      <c r="F33" s="921"/>
      <c r="G33" s="921"/>
      <c r="H33" s="921"/>
      <c r="I33" s="921"/>
      <c r="J33" s="921"/>
      <c r="K33" s="921"/>
      <c r="L33" s="921"/>
      <c r="M33" s="921"/>
      <c r="N33" s="921"/>
      <c r="O33" s="921"/>
      <c r="P33" s="921"/>
      <c r="Q33" s="921"/>
      <c r="R33" s="921"/>
      <c r="S33" s="921"/>
      <c r="T33" s="921"/>
      <c r="U33" s="921"/>
      <c r="V33" s="921"/>
      <c r="W33" s="921"/>
    </row>
    <row r="34" spans="2:23" ht="15.6" x14ac:dyDescent="0.3">
      <c r="B34" s="817"/>
      <c r="C34" s="921"/>
      <c r="D34" s="921"/>
      <c r="E34" s="921"/>
      <c r="F34" s="921"/>
      <c r="G34" s="921"/>
      <c r="H34" s="921"/>
      <c r="I34" s="921"/>
      <c r="J34" s="921"/>
      <c r="K34" s="921"/>
      <c r="L34" s="921"/>
      <c r="M34" s="921"/>
      <c r="N34" s="921"/>
      <c r="O34" s="921"/>
      <c r="P34" s="921"/>
      <c r="Q34" s="921"/>
      <c r="R34" s="921"/>
      <c r="S34" s="921"/>
      <c r="T34" s="921"/>
      <c r="U34" s="921"/>
      <c r="V34" s="921"/>
      <c r="W34" s="921"/>
    </row>
    <row r="35" spans="2:23" ht="18.75" customHeight="1" x14ac:dyDescent="0.3">
      <c r="B35" s="2" t="s">
        <v>456</v>
      </c>
      <c r="C35" s="921" t="s">
        <v>459</v>
      </c>
      <c r="D35" s="921"/>
      <c r="E35" s="921"/>
      <c r="F35" s="921"/>
      <c r="G35" s="921"/>
      <c r="H35" s="921"/>
      <c r="I35" s="921"/>
      <c r="J35" s="921"/>
      <c r="K35" s="921"/>
      <c r="L35" s="921"/>
      <c r="M35" s="921"/>
      <c r="N35" s="921"/>
      <c r="O35" s="921"/>
      <c r="P35" s="921"/>
      <c r="Q35" s="921"/>
      <c r="R35" s="921"/>
      <c r="S35" s="921"/>
      <c r="T35" s="921"/>
      <c r="U35" s="921"/>
      <c r="V35" s="921"/>
      <c r="W35" s="921"/>
    </row>
    <row r="36" spans="2:23" x14ac:dyDescent="0.3">
      <c r="B36" s="2"/>
      <c r="C36" s="921"/>
      <c r="D36" s="921"/>
      <c r="E36" s="921"/>
      <c r="F36" s="921"/>
      <c r="G36" s="921"/>
      <c r="H36" s="921"/>
      <c r="I36" s="921"/>
      <c r="J36" s="921"/>
      <c r="K36" s="921"/>
      <c r="L36" s="921"/>
      <c r="M36" s="921"/>
      <c r="N36" s="921"/>
      <c r="O36" s="921"/>
      <c r="P36" s="921"/>
      <c r="Q36" s="921"/>
      <c r="R36" s="921"/>
      <c r="S36" s="921"/>
      <c r="T36" s="921"/>
      <c r="U36" s="921"/>
      <c r="V36" s="921"/>
      <c r="W36" s="921"/>
    </row>
    <row r="37" spans="2:23" ht="14.4" customHeight="1" x14ac:dyDescent="0.3">
      <c r="B37" s="2" t="s">
        <v>457</v>
      </c>
      <c r="C37" s="1018" t="s">
        <v>458</v>
      </c>
      <c r="D37" s="1018"/>
      <c r="E37" s="1018"/>
      <c r="F37" s="1018"/>
      <c r="G37" s="1018"/>
      <c r="H37" s="1018"/>
      <c r="I37" s="1018"/>
      <c r="J37" s="1018"/>
      <c r="K37" s="1018"/>
      <c r="L37" s="1018"/>
      <c r="M37" s="1018"/>
      <c r="N37" s="1018"/>
      <c r="O37" s="1018"/>
      <c r="P37" s="1018"/>
      <c r="Q37" s="1018"/>
      <c r="R37" s="1018"/>
      <c r="S37" s="1018"/>
      <c r="T37" s="1018"/>
      <c r="U37" s="1018"/>
      <c r="V37" s="1018"/>
      <c r="W37" s="1018"/>
    </row>
    <row r="38" spans="2:23" x14ac:dyDescent="0.3">
      <c r="B38" s="2"/>
      <c r="C38" s="1018"/>
      <c r="D38" s="1018"/>
      <c r="E38" s="1018"/>
      <c r="F38" s="1018"/>
      <c r="G38" s="1018"/>
      <c r="H38" s="1018"/>
      <c r="I38" s="1018"/>
      <c r="J38" s="1018"/>
      <c r="K38" s="1018"/>
      <c r="L38" s="1018"/>
      <c r="M38" s="1018"/>
      <c r="N38" s="1018"/>
      <c r="O38" s="1018"/>
      <c r="P38" s="1018"/>
      <c r="Q38" s="1018"/>
      <c r="R38" s="1018"/>
      <c r="S38" s="1018"/>
      <c r="T38" s="1018"/>
      <c r="U38" s="1018"/>
      <c r="V38" s="1018"/>
      <c r="W38" s="1018"/>
    </row>
    <row r="39" spans="2:23" x14ac:dyDescent="0.3">
      <c r="C39" s="1018"/>
      <c r="D39" s="1018"/>
      <c r="E39" s="1018"/>
      <c r="F39" s="1018"/>
      <c r="G39" s="1018"/>
      <c r="H39" s="1018"/>
      <c r="I39" s="1018"/>
      <c r="J39" s="1018"/>
      <c r="K39" s="1018"/>
      <c r="L39" s="1018"/>
      <c r="M39" s="1018"/>
      <c r="N39" s="1018"/>
      <c r="O39" s="1018"/>
      <c r="P39" s="1018"/>
      <c r="Q39" s="1018"/>
      <c r="R39" s="1018"/>
      <c r="S39" s="1018"/>
      <c r="T39" s="1018"/>
      <c r="U39" s="1018"/>
      <c r="V39" s="1018"/>
      <c r="W39" s="1018"/>
    </row>
  </sheetData>
  <sheetProtection algorithmName="SHA-256" hashValue="kN3OYQdH1EW3OzEwtSjYGv6Xcq5KQBXo9pjg2pW1QWw=" saltValue="DmTOqQ6gSl6QJRk4ZG8E1w==" spinCount="100000" sheet="1" objects="1" scenarios="1"/>
  <mergeCells count="24">
    <mergeCell ref="C29:W34"/>
    <mergeCell ref="C27:W28"/>
    <mergeCell ref="C37:W39"/>
    <mergeCell ref="C35:W36"/>
    <mergeCell ref="C13:E17"/>
    <mergeCell ref="C24:E25"/>
    <mergeCell ref="S24:U25"/>
    <mergeCell ref="C20:E21"/>
    <mergeCell ref="S19:V19"/>
    <mergeCell ref="S16:V17"/>
    <mergeCell ref="S13:V14"/>
    <mergeCell ref="S20:V21"/>
    <mergeCell ref="G13:J14"/>
    <mergeCell ref="G16:J17"/>
    <mergeCell ref="G20:J21"/>
    <mergeCell ref="C18:E18"/>
    <mergeCell ref="S18:V18"/>
    <mergeCell ref="C5:V6"/>
    <mergeCell ref="L7:Q7"/>
    <mergeCell ref="S8:V8"/>
    <mergeCell ref="S9:V10"/>
    <mergeCell ref="S11:V11"/>
    <mergeCell ref="G7:J8"/>
    <mergeCell ref="G9:J10"/>
  </mergeCells>
  <hyperlinks>
    <hyperlink ref="C24:D25" location="HOMEPAGE!A1" display="HOMEPAGE!A1"/>
    <hyperlink ref="C24" location="'Input 1_Population'!A1" display="'Input 1_Population'!A1"/>
    <hyperlink ref="S24:T25" location="'Input 2_'!A1" display="'Input 2_'!A1"/>
    <hyperlink ref="C24:E25" location="'Input 4_RSV Season'!A1" display="'Input 4_RSV Season'!A1"/>
    <hyperlink ref="S24:U25" location="'Input 6_Product Efficacy'!A1" display="'Input 6_Product Efficacy'!A1"/>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AH37"/>
  <sheetViews>
    <sheetView showGridLines="0" showRowColHeaders="0" zoomScale="120" zoomScaleNormal="120" workbookViewId="0">
      <selection activeCell="U26" sqref="U26:W27"/>
    </sheetView>
  </sheetViews>
  <sheetFormatPr defaultRowHeight="14.4" x14ac:dyDescent="0.3"/>
  <cols>
    <col min="1" max="1" width="2.5546875" customWidth="1"/>
    <col min="2" max="2" width="2.109375" customWidth="1"/>
    <col min="3" max="3" width="10.6640625" customWidth="1"/>
    <col min="4" max="4" width="2.44140625" customWidth="1"/>
    <col min="5" max="5" width="10.6640625" customWidth="1"/>
    <col min="6" max="6" width="1.6640625" customWidth="1"/>
    <col min="7" max="7" width="7.6640625" customWidth="1"/>
    <col min="8" max="8" width="7.5546875" customWidth="1"/>
    <col min="9" max="9" width="5.5546875" customWidth="1"/>
    <col min="10" max="10" width="1.6640625" customWidth="1"/>
    <col min="11" max="11" width="8.88671875" customWidth="1"/>
    <col min="12" max="12" width="1.6640625" customWidth="1"/>
    <col min="13" max="13" width="8.6640625" customWidth="1"/>
    <col min="14" max="14" width="1.6640625" style="24" customWidth="1"/>
    <col min="15" max="15" width="8.6640625" customWidth="1"/>
    <col min="16" max="16" width="4.33203125" customWidth="1"/>
    <col min="17" max="17" width="10" customWidth="1"/>
    <col min="18" max="19" width="1.6640625" customWidth="1"/>
    <col min="20" max="20" width="5.33203125" customWidth="1"/>
    <col min="21" max="21" width="1.6640625" customWidth="1"/>
    <col min="22" max="22" width="12" customWidth="1"/>
    <col min="23" max="23" width="8.44140625" customWidth="1"/>
    <col min="24" max="24" width="2.6640625" customWidth="1"/>
  </cols>
  <sheetData>
    <row r="1" spans="2:34" ht="8.25" customHeight="1" thickBot="1" x14ac:dyDescent="0.35"/>
    <row r="2" spans="2:34" ht="9.75" customHeight="1" x14ac:dyDescent="0.3">
      <c r="B2" s="123"/>
      <c r="C2" s="124"/>
      <c r="D2" s="124"/>
      <c r="E2" s="124"/>
      <c r="F2" s="124"/>
      <c r="G2" s="124"/>
      <c r="H2" s="124"/>
      <c r="I2" s="124"/>
      <c r="J2" s="124"/>
      <c r="K2" s="124"/>
      <c r="L2" s="124"/>
      <c r="M2" s="124"/>
      <c r="N2" s="190"/>
      <c r="O2" s="124"/>
      <c r="P2" s="124"/>
      <c r="Q2" s="124"/>
      <c r="R2" s="124"/>
      <c r="S2" s="124"/>
      <c r="T2" s="124"/>
      <c r="U2" s="124"/>
      <c r="V2" s="124"/>
      <c r="W2" s="124"/>
      <c r="X2" s="125"/>
    </row>
    <row r="3" spans="2:34" ht="18" x14ac:dyDescent="0.35">
      <c r="B3" s="147"/>
      <c r="C3" s="148" t="s">
        <v>430</v>
      </c>
      <c r="D3" s="148"/>
      <c r="E3" s="149"/>
      <c r="F3" s="149"/>
      <c r="G3" s="149"/>
      <c r="H3" s="149"/>
      <c r="I3" s="149"/>
      <c r="J3" s="149"/>
      <c r="K3" s="149"/>
      <c r="L3" s="150"/>
      <c r="M3" s="149"/>
      <c r="N3" s="149"/>
      <c r="O3" s="149"/>
      <c r="P3" s="149"/>
      <c r="Q3" s="149"/>
      <c r="R3" s="149"/>
      <c r="S3" s="149"/>
      <c r="T3" s="149"/>
      <c r="U3" s="149"/>
      <c r="V3" s="149"/>
      <c r="W3" s="149"/>
      <c r="X3" s="150"/>
      <c r="AG3" t="s">
        <v>283</v>
      </c>
      <c r="AH3" t="s">
        <v>284</v>
      </c>
    </row>
    <row r="4" spans="2:34" ht="5.25" customHeight="1" x14ac:dyDescent="0.3">
      <c r="B4" s="126"/>
      <c r="C4" s="13"/>
      <c r="D4" s="13"/>
      <c r="E4" s="13"/>
      <c r="F4" s="13"/>
      <c r="G4" s="13"/>
      <c r="H4" s="13"/>
      <c r="I4" s="13"/>
      <c r="J4" s="13"/>
      <c r="K4" s="13"/>
      <c r="L4" s="13"/>
      <c r="M4" s="13"/>
      <c r="N4" s="101"/>
      <c r="O4" s="13"/>
      <c r="P4" s="13"/>
      <c r="Q4" s="13"/>
      <c r="R4" s="13"/>
      <c r="S4" s="13"/>
      <c r="T4" s="13"/>
      <c r="U4" s="13"/>
      <c r="V4" s="13"/>
      <c r="W4" s="13"/>
      <c r="X4" s="129"/>
    </row>
    <row r="5" spans="2:34" ht="18.75" customHeight="1" x14ac:dyDescent="0.3">
      <c r="B5" s="126"/>
      <c r="C5" s="897" t="s">
        <v>272</v>
      </c>
      <c r="D5" s="897"/>
      <c r="E5" s="897"/>
      <c r="F5" s="897"/>
      <c r="G5" s="897"/>
      <c r="H5" s="897"/>
      <c r="I5" s="897"/>
      <c r="J5" s="897"/>
      <c r="K5" s="897"/>
      <c r="L5" s="897"/>
      <c r="M5" s="897"/>
      <c r="N5" s="897"/>
      <c r="O5" s="897"/>
      <c r="P5" s="897"/>
      <c r="Q5" s="897"/>
      <c r="R5" s="897"/>
      <c r="S5" s="897"/>
      <c r="T5" s="897"/>
      <c r="U5" s="897"/>
      <c r="V5" s="897"/>
      <c r="W5" s="897"/>
      <c r="X5" s="129"/>
      <c r="AG5">
        <v>120</v>
      </c>
      <c r="AH5">
        <v>60</v>
      </c>
    </row>
    <row r="6" spans="2:34" ht="18.75" customHeight="1" x14ac:dyDescent="0.3">
      <c r="B6" s="126"/>
      <c r="C6" s="897"/>
      <c r="D6" s="897"/>
      <c r="E6" s="897"/>
      <c r="F6" s="897"/>
      <c r="G6" s="897"/>
      <c r="H6" s="897"/>
      <c r="I6" s="897"/>
      <c r="J6" s="897"/>
      <c r="K6" s="897"/>
      <c r="L6" s="897"/>
      <c r="M6" s="897"/>
      <c r="N6" s="897"/>
      <c r="O6" s="897"/>
      <c r="P6" s="897"/>
      <c r="Q6" s="897"/>
      <c r="R6" s="897"/>
      <c r="S6" s="897"/>
      <c r="T6" s="897"/>
      <c r="U6" s="897"/>
      <c r="V6" s="897"/>
      <c r="W6" s="897"/>
      <c r="X6" s="129"/>
      <c r="AG6">
        <v>150</v>
      </c>
      <c r="AH6">
        <v>90</v>
      </c>
    </row>
    <row r="7" spans="2:34" ht="21" customHeight="1" thickBot="1" x14ac:dyDescent="0.4">
      <c r="B7" s="126"/>
      <c r="C7" s="13"/>
      <c r="D7" s="13"/>
      <c r="E7" s="13"/>
      <c r="F7" s="13"/>
      <c r="G7" s="1014" t="s">
        <v>116</v>
      </c>
      <c r="H7" s="1014"/>
      <c r="I7" s="1014"/>
      <c r="J7" s="13"/>
      <c r="K7" s="1043" t="s">
        <v>125</v>
      </c>
      <c r="L7" s="1043"/>
      <c r="M7" s="1043"/>
      <c r="N7" s="1043"/>
      <c r="O7" s="1043"/>
      <c r="P7" s="173"/>
      <c r="Q7" s="1014" t="s">
        <v>285</v>
      </c>
      <c r="R7" s="1014"/>
      <c r="S7" s="13"/>
      <c r="X7" s="129"/>
      <c r="AG7">
        <v>180</v>
      </c>
      <c r="AH7">
        <v>120</v>
      </c>
    </row>
    <row r="8" spans="2:34" s="119" customFormat="1" ht="18.600000000000001" thickBot="1" x14ac:dyDescent="0.4">
      <c r="B8" s="172"/>
      <c r="C8" s="176" t="s">
        <v>115</v>
      </c>
      <c r="E8" s="173"/>
      <c r="F8" s="130"/>
      <c r="G8" s="1041"/>
      <c r="H8" s="1041"/>
      <c r="I8" s="1041"/>
      <c r="K8" s="274" t="s">
        <v>91</v>
      </c>
      <c r="L8" s="173"/>
      <c r="M8" s="175" t="s">
        <v>0</v>
      </c>
      <c r="N8" s="173"/>
      <c r="O8" s="175" t="s">
        <v>1</v>
      </c>
      <c r="P8" s="173"/>
      <c r="Q8" s="1014"/>
      <c r="R8" s="1014"/>
      <c r="S8" s="173"/>
      <c r="T8" s="1043" t="s">
        <v>118</v>
      </c>
      <c r="U8" s="1043"/>
      <c r="V8" s="1043"/>
      <c r="W8" s="1043"/>
      <c r="X8" s="174"/>
    </row>
    <row r="9" spans="2:34" ht="27" customHeight="1" x14ac:dyDescent="0.3">
      <c r="B9" s="126"/>
      <c r="C9" s="187" t="s">
        <v>117</v>
      </c>
      <c r="D9" s="177"/>
      <c r="E9" s="178"/>
      <c r="F9" s="179"/>
      <c r="G9" s="1042" t="s">
        <v>417</v>
      </c>
      <c r="H9" s="1042"/>
      <c r="I9" s="1042"/>
      <c r="J9" s="179"/>
      <c r="K9" s="1182">
        <v>0.51</v>
      </c>
      <c r="L9" s="181"/>
      <c r="M9" s="192"/>
      <c r="N9" s="193"/>
      <c r="O9" s="192"/>
      <c r="P9" s="192"/>
      <c r="Q9" s="511">
        <v>150</v>
      </c>
      <c r="R9" s="181"/>
      <c r="S9" s="184"/>
      <c r="T9" s="1024" t="s">
        <v>221</v>
      </c>
      <c r="U9" s="1024"/>
      <c r="V9" s="1024"/>
      <c r="W9" s="1024"/>
      <c r="X9" s="129"/>
    </row>
    <row r="10" spans="2:34" ht="21" customHeight="1" x14ac:dyDescent="0.3">
      <c r="B10" s="126"/>
      <c r="C10" s="200"/>
      <c r="D10" s="198"/>
      <c r="E10" s="194"/>
      <c r="F10" s="195"/>
      <c r="G10" s="490"/>
      <c r="H10" s="490"/>
      <c r="I10" s="502" t="s">
        <v>273</v>
      </c>
      <c r="J10" s="195"/>
      <c r="K10" s="831">
        <v>0.51</v>
      </c>
      <c r="L10" s="196"/>
      <c r="M10" s="10"/>
      <c r="N10" s="115"/>
      <c r="O10" s="10"/>
      <c r="P10" s="494"/>
      <c r="Q10" s="506">
        <v>150</v>
      </c>
      <c r="R10" s="196"/>
      <c r="S10" s="197"/>
      <c r="T10" s="1025"/>
      <c r="U10" s="1025"/>
      <c r="V10" s="1025"/>
      <c r="W10" s="1025"/>
      <c r="X10" s="129"/>
    </row>
    <row r="11" spans="2:34" ht="6" customHeight="1" x14ac:dyDescent="0.3">
      <c r="B11" s="126"/>
      <c r="C11" s="187"/>
      <c r="D11" s="177"/>
      <c r="E11" s="178"/>
      <c r="F11" s="179"/>
      <c r="G11" s="188"/>
      <c r="H11" s="180"/>
      <c r="I11" s="179"/>
      <c r="J11" s="179"/>
      <c r="K11" s="183"/>
      <c r="L11" s="181"/>
      <c r="M11" s="181"/>
      <c r="N11" s="181"/>
      <c r="O11" s="181"/>
      <c r="P11" s="181"/>
      <c r="Q11" s="183"/>
      <c r="R11" s="181"/>
      <c r="S11" s="184"/>
      <c r="T11" s="189"/>
      <c r="U11" s="189"/>
      <c r="V11" s="189"/>
      <c r="W11" s="189"/>
      <c r="X11" s="129"/>
    </row>
    <row r="12" spans="2:34" ht="29.25" customHeight="1" x14ac:dyDescent="0.3">
      <c r="B12" s="126"/>
      <c r="C12" s="1038" t="s">
        <v>216</v>
      </c>
      <c r="D12" s="1038"/>
      <c r="E12" s="1038"/>
      <c r="F12" s="179"/>
      <c r="G12" s="1042" t="s">
        <v>270</v>
      </c>
      <c r="H12" s="1042"/>
      <c r="I12" s="1042"/>
      <c r="J12" s="179"/>
      <c r="K12" s="1182">
        <v>0.8</v>
      </c>
      <c r="L12" s="1183"/>
      <c r="M12" s="1182">
        <v>0.73</v>
      </c>
      <c r="N12" s="1183"/>
      <c r="O12" s="1182">
        <v>0.85</v>
      </c>
      <c r="P12" s="1184"/>
      <c r="Q12" s="1185">
        <v>150</v>
      </c>
      <c r="R12" s="181"/>
      <c r="S12" s="184"/>
      <c r="T12" s="1024" t="s">
        <v>220</v>
      </c>
      <c r="U12" s="1024"/>
      <c r="V12" s="1024"/>
      <c r="W12" s="1024"/>
      <c r="X12" s="129"/>
    </row>
    <row r="13" spans="2:34" ht="21" customHeight="1" x14ac:dyDescent="0.3">
      <c r="B13" s="126"/>
      <c r="C13" s="1039"/>
      <c r="D13" s="1039"/>
      <c r="E13" s="1039"/>
      <c r="F13" s="195"/>
      <c r="G13" s="490"/>
      <c r="H13" s="490"/>
      <c r="I13" s="502" t="s">
        <v>274</v>
      </c>
      <c r="J13" s="195"/>
      <c r="K13" s="831">
        <v>0.8</v>
      </c>
      <c r="L13" s="196"/>
      <c r="M13" s="831">
        <v>0.73</v>
      </c>
      <c r="N13" s="196"/>
      <c r="O13" s="831">
        <v>0.85</v>
      </c>
      <c r="P13" s="504"/>
      <c r="Q13" s="506">
        <v>150</v>
      </c>
      <c r="R13" s="196"/>
      <c r="S13" s="197"/>
      <c r="T13" s="1025"/>
      <c r="U13" s="1025"/>
      <c r="V13" s="1025"/>
      <c r="W13" s="1025"/>
      <c r="X13" s="129"/>
    </row>
    <row r="14" spans="2:34" ht="6" customHeight="1" x14ac:dyDescent="0.3">
      <c r="B14" s="126"/>
      <c r="C14" s="186"/>
      <c r="D14" s="177"/>
      <c r="E14" s="185"/>
      <c r="F14" s="185"/>
      <c r="G14" s="185"/>
      <c r="H14" s="182"/>
      <c r="I14" s="186"/>
      <c r="J14" s="186"/>
      <c r="K14" s="185"/>
      <c r="L14" s="185"/>
      <c r="M14" s="185"/>
      <c r="N14" s="185"/>
      <c r="O14" s="185"/>
      <c r="P14" s="185"/>
      <c r="Q14" s="185"/>
      <c r="R14" s="185"/>
      <c r="S14" s="186"/>
      <c r="T14" s="1040"/>
      <c r="U14" s="1040"/>
      <c r="V14" s="1040"/>
      <c r="W14" s="1040"/>
      <c r="X14" s="129"/>
    </row>
    <row r="15" spans="2:34" ht="27" customHeight="1" x14ac:dyDescent="0.3">
      <c r="B15" s="126"/>
      <c r="C15" s="1038" t="s">
        <v>217</v>
      </c>
      <c r="D15" s="1038"/>
      <c r="E15" s="1038"/>
      <c r="F15" s="179"/>
      <c r="G15" s="1042" t="s">
        <v>121</v>
      </c>
      <c r="H15" s="1042"/>
      <c r="I15" s="1042"/>
      <c r="J15" s="179"/>
      <c r="K15" s="1182">
        <v>0.8</v>
      </c>
      <c r="L15" s="1183"/>
      <c r="M15" s="1182">
        <v>0.73</v>
      </c>
      <c r="N15" s="1183"/>
      <c r="O15" s="1182">
        <v>0.85</v>
      </c>
      <c r="P15" s="1184"/>
      <c r="Q15" s="1185">
        <v>90</v>
      </c>
      <c r="R15" s="181"/>
      <c r="S15" s="184"/>
      <c r="T15" s="1024" t="s">
        <v>220</v>
      </c>
      <c r="U15" s="1024"/>
      <c r="V15" s="1024"/>
      <c r="W15" s="1024"/>
      <c r="X15" s="129"/>
    </row>
    <row r="16" spans="2:34" ht="21" customHeight="1" x14ac:dyDescent="0.3">
      <c r="B16" s="126"/>
      <c r="C16" s="1038"/>
      <c r="D16" s="1038"/>
      <c r="E16" s="1038"/>
      <c r="F16" s="185"/>
      <c r="G16" s="489"/>
      <c r="H16" s="489"/>
      <c r="I16" s="503" t="s">
        <v>509</v>
      </c>
      <c r="J16" s="163"/>
      <c r="K16" s="832">
        <v>0.8</v>
      </c>
      <c r="L16" s="201"/>
      <c r="M16" s="832">
        <v>0.73</v>
      </c>
      <c r="N16" s="201"/>
      <c r="O16" s="832">
        <v>0.85</v>
      </c>
      <c r="P16" s="505"/>
      <c r="Q16" s="507">
        <v>90</v>
      </c>
      <c r="R16" s="201"/>
      <c r="S16" s="163"/>
      <c r="T16" s="1024"/>
      <c r="U16" s="1024"/>
      <c r="V16" s="1024"/>
      <c r="W16" s="1024"/>
      <c r="X16" s="129"/>
    </row>
    <row r="17" spans="2:24" ht="6.75" customHeight="1" x14ac:dyDescent="0.3">
      <c r="B17" s="126"/>
      <c r="C17" s="163"/>
      <c r="D17" s="163"/>
      <c r="E17" s="171"/>
      <c r="F17" s="171"/>
      <c r="G17" s="171"/>
      <c r="H17" s="101"/>
      <c r="I17" s="163"/>
      <c r="J17" s="163"/>
      <c r="K17" s="171"/>
      <c r="L17" s="171"/>
      <c r="M17" s="171"/>
      <c r="N17" s="171"/>
      <c r="O17" s="171"/>
      <c r="P17" s="171"/>
      <c r="Q17" s="171"/>
      <c r="R17" s="171"/>
      <c r="S17" s="163"/>
      <c r="T17" s="171"/>
      <c r="U17" s="171"/>
      <c r="V17" s="171"/>
      <c r="W17" s="171"/>
      <c r="X17" s="129"/>
    </row>
    <row r="18" spans="2:24" ht="15.75" customHeight="1" x14ac:dyDescent="0.3">
      <c r="B18" s="126"/>
      <c r="C18" s="1032" t="s">
        <v>494</v>
      </c>
      <c r="D18" s="1032"/>
      <c r="E18" s="1032"/>
      <c r="F18" s="1032"/>
      <c r="G18" s="1032"/>
      <c r="H18" s="1032"/>
      <c r="I18" s="1032"/>
      <c r="J18" s="1032"/>
      <c r="K18" s="1032"/>
      <c r="L18" s="1032"/>
      <c r="M18" s="1032"/>
      <c r="N18" s="1032"/>
      <c r="O18" s="1032"/>
      <c r="P18" s="1032"/>
      <c r="Q18" s="1032"/>
      <c r="R18" s="1032"/>
      <c r="S18" s="202"/>
      <c r="T18" s="1033" t="s">
        <v>63</v>
      </c>
      <c r="U18" s="1034"/>
      <c r="V18" s="1034"/>
      <c r="W18" s="1035"/>
      <c r="X18" s="129"/>
    </row>
    <row r="19" spans="2:24" ht="15.75" customHeight="1" x14ac:dyDescent="0.3">
      <c r="B19" s="126"/>
      <c r="C19" s="1032"/>
      <c r="D19" s="1032"/>
      <c r="E19" s="1032"/>
      <c r="F19" s="1032"/>
      <c r="G19" s="1032"/>
      <c r="H19" s="1032"/>
      <c r="I19" s="1032"/>
      <c r="J19" s="1032"/>
      <c r="K19" s="1032"/>
      <c r="L19" s="1032"/>
      <c r="M19" s="1032"/>
      <c r="N19" s="1032"/>
      <c r="O19" s="1032"/>
      <c r="P19" s="1032"/>
      <c r="Q19" s="1032"/>
      <c r="R19" s="1032"/>
      <c r="S19" s="202"/>
      <c r="T19" s="1036"/>
      <c r="U19" s="917"/>
      <c r="V19" s="917"/>
      <c r="W19" s="1037"/>
      <c r="X19" s="129"/>
    </row>
    <row r="20" spans="2:24" ht="15.75" customHeight="1" x14ac:dyDescent="0.3">
      <c r="B20" s="126"/>
      <c r="C20" s="1032"/>
      <c r="D20" s="1032"/>
      <c r="E20" s="1032"/>
      <c r="F20" s="1032"/>
      <c r="G20" s="1032"/>
      <c r="H20" s="1032"/>
      <c r="I20" s="1032"/>
      <c r="J20" s="1032"/>
      <c r="K20" s="1032"/>
      <c r="L20" s="1032"/>
      <c r="M20" s="1032"/>
      <c r="N20" s="1032"/>
      <c r="O20" s="1032"/>
      <c r="P20" s="1032"/>
      <c r="Q20" s="1032"/>
      <c r="R20" s="1032"/>
      <c r="S20" s="202"/>
      <c r="T20" s="18"/>
      <c r="U20" s="205"/>
      <c r="V20" s="830">
        <f>'Input 6b_Antibody Transfer'!T26</f>
        <v>0.91860728333333341</v>
      </c>
      <c r="W20" s="206"/>
      <c r="X20" s="129"/>
    </row>
    <row r="21" spans="2:24" ht="15.75" customHeight="1" thickBot="1" x14ac:dyDescent="0.35">
      <c r="B21" s="126"/>
      <c r="C21" s="1032"/>
      <c r="D21" s="1032"/>
      <c r="E21" s="1032"/>
      <c r="F21" s="1032"/>
      <c r="G21" s="1032"/>
      <c r="H21" s="1032"/>
      <c r="I21" s="1032"/>
      <c r="J21" s="1032"/>
      <c r="K21" s="1032"/>
      <c r="L21" s="1032"/>
      <c r="M21" s="1032"/>
      <c r="N21" s="1032"/>
      <c r="O21" s="1032"/>
      <c r="P21" s="1032"/>
      <c r="Q21" s="1032"/>
      <c r="R21" s="1032"/>
      <c r="S21" s="202"/>
      <c r="U21" s="204"/>
      <c r="V21" s="204"/>
      <c r="W21" s="204"/>
      <c r="X21" s="129"/>
    </row>
    <row r="22" spans="2:24" ht="15.75" customHeight="1" thickTop="1" x14ac:dyDescent="0.3">
      <c r="B22" s="126"/>
      <c r="C22" s="1032"/>
      <c r="D22" s="1032"/>
      <c r="E22" s="1032"/>
      <c r="F22" s="1032"/>
      <c r="G22" s="1032"/>
      <c r="H22" s="1032"/>
      <c r="I22" s="1032"/>
      <c r="J22" s="1032"/>
      <c r="K22" s="1032"/>
      <c r="L22" s="1032"/>
      <c r="M22" s="1032"/>
      <c r="N22" s="1032"/>
      <c r="O22" s="1032"/>
      <c r="P22" s="1032"/>
      <c r="Q22" s="1032"/>
      <c r="R22" s="1032"/>
      <c r="S22" s="202"/>
      <c r="U22" s="1026" t="s">
        <v>306</v>
      </c>
      <c r="V22" s="1027"/>
      <c r="W22" s="1028"/>
      <c r="X22" s="129"/>
    </row>
    <row r="23" spans="2:24" ht="15.75" customHeight="1" thickBot="1" x14ac:dyDescent="0.35">
      <c r="B23" s="126"/>
      <c r="C23" s="1032"/>
      <c r="D23" s="1032"/>
      <c r="E23" s="1032"/>
      <c r="F23" s="1032"/>
      <c r="G23" s="1032"/>
      <c r="H23" s="1032"/>
      <c r="I23" s="1032"/>
      <c r="J23" s="1032"/>
      <c r="K23" s="1032"/>
      <c r="L23" s="1032"/>
      <c r="M23" s="1032"/>
      <c r="N23" s="1032"/>
      <c r="O23" s="1032"/>
      <c r="P23" s="1032"/>
      <c r="Q23" s="1032"/>
      <c r="R23" s="1032"/>
      <c r="S23" s="202"/>
      <c r="U23" s="1029"/>
      <c r="V23" s="1030"/>
      <c r="W23" s="1031"/>
      <c r="X23" s="129"/>
    </row>
    <row r="24" spans="2:24" ht="11.25" customHeight="1" thickTop="1" thickBot="1" x14ac:dyDescent="0.35">
      <c r="B24" s="133"/>
      <c r="C24" s="151"/>
      <c r="D24" s="151"/>
      <c r="E24" s="134"/>
      <c r="F24" s="134"/>
      <c r="G24" s="134"/>
      <c r="H24" s="134"/>
      <c r="I24" s="134"/>
      <c r="J24" s="134"/>
      <c r="K24" s="134"/>
      <c r="L24" s="134"/>
      <c r="M24" s="134"/>
      <c r="N24" s="191"/>
      <c r="O24" s="134"/>
      <c r="P24" s="134"/>
      <c r="Q24" s="134"/>
      <c r="R24" s="134"/>
      <c r="S24" s="134"/>
      <c r="T24" s="134"/>
      <c r="U24" s="134"/>
      <c r="V24" s="134"/>
      <c r="W24" s="134"/>
      <c r="X24" s="135"/>
    </row>
    <row r="25" spans="2:24" ht="12" customHeight="1" thickBot="1" x14ac:dyDescent="0.4">
      <c r="C25" s="130"/>
      <c r="D25" s="13"/>
      <c r="E25" s="13"/>
      <c r="F25" s="13"/>
      <c r="G25" s="13"/>
      <c r="H25" s="13"/>
      <c r="I25" s="13"/>
      <c r="J25" s="13"/>
      <c r="K25" s="13"/>
      <c r="L25" s="13"/>
      <c r="M25" s="13"/>
      <c r="N25" s="101"/>
      <c r="O25" s="13"/>
      <c r="P25" s="13"/>
      <c r="Q25" s="13"/>
      <c r="R25" s="13"/>
    </row>
    <row r="26" spans="2:24" ht="20.25" customHeight="1" thickTop="1" x14ac:dyDescent="0.3">
      <c r="C26" s="979" t="s">
        <v>113</v>
      </c>
      <c r="D26" s="980"/>
      <c r="E26" s="981"/>
      <c r="U26" s="979" t="s">
        <v>126</v>
      </c>
      <c r="V26" s="980"/>
      <c r="W26" s="981"/>
    </row>
    <row r="27" spans="2:24" ht="20.25" customHeight="1" thickBot="1" x14ac:dyDescent="0.35">
      <c r="C27" s="982"/>
      <c r="D27" s="983"/>
      <c r="E27" s="984"/>
      <c r="U27" s="982"/>
      <c r="V27" s="983"/>
      <c r="W27" s="984"/>
    </row>
    <row r="28" spans="2:24" ht="15" thickTop="1" x14ac:dyDescent="0.3"/>
    <row r="29" spans="2:24" s="288" customFormat="1" ht="15" customHeight="1" x14ac:dyDescent="0.3">
      <c r="B29" s="819" t="s">
        <v>21</v>
      </c>
      <c r="C29" s="921" t="s">
        <v>507</v>
      </c>
      <c r="D29" s="921"/>
      <c r="E29" s="921"/>
      <c r="F29" s="921"/>
      <c r="G29" s="921"/>
      <c r="H29" s="921"/>
      <c r="I29" s="921"/>
      <c r="J29" s="921"/>
      <c r="K29" s="921"/>
      <c r="L29" s="921"/>
      <c r="M29" s="921"/>
      <c r="N29" s="921"/>
      <c r="O29" s="921"/>
      <c r="P29" s="921"/>
      <c r="Q29" s="921"/>
      <c r="R29" s="921"/>
      <c r="S29" s="921"/>
      <c r="T29" s="921"/>
      <c r="U29" s="921"/>
      <c r="V29" s="921"/>
      <c r="W29" s="921"/>
      <c r="X29" s="921"/>
    </row>
    <row r="30" spans="2:24" s="812" customFormat="1" ht="15" customHeight="1" x14ac:dyDescent="0.3">
      <c r="C30" s="921"/>
      <c r="D30" s="921"/>
      <c r="E30" s="921"/>
      <c r="F30" s="921"/>
      <c r="G30" s="921"/>
      <c r="H30" s="921"/>
      <c r="I30" s="921"/>
      <c r="J30" s="921"/>
      <c r="K30" s="921"/>
      <c r="L30" s="921"/>
      <c r="M30" s="921"/>
      <c r="N30" s="921"/>
      <c r="O30" s="921"/>
      <c r="P30" s="921"/>
      <c r="Q30" s="921"/>
      <c r="R30" s="921"/>
      <c r="S30" s="921"/>
      <c r="T30" s="921"/>
      <c r="U30" s="921"/>
      <c r="V30" s="921"/>
      <c r="W30" s="921"/>
      <c r="X30" s="921"/>
    </row>
    <row r="31" spans="2:24" s="812" customFormat="1" ht="15" customHeight="1" x14ac:dyDescent="0.3">
      <c r="C31" s="921"/>
      <c r="D31" s="921"/>
      <c r="E31" s="921"/>
      <c r="F31" s="921"/>
      <c r="G31" s="921"/>
      <c r="H31" s="921"/>
      <c r="I31" s="921"/>
      <c r="J31" s="921"/>
      <c r="K31" s="921"/>
      <c r="L31" s="921"/>
      <c r="M31" s="921"/>
      <c r="N31" s="921"/>
      <c r="O31" s="921"/>
      <c r="P31" s="921"/>
      <c r="Q31" s="921"/>
      <c r="R31" s="921"/>
      <c r="S31" s="921"/>
      <c r="T31" s="921"/>
      <c r="U31" s="921"/>
      <c r="V31" s="921"/>
      <c r="W31" s="921"/>
      <c r="X31" s="921"/>
    </row>
    <row r="32" spans="2:24" s="288" customFormat="1" ht="15.6" customHeight="1" x14ac:dyDescent="0.3">
      <c r="B32" s="818" t="s">
        <v>446</v>
      </c>
      <c r="C32" s="921" t="s">
        <v>508</v>
      </c>
      <c r="D32" s="921"/>
      <c r="E32" s="921"/>
      <c r="F32" s="921"/>
      <c r="G32" s="921"/>
      <c r="H32" s="921"/>
      <c r="I32" s="921"/>
      <c r="J32" s="921"/>
      <c r="K32" s="921"/>
      <c r="L32" s="921"/>
      <c r="M32" s="921"/>
      <c r="N32" s="921"/>
      <c r="O32" s="921"/>
      <c r="P32" s="921"/>
      <c r="Q32" s="921"/>
      <c r="R32" s="921"/>
      <c r="S32" s="921"/>
      <c r="T32" s="921"/>
      <c r="U32" s="921"/>
      <c r="V32" s="921"/>
      <c r="W32" s="921"/>
      <c r="X32" s="921"/>
    </row>
    <row r="33" spans="2:24" s="288" customFormat="1" ht="15" customHeight="1" x14ac:dyDescent="0.3">
      <c r="B33" s="813"/>
      <c r="C33" s="921"/>
      <c r="D33" s="921"/>
      <c r="E33" s="921"/>
      <c r="F33" s="921"/>
      <c r="G33" s="921"/>
      <c r="H33" s="921"/>
      <c r="I33" s="921"/>
      <c r="J33" s="921"/>
      <c r="K33" s="921"/>
      <c r="L33" s="921"/>
      <c r="M33" s="921"/>
      <c r="N33" s="921"/>
      <c r="O33" s="921"/>
      <c r="P33" s="921"/>
      <c r="Q33" s="921"/>
      <c r="R33" s="921"/>
      <c r="S33" s="921"/>
      <c r="T33" s="921"/>
      <c r="U33" s="921"/>
      <c r="V33" s="921"/>
      <c r="W33" s="921"/>
      <c r="X33" s="921"/>
    </row>
    <row r="34" spans="2:24" x14ac:dyDescent="0.3">
      <c r="C34" s="921"/>
      <c r="D34" s="921"/>
      <c r="E34" s="921"/>
      <c r="F34" s="921"/>
      <c r="G34" s="921"/>
      <c r="H34" s="921"/>
      <c r="I34" s="921"/>
      <c r="J34" s="921"/>
      <c r="K34" s="921"/>
      <c r="L34" s="921"/>
      <c r="M34" s="921"/>
      <c r="N34" s="921"/>
      <c r="O34" s="921"/>
      <c r="P34" s="921"/>
      <c r="Q34" s="921"/>
      <c r="R34" s="921"/>
      <c r="S34" s="921"/>
      <c r="T34" s="921"/>
      <c r="U34" s="921"/>
      <c r="V34" s="921"/>
      <c r="W34" s="921"/>
      <c r="X34" s="921"/>
    </row>
    <row r="35" spans="2:24" x14ac:dyDescent="0.3">
      <c r="B35" s="2"/>
      <c r="C35" s="921"/>
      <c r="D35" s="921"/>
      <c r="E35" s="921"/>
      <c r="F35" s="921"/>
      <c r="G35" s="921"/>
      <c r="H35" s="921"/>
      <c r="I35" s="921"/>
      <c r="J35" s="921"/>
      <c r="K35" s="921"/>
      <c r="L35" s="921"/>
      <c r="M35" s="921"/>
      <c r="N35" s="921"/>
      <c r="O35" s="921"/>
      <c r="P35" s="921"/>
      <c r="Q35" s="921"/>
      <c r="R35" s="921"/>
      <c r="S35" s="921"/>
      <c r="T35" s="921"/>
      <c r="U35" s="921"/>
      <c r="V35" s="921"/>
      <c r="W35" s="921"/>
      <c r="X35" s="921"/>
    </row>
    <row r="36" spans="2:24" x14ac:dyDescent="0.3">
      <c r="C36" s="921"/>
      <c r="D36" s="921"/>
      <c r="E36" s="921"/>
      <c r="F36" s="921"/>
      <c r="G36" s="921"/>
      <c r="H36" s="921"/>
      <c r="I36" s="921"/>
      <c r="J36" s="921"/>
      <c r="K36" s="921"/>
      <c r="L36" s="921"/>
      <c r="M36" s="921"/>
      <c r="N36" s="921"/>
      <c r="O36" s="921"/>
      <c r="P36" s="921"/>
      <c r="Q36" s="921"/>
      <c r="R36" s="921"/>
      <c r="S36" s="921"/>
      <c r="T36" s="921"/>
      <c r="U36" s="921"/>
      <c r="V36" s="921"/>
      <c r="W36" s="921"/>
      <c r="X36" s="921"/>
    </row>
    <row r="37" spans="2:24" x14ac:dyDescent="0.3">
      <c r="C37" s="921"/>
      <c r="D37" s="921"/>
      <c r="E37" s="921"/>
      <c r="F37" s="921"/>
      <c r="G37" s="921"/>
      <c r="H37" s="921"/>
      <c r="I37" s="921"/>
      <c r="J37" s="921"/>
      <c r="K37" s="921"/>
      <c r="L37" s="921"/>
      <c r="M37" s="921"/>
      <c r="N37" s="921"/>
      <c r="O37" s="921"/>
      <c r="P37" s="921"/>
      <c r="Q37" s="921"/>
      <c r="R37" s="921"/>
      <c r="S37" s="921"/>
      <c r="T37" s="921"/>
      <c r="U37" s="921"/>
      <c r="V37" s="921"/>
      <c r="W37" s="921"/>
      <c r="X37" s="921"/>
    </row>
  </sheetData>
  <sheetProtection algorithmName="SHA-256" hashValue="icu85wfe8i1nAHaBgr5jyVPNRJwo45nbvY/8VsS47w4=" saltValue="Ni+BweL/f4CGjCTdewJdBg==" spinCount="100000" sheet="1" objects="1" scenarios="1"/>
  <mergeCells count="22">
    <mergeCell ref="C35:X37"/>
    <mergeCell ref="C29:X31"/>
    <mergeCell ref="C32:X34"/>
    <mergeCell ref="C5:W6"/>
    <mergeCell ref="C15:E16"/>
    <mergeCell ref="T15:W16"/>
    <mergeCell ref="C12:E13"/>
    <mergeCell ref="T12:W13"/>
    <mergeCell ref="T14:W14"/>
    <mergeCell ref="G7:I8"/>
    <mergeCell ref="G9:I9"/>
    <mergeCell ref="G12:I12"/>
    <mergeCell ref="G15:I15"/>
    <mergeCell ref="K7:O7"/>
    <mergeCell ref="Q7:R8"/>
    <mergeCell ref="T8:W8"/>
    <mergeCell ref="T9:W10"/>
    <mergeCell ref="U26:W27"/>
    <mergeCell ref="U22:W23"/>
    <mergeCell ref="C18:R23"/>
    <mergeCell ref="C26:E27"/>
    <mergeCell ref="T18:W19"/>
  </mergeCells>
  <dataValidations count="2">
    <dataValidation type="list" allowBlank="1" showInputMessage="1" showErrorMessage="1" error="You must enter a value from the dropdown menu. Press &quot;escape&quot; and click on this input cell again to make a selection." sqref="Q12">
      <formula1>$AG$5:$AG$7</formula1>
    </dataValidation>
    <dataValidation type="list" allowBlank="1" showInputMessage="1" showErrorMessage="1" error="You must enter a value from the dropdown menu. Press &quot;escape&quot; and click on this input cell again to make a selection." sqref="Q15">
      <formula1>$AH$5:$AH$7</formula1>
    </dataValidation>
  </dataValidations>
  <hyperlinks>
    <hyperlink ref="C26:D27" location="HOMEPAGE!A1" display="HOMEPAGE!A1"/>
    <hyperlink ref="C26" location="'Input 1_Population'!A1" display="'Input 1_Population'!A1"/>
    <hyperlink ref="C26:E27" location="'Input 5_Product Uptake'!A1" display="'Input 5_Product Uptake'!A1"/>
    <hyperlink ref="U22:W23" location="'Input 6b_Antibody Transfer'!A1" display="View Antibody Transfer Calculations"/>
    <hyperlink ref="U26:W27" location="Results!A1" display="Results!A1"/>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 id="{A43686E7-9705-4857-9792-62B7A14DB4E0}">
            <xm:f>'Input 5_Product Uptake'!$M$13:$M$13=0</xm:f>
            <x14:dxf>
              <font>
                <color theme="1" tint="0.34998626667073579"/>
              </font>
              <fill>
                <patternFill>
                  <bgColor theme="1" tint="0.34998626667073579"/>
                </patternFill>
              </fill>
              <border>
                <left/>
                <right/>
                <top/>
                <bottom/>
                <vertical/>
                <horizontal/>
              </border>
            </x14:dxf>
          </x14:cfRule>
          <xm:sqref>K12 M12 O12:P12</xm:sqref>
        </x14:conditionalFormatting>
        <x14:conditionalFormatting xmlns:xm="http://schemas.microsoft.com/office/excel/2006/main">
          <x14:cfRule type="expression" priority="4" stopIfTrue="1" id="{50F07A15-2815-4EA2-AB8A-9F174B5DCB3D}">
            <xm:f>'Input 5_Product Uptake'!$M$9=0</xm:f>
            <x14:dxf>
              <font>
                <color theme="1" tint="0.24994659260841701"/>
              </font>
              <fill>
                <patternFill patternType="solid">
                  <fgColor theme="2" tint="-0.499984740745262"/>
                  <bgColor theme="1" tint="0.24994659260841701"/>
                </patternFill>
              </fill>
            </x14:dxf>
          </x14:cfRule>
          <xm:sqref>K9</xm:sqref>
        </x14:conditionalFormatting>
        <x14:conditionalFormatting xmlns:xm="http://schemas.microsoft.com/office/excel/2006/main">
          <x14:cfRule type="expression" priority="14" id="{A46762A6-35C6-4C55-BA31-54E67F598388}">
            <xm:f>'Input 5_Product Uptake'!$M$20:$M$20=0</xm:f>
            <x14:dxf>
              <font>
                <color theme="1" tint="0.34998626667073579"/>
              </font>
              <fill>
                <patternFill>
                  <bgColor theme="1" tint="0.34998626667073579"/>
                </patternFill>
              </fill>
              <border>
                <left/>
                <right/>
                <top/>
                <bottom/>
                <vertical/>
                <horizontal/>
              </border>
            </x14:dxf>
          </x14:cfRule>
          <xm:sqref>K15 M15 O15:P15</xm:sqref>
        </x14:conditionalFormatting>
        <x14:conditionalFormatting xmlns:xm="http://schemas.microsoft.com/office/excel/2006/main">
          <x14:cfRule type="expression" priority="2" id="{6E3F5B22-D24A-48A9-848E-A9D7F28E2AE0}">
            <xm:f>'Input 5_Product Uptake'!$M$13:$M$13=0</xm:f>
            <x14:dxf>
              <font>
                <color theme="1" tint="0.34998626667073579"/>
              </font>
              <fill>
                <patternFill>
                  <bgColor theme="1" tint="0.34998626667073579"/>
                </patternFill>
              </fill>
              <border>
                <left/>
                <right/>
                <top/>
                <bottom/>
                <vertical/>
                <horizontal/>
              </border>
            </x14:dxf>
          </x14:cfRule>
          <xm:sqref>Q12</xm:sqref>
        </x14:conditionalFormatting>
        <x14:conditionalFormatting xmlns:xm="http://schemas.microsoft.com/office/excel/2006/main">
          <x14:cfRule type="expression" priority="1" stopIfTrue="1" id="{BCAE8429-DEB0-4246-87E0-0F5F3DD215B4}">
            <xm:f>'Input 5_Product Uptake'!$M$9=0</xm:f>
            <x14:dxf>
              <font>
                <color theme="1" tint="0.24994659260841701"/>
              </font>
              <fill>
                <patternFill patternType="solid">
                  <fgColor theme="2" tint="-0.499984740745262"/>
                  <bgColor theme="1" tint="0.24994659260841701"/>
                </patternFill>
              </fill>
            </x14:dxf>
          </x14:cfRule>
          <xm:sqref>Q9</xm:sqref>
        </x14:conditionalFormatting>
        <x14:conditionalFormatting xmlns:xm="http://schemas.microsoft.com/office/excel/2006/main">
          <x14:cfRule type="expression" priority="3" id="{44476B42-CE58-4AFC-B50B-1DFD1C618A98}">
            <xm:f>'Input 5_Product Uptake'!$M$20:$M$20=0</xm:f>
            <x14:dxf>
              <font>
                <color theme="1" tint="0.34998626667073579"/>
              </font>
              <fill>
                <patternFill>
                  <bgColor theme="1" tint="0.34998626667073579"/>
                </patternFill>
              </fill>
              <border>
                <left/>
                <right/>
                <top/>
                <bottom/>
                <vertical/>
                <horizontal/>
              </border>
            </x14:dxf>
          </x14:cfRule>
          <xm:sqref>Q15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W41"/>
  <sheetViews>
    <sheetView showRowColHeaders="0" zoomScale="115" zoomScaleNormal="115" workbookViewId="0"/>
  </sheetViews>
  <sheetFormatPr defaultRowHeight="14.4" x14ac:dyDescent="0.3"/>
  <cols>
    <col min="1" max="1" width="5.6640625" customWidth="1"/>
    <col min="2" max="2" width="11.33203125" customWidth="1"/>
    <col min="4" max="4" width="7.6640625" customWidth="1"/>
    <col min="5" max="5" width="8" customWidth="1"/>
    <col min="6" max="19" width="7.6640625" customWidth="1"/>
  </cols>
  <sheetData>
    <row r="1" spans="1:20" ht="6.75" customHeight="1" x14ac:dyDescent="0.3"/>
    <row r="2" spans="1:20" ht="15.6" x14ac:dyDescent="0.3">
      <c r="B2" s="209" t="s">
        <v>482</v>
      </c>
    </row>
    <row r="3" spans="1:20" ht="8.25" customHeight="1" x14ac:dyDescent="0.3"/>
    <row r="4" spans="1:20" ht="16.2" x14ac:dyDescent="0.3">
      <c r="D4" s="1046" t="s">
        <v>60</v>
      </c>
      <c r="E4" s="1048"/>
      <c r="F4" s="1046" t="s">
        <v>57</v>
      </c>
      <c r="G4" s="1047"/>
      <c r="H4" s="1047"/>
      <c r="I4" s="1047"/>
      <c r="J4" s="1047"/>
      <c r="K4" s="1047"/>
      <c r="L4" s="1047"/>
      <c r="M4" s="1048"/>
      <c r="N4" s="1046" t="s">
        <v>56</v>
      </c>
      <c r="O4" s="1047"/>
      <c r="P4" s="1047"/>
      <c r="Q4" s="1047"/>
      <c r="R4" s="1048"/>
      <c r="S4" s="17"/>
      <c r="T4" s="210"/>
    </row>
    <row r="5" spans="1:20" x14ac:dyDescent="0.3">
      <c r="D5" s="211" t="s">
        <v>52</v>
      </c>
      <c r="E5" s="79">
        <v>28</v>
      </c>
      <c r="F5" s="170">
        <f>E5+1</f>
        <v>29</v>
      </c>
      <c r="G5" s="170">
        <f t="shared" ref="G5:R5" si="0">F5+1</f>
        <v>30</v>
      </c>
      <c r="H5" s="170">
        <f t="shared" si="0"/>
        <v>31</v>
      </c>
      <c r="I5" s="170">
        <f t="shared" si="0"/>
        <v>32</v>
      </c>
      <c r="J5" s="170">
        <f t="shared" si="0"/>
        <v>33</v>
      </c>
      <c r="K5" s="170">
        <f t="shared" si="0"/>
        <v>34</v>
      </c>
      <c r="L5" s="170">
        <f t="shared" si="0"/>
        <v>35</v>
      </c>
      <c r="M5" s="79">
        <f t="shared" si="0"/>
        <v>36</v>
      </c>
      <c r="N5" s="170">
        <f t="shared" si="0"/>
        <v>37</v>
      </c>
      <c r="O5" s="170">
        <f t="shared" si="0"/>
        <v>38</v>
      </c>
      <c r="P5" s="170">
        <f t="shared" si="0"/>
        <v>39</v>
      </c>
      <c r="Q5" s="170">
        <f t="shared" si="0"/>
        <v>40</v>
      </c>
      <c r="R5" s="79">
        <f t="shared" si="0"/>
        <v>41</v>
      </c>
      <c r="S5" s="170" t="s">
        <v>53</v>
      </c>
      <c r="T5" s="212" t="s">
        <v>59</v>
      </c>
    </row>
    <row r="6" spans="1:20" x14ac:dyDescent="0.3">
      <c r="B6" s="1045" t="s">
        <v>55</v>
      </c>
      <c r="C6" s="1045"/>
      <c r="D6" s="86">
        <v>6.7999999999999996E-3</v>
      </c>
      <c r="E6" s="80">
        <f>0.0092/4</f>
        <v>2.3E-3</v>
      </c>
      <c r="F6" s="77">
        <f>0.0092/4</f>
        <v>2.3E-3</v>
      </c>
      <c r="G6" s="77">
        <f>0.0092/4</f>
        <v>2.3E-3</v>
      </c>
      <c r="H6" s="77">
        <f>0.0092/4</f>
        <v>2.3E-3</v>
      </c>
      <c r="I6" s="77">
        <f>0.0117/2</f>
        <v>5.8500000000000002E-3</v>
      </c>
      <c r="J6" s="77">
        <f>0.0117/2</f>
        <v>5.8500000000000002E-3</v>
      </c>
      <c r="K6" s="77">
        <f>0.0709/3</f>
        <v>2.3633333333333336E-2</v>
      </c>
      <c r="L6" s="77">
        <f>0.0709/3</f>
        <v>2.3633333333333336E-2</v>
      </c>
      <c r="M6" s="80">
        <f>0.0709/3</f>
        <v>2.3633333333333336E-2</v>
      </c>
      <c r="N6" s="77">
        <f>0.2547/2</f>
        <v>0.12734999999999999</v>
      </c>
      <c r="O6" s="77">
        <f>0.2547/2</f>
        <v>0.12734999999999999</v>
      </c>
      <c r="P6" s="77">
        <f>0.5794/2</f>
        <v>0.28970000000000001</v>
      </c>
      <c r="Q6" s="77">
        <f>0.5794/2</f>
        <v>0.28970000000000001</v>
      </c>
      <c r="R6" s="80">
        <v>6.3799999999999996E-2</v>
      </c>
      <c r="S6" s="77">
        <v>3.5000000000000001E-3</v>
      </c>
      <c r="T6" s="213">
        <f>SUM(D6:S6)</f>
        <v>1</v>
      </c>
    </row>
    <row r="7" spans="1:20" x14ac:dyDescent="0.3">
      <c r="D7" s="11"/>
      <c r="N7" s="13"/>
      <c r="O7" s="13"/>
      <c r="P7" s="13"/>
      <c r="Q7" s="13"/>
      <c r="R7" s="78"/>
      <c r="S7" s="13"/>
      <c r="T7" s="214"/>
    </row>
    <row r="8" spans="1:20" x14ac:dyDescent="0.3">
      <c r="B8" s="1045" t="s">
        <v>88</v>
      </c>
      <c r="C8" s="1045"/>
      <c r="D8" s="1186">
        <v>0.03</v>
      </c>
      <c r="E8" s="1187">
        <v>0.14399999999999999</v>
      </c>
      <c r="F8" s="1188">
        <v>0.14399999999999999</v>
      </c>
      <c r="G8" s="1188">
        <v>0.14399999999999999</v>
      </c>
      <c r="H8" s="1188">
        <v>0.14399999999999999</v>
      </c>
      <c r="I8" s="1188">
        <v>0.14399999999999999</v>
      </c>
      <c r="J8" s="1188">
        <v>0.12</v>
      </c>
      <c r="K8" s="1188">
        <v>0.1</v>
      </c>
      <c r="L8" s="1188">
        <v>0.03</v>
      </c>
      <c r="M8" s="1187">
        <v>0</v>
      </c>
      <c r="N8" s="1189"/>
      <c r="O8" s="1189"/>
      <c r="P8" s="1189"/>
      <c r="Q8" s="1189"/>
      <c r="R8" s="1190"/>
      <c r="S8" s="1189"/>
      <c r="T8" s="213">
        <f>SUM(D8:S8)</f>
        <v>1</v>
      </c>
    </row>
    <row r="9" spans="1:20" ht="15" customHeight="1" x14ac:dyDescent="0.3">
      <c r="A9" s="74"/>
      <c r="B9" s="74"/>
      <c r="C9" s="74"/>
      <c r="D9" s="11"/>
      <c r="E9" s="78"/>
      <c r="F9" s="13"/>
      <c r="G9" s="13"/>
      <c r="H9" s="13"/>
      <c r="I9" s="13"/>
      <c r="J9" s="13"/>
      <c r="K9" s="13"/>
      <c r="L9" s="13"/>
      <c r="M9" s="78"/>
      <c r="N9" s="13"/>
      <c r="O9" s="13"/>
      <c r="P9" s="13"/>
      <c r="Q9" s="13"/>
      <c r="R9" s="78"/>
      <c r="S9" s="13"/>
      <c r="T9" s="214"/>
    </row>
    <row r="10" spans="1:20" x14ac:dyDescent="0.3">
      <c r="A10" s="73"/>
      <c r="B10" s="1049" t="s">
        <v>58</v>
      </c>
      <c r="C10" s="1">
        <v>0</v>
      </c>
      <c r="D10" s="217">
        <v>0</v>
      </c>
      <c r="E10" s="218">
        <v>0</v>
      </c>
      <c r="F10" s="219">
        <v>0</v>
      </c>
      <c r="G10" s="219">
        <v>0</v>
      </c>
      <c r="H10" s="219">
        <v>0</v>
      </c>
      <c r="I10" s="219">
        <v>0</v>
      </c>
      <c r="J10" s="219">
        <v>0</v>
      </c>
      <c r="K10" s="219">
        <v>0</v>
      </c>
      <c r="L10" s="219">
        <v>0</v>
      </c>
      <c r="M10" s="218"/>
      <c r="N10" s="220"/>
      <c r="O10" s="220"/>
      <c r="P10" s="220"/>
      <c r="Q10" s="220"/>
      <c r="R10" s="221"/>
      <c r="S10" s="220"/>
      <c r="T10" s="214"/>
    </row>
    <row r="11" spans="1:20" x14ac:dyDescent="0.3">
      <c r="B11" s="1049"/>
      <c r="C11" s="1">
        <v>1</v>
      </c>
      <c r="D11" s="217"/>
      <c r="E11" s="218">
        <v>0</v>
      </c>
      <c r="F11" s="219">
        <v>0</v>
      </c>
      <c r="G11" s="219">
        <v>0</v>
      </c>
      <c r="H11" s="219">
        <v>0</v>
      </c>
      <c r="I11" s="219">
        <v>0</v>
      </c>
      <c r="J11" s="219">
        <v>0</v>
      </c>
      <c r="K11" s="219">
        <v>0</v>
      </c>
      <c r="L11" s="219">
        <v>0</v>
      </c>
      <c r="M11" s="218">
        <v>0</v>
      </c>
      <c r="N11" s="220"/>
      <c r="O11" s="220"/>
      <c r="P11" s="220"/>
      <c r="Q11" s="220"/>
      <c r="R11" s="221"/>
      <c r="S11" s="220"/>
      <c r="T11" s="214"/>
    </row>
    <row r="12" spans="1:20" x14ac:dyDescent="0.3">
      <c r="B12" s="1049"/>
      <c r="C12" s="1">
        <v>2</v>
      </c>
      <c r="D12" s="222"/>
      <c r="E12" s="221"/>
      <c r="F12" s="219">
        <v>0</v>
      </c>
      <c r="G12" s="219">
        <v>0</v>
      </c>
      <c r="H12" s="219">
        <v>0</v>
      </c>
      <c r="I12" s="219">
        <v>0</v>
      </c>
      <c r="J12" s="223">
        <v>0.25</v>
      </c>
      <c r="K12" s="223">
        <v>0.25</v>
      </c>
      <c r="L12" s="223">
        <v>0.25</v>
      </c>
      <c r="M12" s="224">
        <v>0.25</v>
      </c>
      <c r="N12" s="225">
        <v>0.5</v>
      </c>
      <c r="O12" s="225"/>
      <c r="P12" s="220"/>
      <c r="Q12" s="220"/>
      <c r="R12" s="221"/>
      <c r="S12" s="220"/>
      <c r="T12" s="215">
        <f>SUM((H8*J6*J12),(K6*I8*K12),(L6*J8*L12),(M6*K8*M12),(N6*L8*N12))</f>
        <v>4.2714833333333336E-3</v>
      </c>
    </row>
    <row r="13" spans="1:20" x14ac:dyDescent="0.3">
      <c r="B13" s="1049"/>
      <c r="C13" s="1">
        <v>3</v>
      </c>
      <c r="D13" s="222"/>
      <c r="E13" s="221"/>
      <c r="F13" s="219"/>
      <c r="G13" s="219">
        <v>0</v>
      </c>
      <c r="H13" s="219">
        <v>0</v>
      </c>
      <c r="I13" s="219">
        <v>0</v>
      </c>
      <c r="J13" s="223">
        <v>0.25</v>
      </c>
      <c r="K13" s="223">
        <v>0.25</v>
      </c>
      <c r="L13" s="223">
        <v>0.25</v>
      </c>
      <c r="M13" s="224">
        <v>0.25</v>
      </c>
      <c r="N13" s="225">
        <v>0.5</v>
      </c>
      <c r="O13" s="225">
        <v>0.5</v>
      </c>
      <c r="P13" s="220"/>
      <c r="Q13" s="220"/>
      <c r="R13" s="221"/>
      <c r="S13" s="220"/>
      <c r="T13" s="215">
        <f>SUM((G8*J6*J13),(K6*H8*K13),(L6*I8*L13),(M6*J8*M13),(N6*K8*N13),(O6*L8*O13))</f>
        <v>1.0898950000000001E-2</v>
      </c>
    </row>
    <row r="14" spans="1:20" x14ac:dyDescent="0.3">
      <c r="B14" s="1049"/>
      <c r="C14" s="1">
        <v>4</v>
      </c>
      <c r="D14" s="222"/>
      <c r="E14" s="221"/>
      <c r="F14" s="219"/>
      <c r="G14" s="219"/>
      <c r="H14" s="219">
        <v>0</v>
      </c>
      <c r="I14" s="219">
        <v>0</v>
      </c>
      <c r="J14" s="225">
        <v>0.5</v>
      </c>
      <c r="K14" s="225">
        <v>0.5</v>
      </c>
      <c r="L14" s="225">
        <v>0.5</v>
      </c>
      <c r="M14" s="226">
        <v>0.5</v>
      </c>
      <c r="N14" s="227">
        <v>1</v>
      </c>
      <c r="O14" s="227">
        <v>1</v>
      </c>
      <c r="P14" s="227">
        <v>1</v>
      </c>
      <c r="Q14" s="227"/>
      <c r="R14" s="228"/>
      <c r="S14" s="227"/>
      <c r="T14" s="215">
        <f>SUM((F8*J6*J14),(K6*G8*K14),(L6*H8*L14),(M6*I8*M14),(N6*J8*N14),(O6*K8*O14),(P6*L8*P14))</f>
        <v>4.2234000000000008E-2</v>
      </c>
    </row>
    <row r="15" spans="1:20" x14ac:dyDescent="0.3">
      <c r="B15" s="1049"/>
      <c r="C15" s="1">
        <v>5</v>
      </c>
      <c r="D15" s="222"/>
      <c r="E15" s="221"/>
      <c r="F15" s="219"/>
      <c r="G15" s="219"/>
      <c r="H15" s="219"/>
      <c r="I15" s="219">
        <v>0</v>
      </c>
      <c r="J15" s="225">
        <v>0.5</v>
      </c>
      <c r="K15" s="225">
        <v>0.5</v>
      </c>
      <c r="L15" s="225">
        <v>0.5</v>
      </c>
      <c r="M15" s="226">
        <v>0.5</v>
      </c>
      <c r="N15" s="227">
        <v>1</v>
      </c>
      <c r="O15" s="227">
        <v>1</v>
      </c>
      <c r="P15" s="227">
        <v>1</v>
      </c>
      <c r="Q15" s="227">
        <v>1</v>
      </c>
      <c r="R15" s="228"/>
      <c r="S15" s="227"/>
      <c r="T15" s="215">
        <f>SUM((E8*J6*J15),(K6*F8*K15),(L6*G8*L15),(M6*H8*M15),(N6*I8*N15),(O6*J8*O15),(P6*K8*P15),(Q6*L8*Q15))</f>
        <v>7.6807399999999998E-2</v>
      </c>
    </row>
    <row r="16" spans="1:20" x14ac:dyDescent="0.3">
      <c r="B16" s="1049"/>
      <c r="C16" s="1">
        <v>6</v>
      </c>
      <c r="D16" s="222"/>
      <c r="E16" s="221"/>
      <c r="F16" s="219"/>
      <c r="G16" s="219"/>
      <c r="H16" s="219"/>
      <c r="I16" s="219"/>
      <c r="J16" s="225">
        <v>0.5</v>
      </c>
      <c r="K16" s="225">
        <v>0.5</v>
      </c>
      <c r="L16" s="225">
        <v>0.5</v>
      </c>
      <c r="M16" s="226">
        <v>0.5</v>
      </c>
      <c r="N16" s="227">
        <v>1</v>
      </c>
      <c r="O16" s="227">
        <v>1</v>
      </c>
      <c r="P16" s="227">
        <v>1</v>
      </c>
      <c r="Q16" s="227">
        <v>1</v>
      </c>
      <c r="R16" s="228">
        <v>1</v>
      </c>
      <c r="S16" s="227"/>
      <c r="T16" s="215">
        <f>SUM((D8*J6*J16),(K6*E8*K16),(L6*F8*L16),(M6*G8*M16),(N6*H8*N16),(O6*I8*O16),(P6*J8*P16),(Q6*K8*Q16),(R6*L8*R16))</f>
        <v>0.10751735000000001</v>
      </c>
    </row>
    <row r="17" spans="2:20" x14ac:dyDescent="0.3">
      <c r="B17" s="1049"/>
      <c r="C17" s="1">
        <v>7</v>
      </c>
      <c r="D17" s="222"/>
      <c r="E17" s="221"/>
      <c r="F17" s="220"/>
      <c r="G17" s="220"/>
      <c r="H17" s="220"/>
      <c r="I17" s="220"/>
      <c r="J17" s="225"/>
      <c r="K17" s="225">
        <v>0.5</v>
      </c>
      <c r="L17" s="225">
        <v>0.5</v>
      </c>
      <c r="M17" s="226">
        <v>0.5</v>
      </c>
      <c r="N17" s="227">
        <v>1</v>
      </c>
      <c r="O17" s="227">
        <v>1</v>
      </c>
      <c r="P17" s="227">
        <v>1</v>
      </c>
      <c r="Q17" s="227">
        <v>1</v>
      </c>
      <c r="R17" s="228">
        <v>1</v>
      </c>
      <c r="S17" s="227">
        <v>1</v>
      </c>
      <c r="T17" s="216">
        <f>SUM((K6*D8*K17),(L6*E8*L17),(M6*F8*M17),(N6*G8*N17),(O6*H8*O17),(P6*I8*P17),(Q6*J8*Q17),(R6*K8*R17),(S6*L8*S17))</f>
        <v>0.12340029999999999</v>
      </c>
    </row>
    <row r="18" spans="2:20" x14ac:dyDescent="0.3">
      <c r="B18" s="1049"/>
      <c r="C18" s="1">
        <v>8</v>
      </c>
      <c r="D18" s="229"/>
      <c r="E18" s="230"/>
      <c r="F18" s="229"/>
      <c r="G18" s="230"/>
      <c r="H18" s="230"/>
      <c r="I18" s="230"/>
      <c r="J18" s="230"/>
      <c r="K18" s="230"/>
      <c r="L18" s="225">
        <v>0.5</v>
      </c>
      <c r="M18" s="226">
        <v>0.5</v>
      </c>
      <c r="N18" s="227">
        <v>1</v>
      </c>
      <c r="O18" s="227">
        <v>1</v>
      </c>
      <c r="P18" s="227">
        <v>1</v>
      </c>
      <c r="Q18" s="227">
        <v>1</v>
      </c>
      <c r="R18" s="228">
        <v>1</v>
      </c>
      <c r="S18" s="227">
        <v>1</v>
      </c>
      <c r="T18" s="216">
        <f>SUM((L6*D8*L18),(M6*E8*M18),(N6*F8*N18),(O6*G8*O18),(P6*H8*P18),(Q6*I8*Q18),(R6*J8*R18),(S6*K8*S18))</f>
        <v>0.1301725</v>
      </c>
    </row>
    <row r="19" spans="2:20" x14ac:dyDescent="0.3">
      <c r="B19" s="1049"/>
      <c r="C19" s="1">
        <v>9</v>
      </c>
      <c r="D19" s="229"/>
      <c r="E19" s="230"/>
      <c r="F19" s="229"/>
      <c r="G19" s="230"/>
      <c r="H19" s="230"/>
      <c r="I19" s="230"/>
      <c r="J19" s="230"/>
      <c r="K19" s="230"/>
      <c r="L19" s="230"/>
      <c r="M19" s="226">
        <v>0.5</v>
      </c>
      <c r="N19" s="227">
        <v>1</v>
      </c>
      <c r="O19" s="227">
        <v>1</v>
      </c>
      <c r="P19" s="227">
        <v>1</v>
      </c>
      <c r="Q19" s="227">
        <v>1</v>
      </c>
      <c r="R19" s="228">
        <v>1</v>
      </c>
      <c r="S19" s="227">
        <v>1</v>
      </c>
      <c r="T19" s="216">
        <f>SUM((M6*D8*M19),(N6*E8*N19),(O6*F8*O19),(P6*G8*P19),(Q6*H8*Q19),(R6*I8*R19),(S6*J8*S19))</f>
        <v>0.1300721</v>
      </c>
    </row>
    <row r="20" spans="2:20" x14ac:dyDescent="0.3">
      <c r="B20" s="1049"/>
      <c r="C20" s="1">
        <v>10</v>
      </c>
      <c r="D20" s="229"/>
      <c r="E20" s="230"/>
      <c r="F20" s="229"/>
      <c r="G20" s="230"/>
      <c r="H20" s="230"/>
      <c r="I20" s="230"/>
      <c r="J20" s="230"/>
      <c r="K20" s="230"/>
      <c r="L20" s="230"/>
      <c r="M20" s="231"/>
      <c r="N20" s="227">
        <v>1</v>
      </c>
      <c r="O20" s="227">
        <v>1</v>
      </c>
      <c r="P20" s="227">
        <v>1</v>
      </c>
      <c r="Q20" s="227">
        <v>1</v>
      </c>
      <c r="R20" s="228">
        <v>1</v>
      </c>
      <c r="S20" s="227">
        <v>1</v>
      </c>
      <c r="T20" s="216">
        <f>SUM((N6*D8*N20),(O6*E8*O20),(P6*F8*P20),(Q6*G8*Q20),(R6*H8*R20),(S6*I8*S20))</f>
        <v>0.11528369999999999</v>
      </c>
    </row>
    <row r="21" spans="2:20" x14ac:dyDescent="0.3">
      <c r="B21" s="1049"/>
      <c r="C21" s="1">
        <v>11</v>
      </c>
      <c r="D21" s="229"/>
      <c r="E21" s="230"/>
      <c r="F21" s="229"/>
      <c r="G21" s="230"/>
      <c r="H21" s="230"/>
      <c r="I21" s="230"/>
      <c r="J21" s="230"/>
      <c r="K21" s="230"/>
      <c r="L21" s="230"/>
      <c r="M21" s="230"/>
      <c r="N21" s="229"/>
      <c r="O21" s="227">
        <v>1</v>
      </c>
      <c r="P21" s="227">
        <v>1</v>
      </c>
      <c r="Q21" s="227">
        <v>1</v>
      </c>
      <c r="R21" s="228">
        <v>1</v>
      </c>
      <c r="S21" s="227">
        <v>1</v>
      </c>
      <c r="T21" s="216">
        <f>SUM((O6*D8*O21),(P6*E8*P21),(Q6*F8*Q21),(R6*G8*R21),(S6*H8*S21))</f>
        <v>9.6945300000000012E-2</v>
      </c>
    </row>
    <row r="22" spans="2:20" x14ac:dyDescent="0.3">
      <c r="B22" s="1049"/>
      <c r="C22" s="1">
        <v>12</v>
      </c>
      <c r="D22" s="229"/>
      <c r="E22" s="230"/>
      <c r="F22" s="229"/>
      <c r="G22" s="230"/>
      <c r="H22" s="230"/>
      <c r="I22" s="230"/>
      <c r="J22" s="230"/>
      <c r="K22" s="230"/>
      <c r="L22" s="230"/>
      <c r="M22" s="230"/>
      <c r="N22" s="229"/>
      <c r="O22" s="230"/>
      <c r="P22" s="227">
        <v>1</v>
      </c>
      <c r="Q22" s="227">
        <v>1</v>
      </c>
      <c r="R22" s="228">
        <v>1</v>
      </c>
      <c r="S22" s="227">
        <v>1</v>
      </c>
      <c r="T22" s="216">
        <f>SUM((P6*D8*P22),(Q6*E8*Q22),(R6*F8*R22),(S6*G8*S22))</f>
        <v>6.0099E-2</v>
      </c>
    </row>
    <row r="23" spans="2:20" x14ac:dyDescent="0.3">
      <c r="B23" s="1049"/>
      <c r="C23" s="1">
        <v>13</v>
      </c>
      <c r="D23" s="229"/>
      <c r="E23" s="230"/>
      <c r="F23" s="229"/>
      <c r="G23" s="230"/>
      <c r="H23" s="230"/>
      <c r="I23" s="230"/>
      <c r="J23" s="230"/>
      <c r="K23" s="230"/>
      <c r="L23" s="230"/>
      <c r="M23" s="230"/>
      <c r="N23" s="229"/>
      <c r="O23" s="230"/>
      <c r="P23" s="230"/>
      <c r="Q23" s="227">
        <v>1</v>
      </c>
      <c r="R23" s="228">
        <v>1</v>
      </c>
      <c r="S23" s="227">
        <v>1</v>
      </c>
      <c r="T23" s="216">
        <f>SUM((Q6*D8*Q23),(R6*E8*R23),(S6*F8*S23))</f>
        <v>1.8382200000000001E-2</v>
      </c>
    </row>
    <row r="24" spans="2:20" x14ac:dyDescent="0.3">
      <c r="B24" s="1049"/>
      <c r="C24" s="1">
        <v>14</v>
      </c>
      <c r="D24" s="229"/>
      <c r="E24" s="230"/>
      <c r="F24" s="229"/>
      <c r="G24" s="230"/>
      <c r="H24" s="230"/>
      <c r="I24" s="230"/>
      <c r="J24" s="230"/>
      <c r="K24" s="230"/>
      <c r="L24" s="230"/>
      <c r="M24" s="230"/>
      <c r="N24" s="229"/>
      <c r="O24" s="230"/>
      <c r="P24" s="230"/>
      <c r="Q24" s="230"/>
      <c r="R24" s="228">
        <v>1</v>
      </c>
      <c r="S24" s="227">
        <v>1</v>
      </c>
      <c r="T24" s="216">
        <f>SUM((R6*D8*R24),(S6*E8*S24))</f>
        <v>2.418E-3</v>
      </c>
    </row>
    <row r="25" spans="2:20" ht="15" thickBot="1" x14ac:dyDescent="0.35">
      <c r="B25" s="1049"/>
      <c r="C25" s="1">
        <v>15</v>
      </c>
      <c r="D25" s="232"/>
      <c r="E25" s="233"/>
      <c r="F25" s="232"/>
      <c r="G25" s="233"/>
      <c r="H25" s="233"/>
      <c r="I25" s="233"/>
      <c r="J25" s="233"/>
      <c r="K25" s="233"/>
      <c r="L25" s="230"/>
      <c r="M25" s="230"/>
      <c r="N25" s="229"/>
      <c r="O25" s="230"/>
      <c r="P25" s="230"/>
      <c r="Q25" s="230"/>
      <c r="R25" s="230"/>
      <c r="S25" s="234">
        <v>1</v>
      </c>
      <c r="T25" s="216">
        <f>SUM((S6*D8*S25))</f>
        <v>1.05E-4</v>
      </c>
    </row>
    <row r="26" spans="2:20" ht="15" thickBot="1" x14ac:dyDescent="0.35">
      <c r="L26" s="91"/>
      <c r="M26" s="92"/>
      <c r="N26" s="92"/>
      <c r="O26" s="92"/>
      <c r="P26" s="92"/>
      <c r="Q26" s="82"/>
      <c r="R26" s="83"/>
      <c r="S26" s="84" t="s">
        <v>481</v>
      </c>
      <c r="T26" s="85">
        <f>SUM(T9:T25)</f>
        <v>0.91860728333333341</v>
      </c>
    </row>
    <row r="27" spans="2:20" ht="17.25" customHeight="1" thickTop="1" x14ac:dyDescent="0.3">
      <c r="E27" s="979" t="s">
        <v>426</v>
      </c>
      <c r="F27" s="980"/>
      <c r="G27" s="981"/>
      <c r="T27" s="81"/>
    </row>
    <row r="28" spans="2:20" ht="21.75" customHeight="1" thickBot="1" x14ac:dyDescent="0.35">
      <c r="E28" s="982"/>
      <c r="F28" s="983"/>
      <c r="G28" s="984"/>
      <c r="T28" s="81"/>
    </row>
    <row r="29" spans="2:20" ht="15" thickTop="1" x14ac:dyDescent="0.3">
      <c r="T29" s="81"/>
    </row>
    <row r="30" spans="2:20" x14ac:dyDescent="0.3">
      <c r="D30" t="s">
        <v>54</v>
      </c>
    </row>
    <row r="31" spans="2:20" x14ac:dyDescent="0.3">
      <c r="D31" t="s">
        <v>61</v>
      </c>
    </row>
    <row r="32" spans="2:20" x14ac:dyDescent="0.3">
      <c r="D32" t="s">
        <v>460</v>
      </c>
    </row>
    <row r="33" spans="3:23" ht="14.4" customHeight="1" x14ac:dyDescent="0.3">
      <c r="D33" s="1044" t="s">
        <v>461</v>
      </c>
      <c r="E33" s="1044"/>
      <c r="F33" s="1044"/>
      <c r="G33" s="1044"/>
      <c r="H33" s="1044"/>
      <c r="I33" s="1044"/>
      <c r="J33" s="1044"/>
      <c r="K33" s="1044"/>
      <c r="L33" s="1044"/>
      <c r="M33" s="1044"/>
      <c r="N33" s="1044"/>
      <c r="O33" s="1044"/>
      <c r="P33" s="820"/>
      <c r="Q33" s="820"/>
      <c r="R33" s="820"/>
      <c r="S33" s="820"/>
      <c r="T33" s="820"/>
      <c r="U33" s="820"/>
      <c r="V33" s="820"/>
      <c r="W33" s="820"/>
    </row>
    <row r="34" spans="3:23" x14ac:dyDescent="0.3">
      <c r="D34" s="820"/>
      <c r="E34" s="820"/>
      <c r="F34" s="820"/>
      <c r="G34" s="820"/>
      <c r="H34" s="820"/>
      <c r="I34" s="820"/>
      <c r="J34" s="820"/>
      <c r="K34" s="820"/>
      <c r="L34" s="820"/>
      <c r="M34" s="820"/>
      <c r="N34" s="820"/>
      <c r="O34" s="820"/>
      <c r="P34" s="820"/>
      <c r="Q34" s="820"/>
      <c r="R34" s="820"/>
      <c r="S34" s="820"/>
      <c r="T34" s="820"/>
      <c r="U34" s="820"/>
      <c r="V34" s="820"/>
      <c r="W34" s="820"/>
    </row>
    <row r="36" spans="3:23" x14ac:dyDescent="0.3">
      <c r="C36" s="95" t="s">
        <v>495</v>
      </c>
    </row>
    <row r="37" spans="3:23" x14ac:dyDescent="0.3">
      <c r="C37" s="2" t="s">
        <v>442</v>
      </c>
      <c r="D37">
        <v>0.03</v>
      </c>
      <c r="E37">
        <v>0.14399999999999999</v>
      </c>
      <c r="F37">
        <v>0.14399999999999999</v>
      </c>
      <c r="G37">
        <v>0.14399999999999999</v>
      </c>
      <c r="H37">
        <v>0.14399999999999999</v>
      </c>
      <c r="I37">
        <v>0.14399999999999999</v>
      </c>
      <c r="J37">
        <v>0.12</v>
      </c>
      <c r="K37">
        <v>0.1</v>
      </c>
      <c r="L37">
        <v>0.03</v>
      </c>
      <c r="M37">
        <v>0</v>
      </c>
    </row>
    <row r="39" spans="3:23" x14ac:dyDescent="0.3">
      <c r="C39" s="2" t="s">
        <v>90</v>
      </c>
      <c r="D39">
        <v>0</v>
      </c>
      <c r="E39">
        <v>0.13</v>
      </c>
      <c r="F39">
        <v>0.13</v>
      </c>
      <c r="G39">
        <v>0.13</v>
      </c>
      <c r="H39">
        <v>0.13</v>
      </c>
      <c r="I39">
        <v>0.13</v>
      </c>
      <c r="J39">
        <v>8.7499999999999994E-2</v>
      </c>
      <c r="K39">
        <v>8.7499999999999994E-2</v>
      </c>
      <c r="L39">
        <v>8.7499999999999994E-2</v>
      </c>
      <c r="M39">
        <v>8.7499999999999994E-2</v>
      </c>
    </row>
    <row r="41" spans="3:23" x14ac:dyDescent="0.3">
      <c r="C41" s="2" t="s">
        <v>496</v>
      </c>
      <c r="D41">
        <v>0</v>
      </c>
      <c r="E41">
        <v>0</v>
      </c>
      <c r="F41">
        <v>1</v>
      </c>
      <c r="G41">
        <v>0</v>
      </c>
      <c r="H41">
        <v>0</v>
      </c>
      <c r="I41">
        <v>0</v>
      </c>
      <c r="J41">
        <v>0</v>
      </c>
      <c r="K41">
        <v>0</v>
      </c>
      <c r="L41">
        <v>0</v>
      </c>
      <c r="M41">
        <v>0</v>
      </c>
    </row>
  </sheetData>
  <sheetProtection algorithmName="SHA-256" hashValue="9gZmH5lYzl0M+bRuhIl/F4qfIvYLMAST0XENGxbGT4I=" saltValue="/f5uybEEWCtDnlZ9PocZcA==" spinCount="100000" sheet="1" objects="1" scenarios="1"/>
  <mergeCells count="8">
    <mergeCell ref="D33:O33"/>
    <mergeCell ref="B6:C6"/>
    <mergeCell ref="B8:C8"/>
    <mergeCell ref="N4:R4"/>
    <mergeCell ref="F4:M4"/>
    <mergeCell ref="D4:E4"/>
    <mergeCell ref="B10:B25"/>
    <mergeCell ref="E27:G28"/>
  </mergeCells>
  <hyperlinks>
    <hyperlink ref="E27:F28" location="HOMEPAGE!A1" display="HOMEPAGE!A1"/>
    <hyperlink ref="E27" location="'Input 1_Population'!A1" display="'Input 1_Population'!A1"/>
    <hyperlink ref="E27:G28" location="'Input 6_Product Efficacy'!A1" display="'Input 6_Product Efficacy'!A1"/>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HOMEPAGE</vt:lpstr>
      <vt:lpstr>Introduction</vt:lpstr>
      <vt:lpstr>Input 1_Population</vt:lpstr>
      <vt:lpstr>Input 2_RSV Rates</vt:lpstr>
      <vt:lpstr>Input 3_Clinical Severity</vt:lpstr>
      <vt:lpstr>Input 4_RSV Season</vt:lpstr>
      <vt:lpstr>Input 5_Product Uptake</vt:lpstr>
      <vt:lpstr>Input 6_Product Efficacy</vt:lpstr>
      <vt:lpstr>Input 6b_Antibody Transfer</vt:lpstr>
      <vt:lpstr>Results</vt:lpstr>
      <vt:lpstr>Sensitivity Analyses_Antibody</vt:lpstr>
      <vt:lpstr>Sensitivity Analyses_Maternal</vt:lpstr>
      <vt:lpstr>Palivizumab</vt:lpstr>
      <vt:lpstr>Antibody_Candidate</vt:lpstr>
      <vt:lpstr>Maternal_Vaccine</vt:lpstr>
      <vt:lpstr>WiS percent RSV_base</vt:lpstr>
      <vt:lpstr>OoS percent RSV_base</vt:lpstr>
      <vt:lpstr>WiS percent RSV_low</vt:lpstr>
      <vt:lpstr>OoS percent RSV_low</vt:lpstr>
      <vt:lpstr>WiS percent RSV_high</vt:lpstr>
      <vt:lpstr>OoS percent RSV_high</vt:lpstr>
      <vt:lpstr>Ratios</vt:lpstr>
      <vt:lpstr>Sensitivity wrksht_Antibody</vt:lpstr>
      <vt:lpstr>Sensitivity wrksht_Maternal</vt:lpstr>
    </vt:vector>
  </TitlesOfParts>
  <Company>Centers for Disease Control and Prevention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Rainisch, Gabriel (CDC/OID/NCEZID)</dc:creator>
  <cp:lastModifiedBy>Rainisch, Gabriel (CDC/OID/NCEZID)</cp:lastModifiedBy>
  <dcterms:created xsi:type="dcterms:W3CDTF">2017-08-16T18:00:17Z</dcterms:created>
  <dcterms:modified xsi:type="dcterms:W3CDTF">2019-04-04T15:43:56Z</dcterms:modified>
</cp:coreProperties>
</file>