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defaultThemeVersion="153222"/>
  <mc:AlternateContent xmlns:mc="http://schemas.openxmlformats.org/markup-compatibility/2006">
    <mc:Choice Requires="x15">
      <x15ac:absPath xmlns:x15ac="http://schemas.microsoft.com/office/spreadsheetml/2010/11/ac" url="U:\EPID\Boulton\AJPM\Production\7. Transmitted to Elsevier\"/>
    </mc:Choice>
  </mc:AlternateContent>
  <bookViews>
    <workbookView xWindow="0" yWindow="0" windowWidth="28800" windowHeight="13740"/>
  </bookViews>
  <sheets>
    <sheet name="Table 1 Results" sheetId="6" r:id="rId1"/>
    <sheet name="Table 2 Criminal justice" sheetId="7" r:id="rId2"/>
    <sheet name="Table 3 Outcomes" sheetId="1" r:id="rId3"/>
    <sheet name="Table 4 Costs" sheetId="5" r:id="rId4"/>
    <sheet name="Table 5 Cost discounting" sheetId="8" r:id="rId5"/>
    <sheet name="DATA Inflation GDP" sheetId="9" r:id="rId6"/>
    <sheet name="DATA Inflation PCE" sheetId="10" r:id="rId7"/>
    <sheet name="DATA Sloan (2014) Smoker costs" sheetId="12" r:id="rId8"/>
  </sheets>
  <definedNames>
    <definedName name="_xlnm._FilterDatabase" localSheetId="2" hidden="1">'Table 3 Outcomes'!#REF!</definedName>
    <definedName name="_xlnm._FilterDatabase" localSheetId="4" hidden="1">'Table 5 Cost discounting'!$A$2:$M$98</definedName>
  </definedNames>
  <calcPr calcId="162913"/>
</workbook>
</file>

<file path=xl/calcChain.xml><?xml version="1.0" encoding="utf-8"?>
<calcChain xmlns="http://schemas.openxmlformats.org/spreadsheetml/2006/main">
  <c r="D21" i="8" l="1"/>
  <c r="D17" i="8"/>
  <c r="D95" i="8" l="1"/>
  <c r="D90" i="8"/>
  <c r="D86" i="8"/>
  <c r="D82" i="8"/>
  <c r="D78" i="8"/>
  <c r="D74" i="8"/>
  <c r="D70" i="8"/>
  <c r="D66" i="8"/>
  <c r="D62" i="8"/>
  <c r="D58" i="8"/>
  <c r="D54" i="8"/>
  <c r="D50" i="8"/>
  <c r="D46" i="8"/>
  <c r="D42" i="8"/>
  <c r="D38" i="8"/>
  <c r="D34" i="8"/>
  <c r="D30" i="8"/>
  <c r="D26" i="8"/>
  <c r="D22" i="8"/>
  <c r="D18" i="8"/>
  <c r="D14" i="8"/>
  <c r="D10" i="8"/>
  <c r="G15" i="6" l="1"/>
  <c r="J77" i="5" l="1"/>
  <c r="D81" i="8"/>
  <c r="N31" i="1"/>
  <c r="O31" i="1" s="1"/>
  <c r="P31" i="1" s="1"/>
  <c r="B62" i="6" s="1"/>
  <c r="J64" i="6"/>
  <c r="J63" i="6"/>
  <c r="K79" i="8"/>
  <c r="J79" i="8"/>
  <c r="D77" i="8"/>
  <c r="J65" i="5"/>
  <c r="K75" i="8"/>
  <c r="J75" i="8"/>
  <c r="J64" i="5"/>
  <c r="C62" i="6"/>
  <c r="B79" i="5"/>
  <c r="D79" i="5" s="1"/>
  <c r="J79" i="5"/>
  <c r="N37" i="1"/>
  <c r="O37" i="1"/>
  <c r="P37" i="1" s="1"/>
  <c r="B77" i="6" s="1"/>
  <c r="B80" i="5"/>
  <c r="D80" i="5"/>
  <c r="J80" i="5"/>
  <c r="C77" i="6"/>
  <c r="J76" i="5"/>
  <c r="K76" i="5" s="1"/>
  <c r="D75" i="6" s="1"/>
  <c r="N36" i="1"/>
  <c r="O36" i="1" s="1"/>
  <c r="P36" i="1" s="1"/>
  <c r="B74" i="6" s="1"/>
  <c r="K83" i="8"/>
  <c r="J83" i="8"/>
  <c r="C74" i="6"/>
  <c r="J73" i="5"/>
  <c r="K73" i="5" s="1"/>
  <c r="D72" i="6" s="1"/>
  <c r="N35" i="1"/>
  <c r="O35" i="1" s="1"/>
  <c r="P35" i="1" s="1"/>
  <c r="B71" i="6" s="1"/>
  <c r="J74" i="5"/>
  <c r="K74" i="5" s="1"/>
  <c r="D73" i="6" s="1"/>
  <c r="C71" i="6"/>
  <c r="K87" i="8"/>
  <c r="J87" i="8"/>
  <c r="J70" i="5"/>
  <c r="N34" i="1"/>
  <c r="O34" i="1" s="1"/>
  <c r="P34" i="1" s="1"/>
  <c r="B68" i="6" s="1"/>
  <c r="K91" i="8"/>
  <c r="J91" i="8"/>
  <c r="D89" i="8"/>
  <c r="J71" i="5"/>
  <c r="AC34" i="1"/>
  <c r="AD34" i="1" s="1"/>
  <c r="AE34" i="1" s="1"/>
  <c r="C68" i="6" s="1"/>
  <c r="J67" i="5"/>
  <c r="K67" i="5" s="1"/>
  <c r="D66" i="6" s="1"/>
  <c r="N33" i="1"/>
  <c r="O33" i="1"/>
  <c r="P33" i="1"/>
  <c r="B65" i="6" s="1"/>
  <c r="J68" i="5"/>
  <c r="C65" i="6"/>
  <c r="K67" i="8"/>
  <c r="J67" i="8"/>
  <c r="D65" i="8"/>
  <c r="J61" i="5"/>
  <c r="N32" i="1"/>
  <c r="O32" i="1" s="1"/>
  <c r="P32" i="1" s="1"/>
  <c r="B59" i="6" s="1"/>
  <c r="K71" i="8"/>
  <c r="J71" i="8"/>
  <c r="D69" i="8"/>
  <c r="J62" i="5"/>
  <c r="C59" i="6"/>
  <c r="K59" i="8"/>
  <c r="J59" i="8"/>
  <c r="J58" i="5"/>
  <c r="N30" i="1"/>
  <c r="O30" i="1" s="1"/>
  <c r="P30" i="1" s="1"/>
  <c r="B56" i="6" s="1"/>
  <c r="K63" i="8"/>
  <c r="J63" i="8"/>
  <c r="D61" i="8"/>
  <c r="J59" i="5"/>
  <c r="C56" i="6"/>
  <c r="K51" i="8"/>
  <c r="J51" i="8"/>
  <c r="J55" i="5"/>
  <c r="N29" i="1"/>
  <c r="O29" i="1" s="1"/>
  <c r="P29" i="1" s="1"/>
  <c r="B53" i="6" s="1"/>
  <c r="K55" i="8"/>
  <c r="J55" i="8"/>
  <c r="J56" i="5"/>
  <c r="AC29" i="1"/>
  <c r="AD29" i="1"/>
  <c r="AE29" i="1" s="1"/>
  <c r="C53" i="6" s="1"/>
  <c r="D23" i="5"/>
  <c r="J23" i="5"/>
  <c r="K23" i="5" s="1"/>
  <c r="D28" i="6" s="1"/>
  <c r="F28" i="6" s="1"/>
  <c r="D17" i="1"/>
  <c r="P17" i="1" s="1"/>
  <c r="B28" i="6" s="1"/>
  <c r="C28" i="6"/>
  <c r="D24" i="5"/>
  <c r="J24" i="5"/>
  <c r="K24" i="5" s="1"/>
  <c r="D29" i="6" s="1"/>
  <c r="F29" i="6" s="1"/>
  <c r="D18" i="1"/>
  <c r="P18" i="1" s="1"/>
  <c r="B29" i="6" s="1"/>
  <c r="C29" i="6"/>
  <c r="B25" i="5"/>
  <c r="D25" i="5" s="1"/>
  <c r="J25" i="5"/>
  <c r="D19" i="1"/>
  <c r="P19" i="1"/>
  <c r="B30" i="6" s="1"/>
  <c r="C30" i="6"/>
  <c r="B65" i="5"/>
  <c r="D33" i="8"/>
  <c r="B38" i="5"/>
  <c r="D29" i="8"/>
  <c r="B37" i="5" s="1"/>
  <c r="D25" i="8"/>
  <c r="B36" i="5"/>
  <c r="K31" i="8"/>
  <c r="J31" i="8"/>
  <c r="J37" i="5"/>
  <c r="N25" i="1"/>
  <c r="O25" i="1" s="1"/>
  <c r="P25" i="1" s="1"/>
  <c r="B40" i="6" s="1"/>
  <c r="AC25" i="1"/>
  <c r="AD25" i="1" s="1"/>
  <c r="AE25" i="1" s="1"/>
  <c r="C40" i="6" s="1"/>
  <c r="D21" i="5"/>
  <c r="K21" i="5" s="1"/>
  <c r="D26" i="6" s="1"/>
  <c r="F26" i="6" s="1"/>
  <c r="D15" i="1"/>
  <c r="P15" i="1"/>
  <c r="B24" i="6" s="1"/>
  <c r="S15" i="1"/>
  <c r="AE15" i="1"/>
  <c r="C24" i="6"/>
  <c r="D15" i="5"/>
  <c r="J15" i="5"/>
  <c r="K15" i="5"/>
  <c r="D20" i="6" s="1"/>
  <c r="P13" i="1"/>
  <c r="B18" i="6" s="1"/>
  <c r="AE13" i="1"/>
  <c r="C18" i="6"/>
  <c r="D18" i="5"/>
  <c r="J18" i="5"/>
  <c r="P14" i="1"/>
  <c r="B21" i="6"/>
  <c r="AE14" i="1"/>
  <c r="C21" i="6" s="1"/>
  <c r="J30" i="5"/>
  <c r="K30" i="5" s="1"/>
  <c r="D35" i="6" s="1"/>
  <c r="N22" i="1"/>
  <c r="O22" i="1"/>
  <c r="P22" i="1" s="1"/>
  <c r="B33" i="6" s="1"/>
  <c r="C33" i="6"/>
  <c r="D23" i="8"/>
  <c r="D24" i="8" s="1"/>
  <c r="D33" i="5" s="1"/>
  <c r="J33" i="5"/>
  <c r="N23" i="1"/>
  <c r="O23" i="1"/>
  <c r="P23" i="1" s="1"/>
  <c r="B36" i="6" s="1"/>
  <c r="C36" i="6"/>
  <c r="K43" i="8"/>
  <c r="J43" i="8"/>
  <c r="D41" i="8"/>
  <c r="J41" i="5"/>
  <c r="N26" i="1"/>
  <c r="O26" i="1" s="1"/>
  <c r="P26" i="1" s="1"/>
  <c r="B44" i="6" s="1"/>
  <c r="AC26" i="1"/>
  <c r="AD26" i="1" s="1"/>
  <c r="AE26" i="1" s="1"/>
  <c r="C44" i="6" s="1"/>
  <c r="J47" i="5"/>
  <c r="N27" i="1"/>
  <c r="O27" i="1" s="1"/>
  <c r="P27" i="1" s="1"/>
  <c r="B48" i="6" s="1"/>
  <c r="AC27" i="1"/>
  <c r="AD27" i="1" s="1"/>
  <c r="AE27" i="1" s="1"/>
  <c r="C48" i="6" s="1"/>
  <c r="J83" i="5"/>
  <c r="K27" i="8"/>
  <c r="J27" i="8"/>
  <c r="J36" i="5"/>
  <c r="K35" i="8"/>
  <c r="J35" i="8"/>
  <c r="J38" i="5"/>
  <c r="K39" i="8"/>
  <c r="J39" i="8"/>
  <c r="D37" i="8"/>
  <c r="J40" i="5"/>
  <c r="K47" i="8"/>
  <c r="J47" i="8"/>
  <c r="D47" i="8" s="1"/>
  <c r="D48" i="8" s="1"/>
  <c r="D42" i="5" s="1"/>
  <c r="D45" i="8"/>
  <c r="J42" i="5"/>
  <c r="J44" i="5"/>
  <c r="J50" i="5"/>
  <c r="D9" i="5"/>
  <c r="J9" i="5"/>
  <c r="K9" i="5"/>
  <c r="D14" i="6" s="1"/>
  <c r="D9" i="1"/>
  <c r="P9" i="1" s="1"/>
  <c r="B14" i="6" s="1"/>
  <c r="D12" i="5"/>
  <c r="J12" i="5"/>
  <c r="K12" i="5" s="1"/>
  <c r="D17" i="6" s="1"/>
  <c r="P12" i="1"/>
  <c r="B17" i="6" s="1"/>
  <c r="AE12" i="1"/>
  <c r="C17" i="6"/>
  <c r="D14" i="5"/>
  <c r="J14" i="5"/>
  <c r="K14" i="5" s="1"/>
  <c r="D19" i="6" s="1"/>
  <c r="D17" i="5"/>
  <c r="J17" i="5"/>
  <c r="K17" i="5" s="1"/>
  <c r="D22" i="6" s="1"/>
  <c r="D20" i="5"/>
  <c r="K20" i="5"/>
  <c r="D25" i="6"/>
  <c r="J29" i="5"/>
  <c r="K29" i="5" s="1"/>
  <c r="D34" i="6" s="1"/>
  <c r="D19" i="8"/>
  <c r="D20" i="8" s="1"/>
  <c r="D32" i="5" s="1"/>
  <c r="K32" i="5" s="1"/>
  <c r="D37" i="6" s="1"/>
  <c r="J32" i="5"/>
  <c r="J82" i="5"/>
  <c r="J23" i="6"/>
  <c r="J20" i="6"/>
  <c r="D10" i="5"/>
  <c r="K10" i="5"/>
  <c r="D15" i="6" s="1"/>
  <c r="K15" i="8"/>
  <c r="J15" i="8"/>
  <c r="K11" i="8"/>
  <c r="J11" i="8"/>
  <c r="I40" i="6"/>
  <c r="B15" i="6"/>
  <c r="C32" i="12"/>
  <c r="A32" i="12"/>
  <c r="A33" i="12"/>
  <c r="A34" i="12"/>
  <c r="C33" i="12"/>
  <c r="C34" i="12"/>
  <c r="B21" i="7"/>
  <c r="M32" i="7"/>
  <c r="N32" i="7"/>
  <c r="B22" i="7" s="1"/>
  <c r="B23" i="7"/>
  <c r="M52" i="7"/>
  <c r="N52" i="7"/>
  <c r="B24" i="7" s="1"/>
  <c r="B25" i="7"/>
  <c r="M73" i="7"/>
  <c r="N73" i="7"/>
  <c r="B26" i="7" s="1"/>
  <c r="B27" i="7"/>
  <c r="B88" i="7" s="1"/>
  <c r="B86" i="7" s="1"/>
  <c r="M94" i="7"/>
  <c r="N94" i="7"/>
  <c r="B28" i="7" s="1"/>
  <c r="B13" i="7"/>
  <c r="B12" i="7"/>
  <c r="C12" i="7" s="1"/>
  <c r="B17" i="7"/>
  <c r="B16" i="7"/>
  <c r="AR8" i="7"/>
  <c r="B40" i="7"/>
  <c r="B38" i="7"/>
  <c r="B101" i="7"/>
  <c r="B103" i="7"/>
  <c r="B63" i="7" s="1"/>
  <c r="B51" i="7"/>
  <c r="B75" i="7"/>
  <c r="B30" i="7"/>
  <c r="C30" i="7" s="1"/>
  <c r="AR7" i="7" s="1"/>
  <c r="AR11" i="7" s="1"/>
  <c r="I53" i="6"/>
  <c r="J61" i="6"/>
  <c r="J60" i="6"/>
  <c r="M8" i="7"/>
  <c r="N8" i="7" s="1"/>
  <c r="AD21" i="7"/>
  <c r="B19" i="7"/>
  <c r="C16" i="7"/>
  <c r="B10" i="7"/>
  <c r="J79" i="6"/>
  <c r="J78" i="6"/>
  <c r="B83" i="5"/>
  <c r="J73" i="6"/>
  <c r="J72" i="6"/>
  <c r="I71" i="6"/>
  <c r="J76" i="6"/>
  <c r="J75" i="6"/>
  <c r="B77" i="5"/>
  <c r="B68" i="5"/>
  <c r="B62" i="5"/>
  <c r="B61" i="5"/>
  <c r="U59" i="5"/>
  <c r="B59" i="5"/>
  <c r="J58" i="6"/>
  <c r="I77" i="6"/>
  <c r="B64" i="5"/>
  <c r="I62" i="6"/>
  <c r="I59" i="6"/>
  <c r="I74" i="6"/>
  <c r="J23" i="8"/>
  <c r="B58" i="5"/>
  <c r="J57" i="6"/>
  <c r="I56" i="6"/>
  <c r="J19" i="8"/>
  <c r="J70" i="6"/>
  <c r="J69" i="6"/>
  <c r="I68" i="6"/>
  <c r="J67" i="6"/>
  <c r="J66" i="6"/>
  <c r="I65" i="6"/>
  <c r="J55" i="6"/>
  <c r="J54" i="6"/>
  <c r="B71" i="5"/>
  <c r="B70" i="5"/>
  <c r="B56" i="5"/>
  <c r="B55" i="5"/>
  <c r="J30" i="6"/>
  <c r="J29" i="6"/>
  <c r="J28" i="6"/>
  <c r="I30" i="6"/>
  <c r="I29" i="6"/>
  <c r="I28" i="6"/>
  <c r="B42" i="5"/>
  <c r="B41" i="5"/>
  <c r="B40" i="5"/>
  <c r="J51" i="6"/>
  <c r="J50" i="6"/>
  <c r="J49" i="6"/>
  <c r="I48" i="6"/>
  <c r="J47" i="6"/>
  <c r="J46" i="6"/>
  <c r="J45" i="6"/>
  <c r="I44" i="6"/>
  <c r="B33" i="5"/>
  <c r="B32" i="5"/>
  <c r="I36" i="6"/>
  <c r="B30" i="5"/>
  <c r="B29" i="5"/>
  <c r="A33" i="6"/>
  <c r="S9" i="1"/>
  <c r="AE9" i="1" s="1"/>
  <c r="I24" i="6"/>
  <c r="I15" i="6"/>
  <c r="I21" i="6"/>
  <c r="I18" i="6"/>
  <c r="I17" i="6"/>
  <c r="I14" i="6"/>
  <c r="T9" i="1"/>
  <c r="J43" i="6"/>
  <c r="J42" i="6"/>
  <c r="J41" i="6"/>
  <c r="J38" i="6"/>
  <c r="J37" i="6"/>
  <c r="J35" i="6"/>
  <c r="J34" i="6"/>
  <c r="J26" i="6"/>
  <c r="J25" i="6"/>
  <c r="J15" i="6"/>
  <c r="J22" i="6"/>
  <c r="J19" i="6"/>
  <c r="J17" i="6"/>
  <c r="J14" i="6"/>
  <c r="I33" i="6"/>
  <c r="K23" i="8"/>
  <c r="K19" i="8"/>
  <c r="B64" i="7" l="1"/>
  <c r="B62" i="7" s="1"/>
  <c r="B76" i="7"/>
  <c r="B74" i="7" s="1"/>
  <c r="B18" i="7"/>
  <c r="B52" i="7"/>
  <c r="B50" i="7" s="1"/>
  <c r="E49" i="6"/>
  <c r="B87" i="7"/>
  <c r="B39" i="7"/>
  <c r="C41" i="12"/>
  <c r="B51" i="5" s="1"/>
  <c r="D51" i="5" s="1"/>
  <c r="K51" i="5" s="1"/>
  <c r="E51" i="6" s="1"/>
  <c r="C38" i="12"/>
  <c r="A35" i="12"/>
  <c r="K25" i="5"/>
  <c r="D30" i="6" s="1"/>
  <c r="F30" i="6" s="1"/>
  <c r="D51" i="8"/>
  <c r="D52" i="8" s="1"/>
  <c r="D55" i="5" s="1"/>
  <c r="D59" i="8"/>
  <c r="D60" i="8" s="1"/>
  <c r="D58" i="5" s="1"/>
  <c r="K58" i="5" s="1"/>
  <c r="D57" i="6" s="1"/>
  <c r="D91" i="8"/>
  <c r="D92" i="8" s="1"/>
  <c r="D71" i="5" s="1"/>
  <c r="K79" i="5"/>
  <c r="D78" i="6" s="1"/>
  <c r="C37" i="12"/>
  <c r="C40" i="12"/>
  <c r="B48" i="5" s="1"/>
  <c r="D48" i="5" s="1"/>
  <c r="K48" i="5" s="1"/>
  <c r="E50" i="6" s="1"/>
  <c r="C43" i="12"/>
  <c r="B49" i="5" s="1"/>
  <c r="D49" i="5" s="1"/>
  <c r="K49" i="5" s="1"/>
  <c r="F50" i="6" s="1"/>
  <c r="C36" i="12"/>
  <c r="C39" i="12"/>
  <c r="B45" i="5" s="1"/>
  <c r="D45" i="5" s="1"/>
  <c r="K45" i="5" s="1"/>
  <c r="C42" i="12"/>
  <c r="B46" i="5" s="1"/>
  <c r="D46" i="5" s="1"/>
  <c r="K46" i="5" s="1"/>
  <c r="F49" i="6" s="1"/>
  <c r="K18" i="5"/>
  <c r="D23" i="6" s="1"/>
  <c r="K80" i="5"/>
  <c r="D79" i="6" s="1"/>
  <c r="D15" i="8"/>
  <c r="D16" i="8" s="1"/>
  <c r="E25" i="6"/>
  <c r="D67" i="8"/>
  <c r="D68" i="8" s="1"/>
  <c r="D61" i="5" s="1"/>
  <c r="K61" i="5" s="1"/>
  <c r="D60" i="6" s="1"/>
  <c r="D39" i="8"/>
  <c r="D40" i="8" s="1"/>
  <c r="D40" i="5" s="1"/>
  <c r="K40" i="5" s="1"/>
  <c r="D45" i="6" s="1"/>
  <c r="F45" i="6" s="1"/>
  <c r="K71" i="5"/>
  <c r="D70" i="6" s="1"/>
  <c r="E70" i="6" s="1"/>
  <c r="K55" i="5"/>
  <c r="D54" i="6" s="1"/>
  <c r="E54" i="6" s="1"/>
  <c r="K33" i="5"/>
  <c r="D38" i="6" s="1"/>
  <c r="D36" i="6" s="1"/>
  <c r="E23" i="6"/>
  <c r="F23" i="6"/>
  <c r="F20" i="6"/>
  <c r="E20" i="6"/>
  <c r="F73" i="6"/>
  <c r="E73" i="6"/>
  <c r="E35" i="6"/>
  <c r="F35" i="6"/>
  <c r="E66" i="6"/>
  <c r="F66" i="6"/>
  <c r="F75" i="6"/>
  <c r="E75" i="6"/>
  <c r="E22" i="6"/>
  <c r="F22" i="6"/>
  <c r="F21" i="6" s="1"/>
  <c r="D21" i="6"/>
  <c r="F27" i="6"/>
  <c r="E34" i="6"/>
  <c r="F34" i="6"/>
  <c r="D33" i="6"/>
  <c r="F79" i="6"/>
  <c r="E79" i="6"/>
  <c r="F19" i="6"/>
  <c r="D18" i="6"/>
  <c r="E19" i="6"/>
  <c r="E17" i="6"/>
  <c r="F17" i="6"/>
  <c r="E78" i="6"/>
  <c r="F78" i="6"/>
  <c r="D77" i="6"/>
  <c r="F14" i="6"/>
  <c r="E14" i="6"/>
  <c r="D71" i="6"/>
  <c r="E72" i="6"/>
  <c r="F72" i="6"/>
  <c r="D24" i="6"/>
  <c r="K42" i="5"/>
  <c r="D47" i="6" s="1"/>
  <c r="E47" i="6" s="1"/>
  <c r="E26" i="6"/>
  <c r="G26" i="6" s="1"/>
  <c r="E30" i="6"/>
  <c r="G30" i="6" s="1"/>
  <c r="E29" i="6"/>
  <c r="G29" i="6" s="1"/>
  <c r="F25" i="6"/>
  <c r="F24" i="6" s="1"/>
  <c r="E28" i="6"/>
  <c r="B50" i="5"/>
  <c r="B44" i="5"/>
  <c r="D44" i="5" s="1"/>
  <c r="C35" i="12"/>
  <c r="D87" i="8"/>
  <c r="D88" i="8" s="1"/>
  <c r="D70" i="5" s="1"/>
  <c r="K70" i="5" s="1"/>
  <c r="D69" i="6" s="1"/>
  <c r="E69" i="6" s="1"/>
  <c r="D27" i="8"/>
  <c r="D28" i="8" s="1"/>
  <c r="D36" i="5" s="1"/>
  <c r="K36" i="5" s="1"/>
  <c r="D41" i="6" s="1"/>
  <c r="F41" i="6" s="1"/>
  <c r="D55" i="8"/>
  <c r="D56" i="8" s="1"/>
  <c r="D56" i="5" s="1"/>
  <c r="K56" i="5" s="1"/>
  <c r="D55" i="6" s="1"/>
  <c r="D63" i="8"/>
  <c r="D64" i="8" s="1"/>
  <c r="D59" i="5" s="1"/>
  <c r="K59" i="5" s="1"/>
  <c r="D58" i="6" s="1"/>
  <c r="D71" i="8"/>
  <c r="D72" i="8" s="1"/>
  <c r="D62" i="5" s="1"/>
  <c r="K62" i="5" s="1"/>
  <c r="D61" i="6" s="1"/>
  <c r="D79" i="8"/>
  <c r="D80" i="8" s="1"/>
  <c r="D65" i="5" s="1"/>
  <c r="K65" i="5" s="1"/>
  <c r="D64" i="6" s="1"/>
  <c r="F64" i="6" s="1"/>
  <c r="D11" i="8"/>
  <c r="D12" i="8" s="1"/>
  <c r="D75" i="8"/>
  <c r="D76" i="8" s="1"/>
  <c r="D64" i="5" s="1"/>
  <c r="K64" i="5" s="1"/>
  <c r="D63" i="6" s="1"/>
  <c r="D35" i="8"/>
  <c r="D36" i="8" s="1"/>
  <c r="D38" i="5" s="1"/>
  <c r="K38" i="5" s="1"/>
  <c r="D43" i="6" s="1"/>
  <c r="E43" i="6" s="1"/>
  <c r="D43" i="8"/>
  <c r="D44" i="8" s="1"/>
  <c r="D41" i="5" s="1"/>
  <c r="K41" i="5" s="1"/>
  <c r="D46" i="6" s="1"/>
  <c r="D31" i="8"/>
  <c r="D32" i="8" s="1"/>
  <c r="D37" i="5" s="1"/>
  <c r="K37" i="5" s="1"/>
  <c r="D42" i="6" s="1"/>
  <c r="E42" i="6" s="1"/>
  <c r="D83" i="8"/>
  <c r="D84" i="8" s="1"/>
  <c r="D77" i="5" s="1"/>
  <c r="K77" i="5" s="1"/>
  <c r="D76" i="6" s="1"/>
  <c r="E37" i="6"/>
  <c r="F37" i="6"/>
  <c r="G28" i="6"/>
  <c r="E57" i="6" l="1"/>
  <c r="F57" i="6"/>
  <c r="D51" i="6"/>
  <c r="D50" i="5"/>
  <c r="K50" i="5" s="1"/>
  <c r="B47" i="5"/>
  <c r="D47" i="5" s="1"/>
  <c r="K47" i="5" s="1"/>
  <c r="D50" i="6" s="1"/>
  <c r="B35" i="7"/>
  <c r="B33" i="7"/>
  <c r="D56" i="6"/>
  <c r="B14" i="7"/>
  <c r="D12" i="7" s="1"/>
  <c r="E12" i="7" s="1"/>
  <c r="D16" i="7"/>
  <c r="E16" i="7" s="1"/>
  <c r="D49" i="6"/>
  <c r="K44" i="5"/>
  <c r="C44" i="12"/>
  <c r="B52" i="5" s="1"/>
  <c r="D52" i="5" s="1"/>
  <c r="K52" i="5" s="1"/>
  <c r="F51" i="6" s="1"/>
  <c r="E60" i="6"/>
  <c r="F60" i="6"/>
  <c r="D59" i="6"/>
  <c r="F70" i="6"/>
  <c r="G70" i="6" s="1"/>
  <c r="F54" i="6"/>
  <c r="F38" i="6"/>
  <c r="F36" i="6" s="1"/>
  <c r="E38" i="6"/>
  <c r="G50" i="6"/>
  <c r="F77" i="6"/>
  <c r="F18" i="6"/>
  <c r="G20" i="6"/>
  <c r="E45" i="6"/>
  <c r="D53" i="6"/>
  <c r="G14" i="6"/>
  <c r="G79" i="6"/>
  <c r="F33" i="6"/>
  <c r="G25" i="6"/>
  <c r="G24" i="6" s="1"/>
  <c r="E27" i="6"/>
  <c r="G27" i="6"/>
  <c r="F47" i="6"/>
  <c r="G47" i="6" s="1"/>
  <c r="D44" i="6"/>
  <c r="G19" i="6"/>
  <c r="E18" i="6"/>
  <c r="G75" i="6"/>
  <c r="G73" i="6"/>
  <c r="E24" i="6"/>
  <c r="E33" i="6"/>
  <c r="G33" i="6" s="1"/>
  <c r="G34" i="6"/>
  <c r="G78" i="6"/>
  <c r="E77" i="6"/>
  <c r="G77" i="6" s="1"/>
  <c r="G66" i="6"/>
  <c r="F71" i="6"/>
  <c r="F16" i="6"/>
  <c r="E71" i="6"/>
  <c r="G72" i="6"/>
  <c r="G17" i="6"/>
  <c r="G22" i="6"/>
  <c r="E21" i="6"/>
  <c r="G21" i="6" s="1"/>
  <c r="G35" i="6"/>
  <c r="G23" i="6"/>
  <c r="G51" i="6"/>
  <c r="D48" i="6"/>
  <c r="E11" i="6"/>
  <c r="E48" i="6"/>
  <c r="E61" i="6"/>
  <c r="D68" i="6"/>
  <c r="F69" i="6"/>
  <c r="G69" i="6" s="1"/>
  <c r="D68" i="5"/>
  <c r="K68" i="5" s="1"/>
  <c r="D67" i="6" s="1"/>
  <c r="E67" i="6" s="1"/>
  <c r="D62" i="6"/>
  <c r="E64" i="6"/>
  <c r="G64" i="6" s="1"/>
  <c r="E63" i="6"/>
  <c r="F58" i="6"/>
  <c r="F56" i="6" s="1"/>
  <c r="E58" i="6"/>
  <c r="F43" i="6"/>
  <c r="F42" i="6"/>
  <c r="G42" i="6" s="1"/>
  <c r="D40" i="6"/>
  <c r="E41" i="6"/>
  <c r="E40" i="6" s="1"/>
  <c r="F46" i="6"/>
  <c r="F63" i="6"/>
  <c r="F62" i="6" s="1"/>
  <c r="F61" i="6"/>
  <c r="E46" i="6"/>
  <c r="E55" i="6"/>
  <c r="F55" i="6"/>
  <c r="G37" i="6"/>
  <c r="E76" i="6"/>
  <c r="F76" i="6"/>
  <c r="F74" i="6" s="1"/>
  <c r="D74" i="6"/>
  <c r="G60" i="6"/>
  <c r="E68" i="6"/>
  <c r="G54" i="6"/>
  <c r="G57" i="6"/>
  <c r="G38" i="6" l="1"/>
  <c r="B34" i="7"/>
  <c r="D30" i="7"/>
  <c r="G18" i="6"/>
  <c r="AR9" i="7"/>
  <c r="AR12" i="7" s="1"/>
  <c r="C32" i="7" s="1"/>
  <c r="E30" i="7" s="1"/>
  <c r="E10" i="7" s="1"/>
  <c r="F7" i="7" s="1"/>
  <c r="B82" i="5" s="1"/>
  <c r="D82" i="5" s="1"/>
  <c r="K82" i="5" s="1"/>
  <c r="D81" i="6" s="1"/>
  <c r="D96" i="8"/>
  <c r="D97" i="8" s="1"/>
  <c r="D83" i="5" s="1"/>
  <c r="K83" i="5" s="1"/>
  <c r="D82" i="6" s="1"/>
  <c r="E59" i="6"/>
  <c r="E44" i="6"/>
  <c r="G45" i="6"/>
  <c r="F44" i="6"/>
  <c r="G44" i="6" s="1"/>
  <c r="E36" i="6"/>
  <c r="E32" i="6" s="1"/>
  <c r="F32" i="6"/>
  <c r="F48" i="6"/>
  <c r="G48" i="6" s="1"/>
  <c r="G71" i="6"/>
  <c r="G16" i="6"/>
  <c r="F68" i="6"/>
  <c r="G68" i="6" s="1"/>
  <c r="E16" i="6"/>
  <c r="F11" i="6"/>
  <c r="D11" i="6" s="1"/>
  <c r="G49" i="6"/>
  <c r="G61" i="6"/>
  <c r="D65" i="6"/>
  <c r="G43" i="6"/>
  <c r="G11" i="6" s="1"/>
  <c r="F67" i="6"/>
  <c r="F65" i="6" s="1"/>
  <c r="G58" i="6"/>
  <c r="G55" i="6"/>
  <c r="G63" i="6"/>
  <c r="F40" i="6"/>
  <c r="G46" i="6"/>
  <c r="E62" i="6"/>
  <c r="G62" i="6" s="1"/>
  <c r="F59" i="6"/>
  <c r="E56" i="6"/>
  <c r="G56" i="6" s="1"/>
  <c r="F53" i="6"/>
  <c r="E53" i="6"/>
  <c r="G41" i="6"/>
  <c r="E65" i="6"/>
  <c r="E39" i="6"/>
  <c r="E74" i="6"/>
  <c r="G76" i="6"/>
  <c r="E81" i="6" l="1"/>
  <c r="B82" i="6"/>
  <c r="E82" i="6" s="1"/>
  <c r="B81" i="6"/>
  <c r="F81" i="6" s="1"/>
  <c r="G59" i="6"/>
  <c r="G36" i="6"/>
  <c r="G32" i="6" s="1"/>
  <c r="F39" i="6"/>
  <c r="G53" i="6"/>
  <c r="F52" i="6"/>
  <c r="G40" i="6"/>
  <c r="G39" i="6" s="1"/>
  <c r="G67" i="6"/>
  <c r="G65" i="6"/>
  <c r="E52" i="6"/>
  <c r="G74" i="6"/>
  <c r="G81" i="6" l="1"/>
  <c r="F10" i="6"/>
  <c r="E9" i="6"/>
  <c r="D9" i="6" s="1"/>
  <c r="E80" i="6"/>
  <c r="E10" i="6"/>
  <c r="F82" i="6"/>
  <c r="F9" i="6" s="1"/>
  <c r="E7" i="6"/>
  <c r="E8" i="6" s="1"/>
  <c r="E12" i="6" s="1"/>
  <c r="G52" i="6"/>
  <c r="G10" i="6" l="1"/>
  <c r="G82" i="6"/>
  <c r="G9" i="6" s="1"/>
  <c r="F80" i="6"/>
  <c r="F7" i="6" s="1"/>
  <c r="F8" i="6" s="1"/>
  <c r="F12" i="6" s="1"/>
  <c r="D12" i="6" s="1"/>
  <c r="D10" i="6"/>
  <c r="D7" i="6"/>
  <c r="E13" i="6"/>
  <c r="G5" i="6" l="1"/>
  <c r="H4" i="6"/>
  <c r="D8" i="6"/>
  <c r="D13" i="6" s="1"/>
  <c r="F13" i="6"/>
  <c r="G80" i="6"/>
  <c r="G7" i="6" s="1"/>
  <c r="H52" i="6"/>
  <c r="G8" i="6"/>
  <c r="H24" i="6"/>
  <c r="H20" i="6"/>
  <c r="H37" i="6"/>
  <c r="H33" i="6"/>
  <c r="H28" i="6"/>
  <c r="H17" i="6"/>
  <c r="H73" i="6"/>
  <c r="H51" i="6"/>
  <c r="H72" i="6"/>
  <c r="H66" i="6"/>
  <c r="H23" i="6"/>
  <c r="H19" i="6"/>
  <c r="H18" i="6"/>
  <c r="H30" i="6"/>
  <c r="H82" i="6"/>
  <c r="H26" i="6"/>
  <c r="H79" i="6"/>
  <c r="H29" i="6"/>
  <c r="H75" i="6"/>
  <c r="H15" i="6"/>
  <c r="H78" i="6"/>
  <c r="H27" i="6"/>
  <c r="H35" i="6"/>
  <c r="H34" i="6"/>
  <c r="H71" i="6"/>
  <c r="H38" i="6"/>
  <c r="H49" i="6"/>
  <c r="H25" i="6"/>
  <c r="H48" i="6"/>
  <c r="H22" i="6"/>
  <c r="H14" i="6"/>
  <c r="H77" i="6"/>
  <c r="H32" i="6"/>
  <c r="H81" i="6"/>
  <c r="H50" i="6"/>
  <c r="H16" i="6"/>
  <c r="H36" i="6"/>
  <c r="H21" i="6"/>
  <c r="H7" i="6"/>
  <c r="H80" i="6"/>
  <c r="H58" i="6"/>
  <c r="H55" i="6"/>
  <c r="H56" i="6"/>
  <c r="H43" i="6"/>
  <c r="H64" i="6"/>
  <c r="H54" i="6"/>
  <c r="H63" i="6"/>
  <c r="H57" i="6"/>
  <c r="H69" i="6"/>
  <c r="H44" i="6"/>
  <c r="H41" i="6"/>
  <c r="H68" i="6"/>
  <c r="H60" i="6"/>
  <c r="H45" i="6"/>
  <c r="H47" i="6"/>
  <c r="H46" i="6"/>
  <c r="H70" i="6"/>
  <c r="H42" i="6"/>
  <c r="H61" i="6"/>
  <c r="H53" i="6"/>
  <c r="H40" i="6"/>
  <c r="H76" i="6"/>
  <c r="H11" i="6"/>
  <c r="H67" i="6"/>
  <c r="H65" i="6"/>
  <c r="H9" i="6"/>
  <c r="H59" i="6"/>
  <c r="H10" i="6"/>
  <c r="H62" i="6"/>
  <c r="H39" i="6"/>
  <c r="H74" i="6"/>
  <c r="G13" i="6" l="1"/>
  <c r="H8" i="6"/>
  <c r="H13" i="6" s="1"/>
  <c r="G12" i="6"/>
  <c r="H12" i="6" s="1"/>
</calcChain>
</file>

<file path=xl/comments1.xml><?xml version="1.0" encoding="utf-8"?>
<comments xmlns="http://schemas.openxmlformats.org/spreadsheetml/2006/main">
  <authors>
    <author>vsm2</author>
    <author>Cora Peterson</author>
  </authors>
  <commentList>
    <comment ref="B5" authorId="0" shapeId="0">
      <text>
        <r>
          <rPr>
            <sz val="9"/>
            <color indexed="81"/>
            <rFont val="Tahoma"/>
            <family val="2"/>
          </rPr>
          <t>Combined marginal outcomes for men and women reflect estimates from studies that often controlled for victim sex but did not report final results by sex. See Appendix Table 3 for details.</t>
        </r>
      </text>
    </comment>
    <comment ref="D5" authorId="0" shapeId="0">
      <text>
        <r>
          <rPr>
            <sz val="9"/>
            <color indexed="81"/>
            <rFont val="Tahoma"/>
            <family val="2"/>
          </rPr>
          <t>All marginal costs without references are calculated from other data in the table; for example, category sums.</t>
        </r>
      </text>
    </comment>
    <comment ref="E5" authorId="0" shapeId="0">
      <text>
        <r>
          <rPr>
            <sz val="9"/>
            <color indexed="81"/>
            <rFont val="Tahoma"/>
            <family val="2"/>
          </rPr>
          <t xml:space="preserve">Per victim cost is marginal probability multiplied by marginal cost. Population cost by outcome is the number of victims by sex multiplied by the per-victim cost. Total per-victim by sex and total population costs are the sum of all per-victim by sex and population costs by outcome. 
</t>
        </r>
      </text>
    </comment>
    <comment ref="A7" authorId="0" shapeId="0">
      <text>
        <r>
          <rPr>
            <sz val="9"/>
            <color indexed="81"/>
            <rFont val="Tahoma"/>
            <family val="2"/>
          </rPr>
          <t xml:space="preserve">Details of reference studies reported in Appendix Table 3 (outcomes), Appendix Table 4 (costs), Appendix Table 5 (discounted cost calculations).
</t>
        </r>
      </text>
    </comment>
    <comment ref="A11" authorId="0" shapeId="0">
      <text>
        <r>
          <rPr>
            <sz val="9"/>
            <color indexed="81"/>
            <rFont val="Tahoma"/>
            <family val="2"/>
          </rPr>
          <t xml:space="preserve">Includes victim property damage/loss, adoption costs, “other” costs attributable to smoking and alcohol abuse (see Appendix Table 3 for details).
</t>
        </r>
      </text>
    </comment>
    <comment ref="B14" authorId="0" shapeId="0">
      <text>
        <r>
          <rPr>
            <sz val="9"/>
            <color indexed="81"/>
            <rFont val="Tahoma"/>
            <family val="2"/>
          </rPr>
          <t xml:space="preserve">Unpublished data from the US Department of Justice. See Appendix Table 3 (outcomes) And Appendix Table 4 (costs) for details.
</t>
        </r>
      </text>
    </comment>
    <comment ref="D14" authorId="0" shapeId="0">
      <text>
        <r>
          <rPr>
            <sz val="9"/>
            <color indexed="81"/>
            <rFont val="Tahoma"/>
            <family val="2"/>
          </rPr>
          <t xml:space="preserve">Unpublished data from the US Department of Justice. See Appendix Table 3 (outcomes) And Appendix Table 4 (costs) for details.
</t>
        </r>
      </text>
    </comment>
    <comment ref="E15" authorId="0" shapeId="0">
      <text>
        <r>
          <rPr>
            <sz val="9"/>
            <color indexed="81"/>
            <rFont val="Tahoma"/>
            <family val="2"/>
          </rPr>
          <t>Cost estimate reported separately for women and men in reference study.</t>
        </r>
        <r>
          <rPr>
            <sz val="9"/>
            <color indexed="81"/>
            <rFont val="Tahoma"/>
            <charset val="1"/>
          </rPr>
          <t xml:space="preserve">
</t>
        </r>
      </text>
    </comment>
    <comment ref="F15" authorId="0" shapeId="0">
      <text>
        <r>
          <rPr>
            <sz val="9"/>
            <color indexed="81"/>
            <rFont val="Tahoma"/>
            <family val="2"/>
          </rPr>
          <t xml:space="preserve">Cost estimate reported separately for women and men in reference study.
</t>
        </r>
      </text>
    </comment>
    <comment ref="B17" authorId="0" shapeId="0">
      <text>
        <r>
          <rPr>
            <sz val="9"/>
            <color indexed="81"/>
            <rFont val="Tahoma"/>
            <family val="2"/>
          </rPr>
          <t xml:space="preserve">Unpublished data from the US Department of Justice. See Appendix Table 3 (outcomes) And Appendix Table 4 (costs) for details.
</t>
        </r>
      </text>
    </comment>
    <comment ref="C17" authorId="0" shapeId="0">
      <text>
        <r>
          <rPr>
            <sz val="9"/>
            <color indexed="81"/>
            <rFont val="Tahoma"/>
            <family val="2"/>
          </rPr>
          <t xml:space="preserve">Unpublished data from the US Department of Justice. See Appendix Table 3 (outcomes) And Appendix Table 4 (costs) for details.
</t>
        </r>
      </text>
    </comment>
    <comment ref="B18" authorId="0" shapeId="0">
      <text>
        <r>
          <rPr>
            <sz val="9"/>
            <color indexed="81"/>
            <rFont val="Tahoma"/>
            <family val="2"/>
          </rPr>
          <t>Unpublished data from the US Department of Justice. See Appendix Table 3 (outcomes) And Appendix Table 4 (costs) for details.</t>
        </r>
      </text>
    </comment>
    <comment ref="C18" authorId="0" shapeId="0">
      <text>
        <r>
          <rPr>
            <sz val="9"/>
            <color indexed="81"/>
            <rFont val="Tahoma"/>
            <family val="2"/>
          </rPr>
          <t xml:space="preserve">Unpublished data from the US Department of Justice. See Appendix Table 3 (outcomes) And Appendix Table 4 (costs) for details.
</t>
        </r>
      </text>
    </comment>
    <comment ref="B21" authorId="0" shapeId="0">
      <text>
        <r>
          <rPr>
            <sz val="9"/>
            <color indexed="81"/>
            <rFont val="Tahoma"/>
            <family val="2"/>
          </rPr>
          <t xml:space="preserve">Unpublished data from the US Department of Justice. See Appendix Table 3 (outcomes) And Appendix Table 4 (costs) for details.
</t>
        </r>
      </text>
    </comment>
    <comment ref="C21" authorId="0" shapeId="0">
      <text>
        <r>
          <rPr>
            <sz val="9"/>
            <color indexed="81"/>
            <rFont val="Tahoma"/>
            <family val="2"/>
          </rPr>
          <t xml:space="preserve">Unpublished data from the US Department of Justice. See Appendix Table 3 (outcomes) And Appendix Table 4 (costs) for details.
</t>
        </r>
      </text>
    </comment>
    <comment ref="E49" authorId="1" shapeId="0">
      <text>
        <r>
          <rPr>
            <sz val="9"/>
            <color indexed="81"/>
            <rFont val="Tahoma"/>
            <family val="2"/>
          </rPr>
          <t>Gender-specific estimates applied.</t>
        </r>
        <r>
          <rPr>
            <sz val="9"/>
            <color indexed="81"/>
            <rFont val="Tahoma"/>
            <charset val="1"/>
          </rPr>
          <t xml:space="preserve">
</t>
        </r>
      </text>
    </comment>
    <comment ref="F49" authorId="1" shapeId="0">
      <text>
        <r>
          <rPr>
            <sz val="9"/>
            <color indexed="81"/>
            <rFont val="Tahoma"/>
            <family val="2"/>
          </rPr>
          <t>Gender-specific estimates applied.</t>
        </r>
      </text>
    </comment>
    <comment ref="E50" authorId="1" shapeId="0">
      <text>
        <r>
          <rPr>
            <sz val="9"/>
            <color indexed="81"/>
            <rFont val="Tahoma"/>
            <family val="2"/>
          </rPr>
          <t>Gender-specific estimates applied.</t>
        </r>
      </text>
    </comment>
    <comment ref="F50" authorId="1" shapeId="0">
      <text>
        <r>
          <rPr>
            <sz val="9"/>
            <color indexed="81"/>
            <rFont val="Tahoma"/>
            <family val="2"/>
          </rPr>
          <t>Gender-specific estimates applied.</t>
        </r>
      </text>
    </comment>
    <comment ref="E51" authorId="1" shapeId="0">
      <text>
        <r>
          <rPr>
            <sz val="9"/>
            <color indexed="81"/>
            <rFont val="Tahoma"/>
            <family val="2"/>
          </rPr>
          <t>Gender-specific estimates applied.</t>
        </r>
      </text>
    </comment>
    <comment ref="F51" authorId="1" shapeId="0">
      <text>
        <r>
          <rPr>
            <sz val="9"/>
            <color indexed="81"/>
            <rFont val="Tahoma"/>
            <family val="2"/>
          </rPr>
          <t>Gender-specific estimates applied.</t>
        </r>
      </text>
    </comment>
    <comment ref="B81" authorId="0" shapeId="0">
      <text>
        <r>
          <rPr>
            <sz val="9"/>
            <color indexed="81"/>
            <rFont val="Tahoma"/>
            <family val="2"/>
          </rPr>
          <t>See Table 2</t>
        </r>
      </text>
    </comment>
    <comment ref="B82" authorId="0" shapeId="0">
      <text>
        <r>
          <rPr>
            <sz val="9"/>
            <color indexed="81"/>
            <rFont val="Tahoma"/>
            <family val="2"/>
          </rPr>
          <t>See Table 2.</t>
        </r>
      </text>
    </comment>
  </commentList>
</comments>
</file>

<file path=xl/comments2.xml><?xml version="1.0" encoding="utf-8"?>
<comments xmlns="http://schemas.openxmlformats.org/spreadsheetml/2006/main">
  <authors>
    <author>vsm2</author>
    <author>Peterson, Cora (CDC/ONDIEH/NCIPC)</author>
  </authors>
  <commentList>
    <comment ref="C6" authorId="0" shapeId="0">
      <text>
        <r>
          <rPr>
            <sz val="9"/>
            <color indexed="81"/>
            <rFont val="Tahoma"/>
            <family val="2"/>
          </rPr>
          <t xml:space="preserve"> Unit cost refers to per arrest or person in the corrections population. 
</t>
        </r>
      </text>
    </comment>
    <comment ref="G6" authorId="0" shapeId="0">
      <text>
        <r>
          <rPr>
            <sz val="9"/>
            <color indexed="81"/>
            <rFont val="Tahoma"/>
            <family val="2"/>
          </rPr>
          <t xml:space="preserve">See manuscript for full source citations.
</t>
        </r>
      </text>
    </comment>
    <comment ref="Y6" authorId="1" shapeId="0">
      <text>
        <r>
          <rPr>
            <sz val="9"/>
            <color indexed="81"/>
            <rFont val="Tahoma"/>
            <family val="2"/>
          </rPr>
          <t>2013 data used instead of 2012 because definition of "Rape" was expanded beginning in 2013 data.</t>
        </r>
      </text>
    </comment>
    <comment ref="E30" authorId="0" shapeId="0">
      <text>
        <r>
          <rPr>
            <sz val="9"/>
            <color indexed="81"/>
            <rFont val="Tahoma"/>
            <family val="2"/>
          </rPr>
          <t>Annual cost of corrections spending attributable to intimate partner violence refers to the lifetime discounted cost of convicted perpetrators that annually enter the corrections system, calculated as the discounted lifetime cost of corrections per perpetrator multiplied by the estimated number of sexual violence perpetrators that are convicted.</t>
        </r>
        <r>
          <rPr>
            <sz val="9"/>
            <color indexed="81"/>
            <rFont val="Tahoma"/>
            <family val="2"/>
          </rPr>
          <t xml:space="preserve">
</t>
        </r>
      </text>
    </comment>
    <comment ref="A31" authorId="0" shapeId="0">
      <text>
        <r>
          <rPr>
            <sz val="9"/>
            <color indexed="81"/>
            <rFont val="Tahoma"/>
            <family val="2"/>
          </rPr>
          <t xml:space="preserve">Total corrections population refers to individuals in prison, jail, probation, parole.
</t>
        </r>
      </text>
    </comment>
    <comment ref="C32" authorId="0" shapeId="0">
      <text>
        <r>
          <rPr>
            <sz val="9"/>
            <color indexed="81"/>
            <rFont val="Tahoma"/>
            <family val="2"/>
          </rPr>
          <t xml:space="preserve">Corrections spending per sexual violence perpetrator calculated as average annual spending per person in the corrections population multiplied by the total estimated corrections duration per sexual violence perpetrator, with annual costs after the first year discounted to present value by 3%.
</t>
        </r>
      </text>
    </comment>
    <comment ref="A35" authorId="0" shapeId="0">
      <text>
        <r>
          <rPr>
            <sz val="9"/>
            <color indexed="81"/>
            <rFont val="Tahoma"/>
            <family val="2"/>
          </rPr>
          <t xml:space="preserve">Estimated corrections duration per intimate partner violence perpetrator calculated as the sum of parole, prison, and probation terms. Includes estimated years in prison, rather than prison sentence received (see "All offenses", "Proportion of prison sentence served" table entry).
</t>
        </r>
      </text>
    </comment>
    <comment ref="A39" authorId="0" shapeId="0">
      <text>
        <r>
          <rPr>
            <sz val="9"/>
            <color indexed="81"/>
            <rFont val="Tahoma"/>
            <family val="2"/>
          </rPr>
          <t xml:space="preserve">Estimated corrections duration per intimate partner violence perpetrator calculated as the sum of parole, prison, and probation terms.
</t>
        </r>
      </text>
    </comment>
    <comment ref="A47" authorId="0" shapeId="0">
      <text>
        <r>
          <rPr>
            <sz val="9"/>
            <color indexed="81"/>
            <rFont val="Tahoma"/>
            <family val="2"/>
          </rPr>
          <t>See "All offenses" rows below for average sentence.</t>
        </r>
      </text>
    </comment>
    <comment ref="A48" authorId="0" shapeId="0">
      <text>
        <r>
          <rPr>
            <sz val="9"/>
            <color indexed="81"/>
            <rFont val="Tahoma"/>
            <family val="2"/>
          </rPr>
          <t>See "All offenses" rows below for average sentence.</t>
        </r>
        <r>
          <rPr>
            <sz val="9"/>
            <color indexed="81"/>
            <rFont val="Tahoma"/>
            <charset val="1"/>
          </rPr>
          <t xml:space="preserve">
</t>
        </r>
      </text>
    </comment>
    <comment ref="A51" authorId="0" shapeId="0">
      <text>
        <r>
          <rPr>
            <sz val="9"/>
            <color indexed="81"/>
            <rFont val="Tahoma"/>
            <family val="2"/>
          </rPr>
          <t xml:space="preserve">Estimated corrections duration per intimate partner violence perpetrator calculated as the sum of parole, prison, and probation terms.
</t>
        </r>
      </text>
    </comment>
    <comment ref="A59" authorId="0" shapeId="0">
      <text>
        <r>
          <rPr>
            <sz val="9"/>
            <color indexed="81"/>
            <rFont val="Tahoma"/>
            <family val="2"/>
          </rPr>
          <t>See "All offenses" rows below for average sentence.</t>
        </r>
      </text>
    </comment>
    <comment ref="A60" authorId="0" shapeId="0">
      <text>
        <r>
          <rPr>
            <sz val="9"/>
            <color indexed="81"/>
            <rFont val="Tahoma"/>
            <family val="2"/>
          </rPr>
          <t>See "All offenses" rows below for average sentence.</t>
        </r>
        <r>
          <rPr>
            <sz val="9"/>
            <color indexed="81"/>
            <rFont val="Tahoma"/>
            <charset val="1"/>
          </rPr>
          <t xml:space="preserve">
</t>
        </r>
      </text>
    </comment>
    <comment ref="A63" authorId="0" shapeId="0">
      <text>
        <r>
          <rPr>
            <sz val="9"/>
            <color indexed="81"/>
            <rFont val="Tahoma"/>
            <family val="2"/>
          </rPr>
          <t xml:space="preserve">Estimated corrections duration per intimate partner violence perpetrator calculated as the sum of parole, prison, and probation terms.
</t>
        </r>
      </text>
    </comment>
    <comment ref="A71" authorId="0" shapeId="0">
      <text>
        <r>
          <rPr>
            <sz val="9"/>
            <color indexed="81"/>
            <rFont val="Tahoma"/>
            <family val="2"/>
          </rPr>
          <t>See "All offenses" rows below for average sentence.</t>
        </r>
      </text>
    </comment>
    <comment ref="A72" authorId="0" shapeId="0">
      <text>
        <r>
          <rPr>
            <sz val="9"/>
            <color indexed="81"/>
            <rFont val="Tahoma"/>
            <family val="2"/>
          </rPr>
          <t>See "All offenses" rows below for average sentence.</t>
        </r>
        <r>
          <rPr>
            <sz val="9"/>
            <color indexed="81"/>
            <rFont val="Tahoma"/>
            <charset val="1"/>
          </rPr>
          <t xml:space="preserve">
</t>
        </r>
      </text>
    </comment>
    <comment ref="A75" authorId="0" shapeId="0">
      <text>
        <r>
          <rPr>
            <sz val="9"/>
            <color indexed="81"/>
            <rFont val="Tahoma"/>
            <family val="2"/>
          </rPr>
          <t xml:space="preserve">Estimated corrections duration per intimate partner violence perpetrator calculated as the sum of parole, prison, and probation terms.
</t>
        </r>
      </text>
    </comment>
    <comment ref="A83" authorId="0" shapeId="0">
      <text>
        <r>
          <rPr>
            <sz val="9"/>
            <color indexed="81"/>
            <rFont val="Tahoma"/>
            <family val="2"/>
          </rPr>
          <t>See "All offenses" rows below for average sentence.</t>
        </r>
      </text>
    </comment>
    <comment ref="A84" authorId="0" shapeId="0">
      <text>
        <r>
          <rPr>
            <sz val="9"/>
            <color indexed="81"/>
            <rFont val="Tahoma"/>
            <family val="2"/>
          </rPr>
          <t>See "All offenses" rows below for average sentence.</t>
        </r>
        <r>
          <rPr>
            <sz val="9"/>
            <color indexed="81"/>
            <rFont val="Tahoma"/>
            <charset val="1"/>
          </rPr>
          <t xml:space="preserve">
</t>
        </r>
      </text>
    </comment>
    <comment ref="A85" authorId="0" shapeId="0">
      <text>
        <r>
          <rPr>
            <sz val="9"/>
            <color indexed="81"/>
            <rFont val="Tahoma"/>
            <family val="2"/>
          </rPr>
          <t xml:space="preserve">Other (simple) assault data is "Other violent" arrest category in source data.
</t>
        </r>
      </text>
    </comment>
    <comment ref="A87" authorId="0" shapeId="0">
      <text>
        <r>
          <rPr>
            <sz val="9"/>
            <color indexed="81"/>
            <rFont val="Tahoma"/>
            <family val="2"/>
          </rPr>
          <t xml:space="preserve">Estimated corrections duration per intimate partner violence perpetrator calculated as the sum of parole, prison, and probation terms.
</t>
        </r>
      </text>
    </comment>
    <comment ref="A89" authorId="0" shapeId="0">
      <text>
        <r>
          <rPr>
            <sz val="9"/>
            <color indexed="81"/>
            <rFont val="Tahoma"/>
            <family val="2"/>
          </rPr>
          <t xml:space="preserve">Assumes all perpetrators were tried for felony offenses. No data available on the proportion of intimate partner perpetrators that were tried for misdemeanor charges.
</t>
        </r>
      </text>
    </comment>
    <comment ref="B91" authorId="0" shapeId="0">
      <text>
        <r>
          <rPr>
            <sz val="9"/>
            <color indexed="81"/>
            <rFont val="Tahoma"/>
            <family val="2"/>
          </rPr>
          <t>From source, % of domestic violence defendents (87% with misdemeanor charge, 13% with felony charge) in Washington State with corrections (jail or probation) sentencing (opposed to proscription, fine, treatment, etc.)</t>
        </r>
        <r>
          <rPr>
            <sz val="9"/>
            <color indexed="81"/>
            <rFont val="Tahoma"/>
            <charset val="1"/>
          </rPr>
          <t xml:space="preserve">
</t>
        </r>
      </text>
    </comment>
    <comment ref="A95" authorId="0" shapeId="0">
      <text>
        <r>
          <rPr>
            <sz val="9"/>
            <color indexed="81"/>
            <rFont val="Tahoma"/>
            <family val="2"/>
          </rPr>
          <t>See "All offenses" rows below for average sentence.</t>
        </r>
      </text>
    </comment>
    <comment ref="A96" authorId="0" shapeId="0">
      <text>
        <r>
          <rPr>
            <sz val="9"/>
            <color indexed="81"/>
            <rFont val="Tahoma"/>
            <family val="2"/>
          </rPr>
          <t>See "All offenses" rows below for average sentence.</t>
        </r>
        <r>
          <rPr>
            <sz val="9"/>
            <color indexed="81"/>
            <rFont val="Tahoma"/>
            <charset val="1"/>
          </rPr>
          <t xml:space="preserve">
</t>
        </r>
      </text>
    </comment>
    <comment ref="A98" authorId="0" shapeId="0">
      <text>
        <r>
          <rPr>
            <sz val="9"/>
            <color indexed="81"/>
            <rFont val="Tahoma"/>
            <family val="2"/>
          </rPr>
          <t>Data based on federal prisoners</t>
        </r>
      </text>
    </comment>
    <comment ref="A101" authorId="0" shapeId="0">
      <text>
        <r>
          <rPr>
            <sz val="9"/>
            <color indexed="81"/>
            <rFont val="Tahoma"/>
            <family val="2"/>
          </rPr>
          <t>Data based on federal prisoners</t>
        </r>
        <r>
          <rPr>
            <b/>
            <sz val="9"/>
            <color indexed="81"/>
            <rFont val="Tahoma"/>
            <family val="2"/>
          </rPr>
          <t>.</t>
        </r>
        <r>
          <rPr>
            <sz val="9"/>
            <color indexed="81"/>
            <rFont val="Tahoma"/>
            <family val="2"/>
          </rPr>
          <t xml:space="preserve">
</t>
        </r>
      </text>
    </comment>
  </commentList>
</comments>
</file>

<file path=xl/comments3.xml><?xml version="1.0" encoding="utf-8"?>
<comments xmlns="http://schemas.openxmlformats.org/spreadsheetml/2006/main">
  <authors>
    <author>Peterson, Cora (CDC/ONDIEH/NCIPC)</author>
    <author>vsm2</author>
  </authors>
  <commentList>
    <comment ref="A7" authorId="0" shapeId="0">
      <text>
        <r>
          <rPr>
            <sz val="9"/>
            <color indexed="81"/>
            <rFont val="Tahoma"/>
            <family val="2"/>
          </rPr>
          <t xml:space="preserve">Grey highlighting indicates calculated cell. Highlight cell and check Fx bar above to see calculations and additional text.
</t>
        </r>
      </text>
    </comment>
    <comment ref="AC22" authorId="1" shapeId="0">
      <text>
        <r>
          <rPr>
            <sz val="9"/>
            <color indexed="81"/>
            <rFont val="Tahoma"/>
            <family val="2"/>
          </rPr>
          <t>Not significantly different from non-victims</t>
        </r>
        <r>
          <rPr>
            <sz val="9"/>
            <color indexed="81"/>
            <rFont val="Tahoma"/>
            <charset val="1"/>
          </rPr>
          <t xml:space="preserve">
</t>
        </r>
      </text>
    </comment>
    <comment ref="AC23" authorId="1" shapeId="0">
      <text>
        <r>
          <rPr>
            <sz val="9"/>
            <color indexed="81"/>
            <rFont val="Tahoma"/>
            <family val="2"/>
          </rPr>
          <t>Not significantly different from non-victims</t>
        </r>
        <r>
          <rPr>
            <sz val="9"/>
            <color indexed="81"/>
            <rFont val="Tahoma"/>
            <charset val="1"/>
          </rPr>
          <t xml:space="preserve">
</t>
        </r>
      </text>
    </comment>
    <comment ref="D30" authorId="1" shapeId="0">
      <text>
        <r>
          <rPr>
            <sz val="9"/>
            <color indexed="81"/>
            <rFont val="Tahoma"/>
            <family val="2"/>
          </rPr>
          <t xml:space="preserve">Refers to current IPV 
</t>
        </r>
      </text>
    </comment>
    <comment ref="F30" authorId="1" shapeId="0">
      <text>
        <r>
          <rPr>
            <sz val="9"/>
            <color indexed="81"/>
            <rFont val="Tahoma"/>
            <family val="2"/>
          </rPr>
          <t xml:space="preserve">Refers to current IPV 
</t>
        </r>
      </text>
    </comment>
    <comment ref="H30" authorId="1" shapeId="0">
      <text>
        <r>
          <rPr>
            <sz val="9"/>
            <color indexed="81"/>
            <rFont val="Tahoma"/>
            <family val="2"/>
          </rPr>
          <t xml:space="preserve">Refers to current IPV 
</t>
        </r>
      </text>
    </comment>
    <comment ref="I30" authorId="1" shapeId="0">
      <text>
        <r>
          <rPr>
            <sz val="9"/>
            <color indexed="81"/>
            <rFont val="Tahoma"/>
            <family val="2"/>
          </rPr>
          <t xml:space="preserve">Refers to current IPV 
</t>
        </r>
      </text>
    </comment>
    <comment ref="AC33" authorId="1" shapeId="0">
      <text>
        <r>
          <rPr>
            <sz val="9"/>
            <color indexed="81"/>
            <rFont val="Tahoma"/>
            <family val="2"/>
          </rPr>
          <t>Not significantly different from non-victims</t>
        </r>
        <r>
          <rPr>
            <sz val="9"/>
            <color indexed="81"/>
            <rFont val="Tahoma"/>
            <charset val="1"/>
          </rPr>
          <t xml:space="preserve">
</t>
        </r>
      </text>
    </comment>
    <comment ref="AC36" authorId="1" shapeId="0">
      <text>
        <r>
          <rPr>
            <sz val="9"/>
            <color indexed="81"/>
            <rFont val="Tahoma"/>
            <family val="2"/>
          </rPr>
          <t>Not significantly different from non-victims</t>
        </r>
        <r>
          <rPr>
            <sz val="9"/>
            <color indexed="81"/>
            <rFont val="Tahoma"/>
            <charset val="1"/>
          </rPr>
          <t xml:space="preserve">
</t>
        </r>
      </text>
    </comment>
  </commentList>
</comments>
</file>

<file path=xl/comments4.xml><?xml version="1.0" encoding="utf-8"?>
<comments xmlns="http://schemas.openxmlformats.org/spreadsheetml/2006/main">
  <authors>
    <author>Peterson, Cora (CDC/ONDIEH/NCIPC)</author>
    <author>vsm2</author>
  </authors>
  <commentList>
    <comment ref="A7" authorId="0" shapeId="0">
      <text>
        <r>
          <rPr>
            <sz val="9"/>
            <color indexed="81"/>
            <rFont val="Tahoma"/>
            <family val="2"/>
          </rPr>
          <t xml:space="preserve">Grey highlighting indicates calculated cell. Highlight cell and check Fx bar above to see calculations and additional text.
</t>
        </r>
      </text>
    </comment>
    <comment ref="B7" authorId="1" shapeId="0">
      <text>
        <r>
          <rPr>
            <sz val="9"/>
            <color indexed="81"/>
            <rFont val="Tahoma"/>
            <family val="2"/>
          </rPr>
          <t>See "Cost outcome elements" column for any calculations applied.</t>
        </r>
        <r>
          <rPr>
            <sz val="9"/>
            <color indexed="81"/>
            <rFont val="Tahoma"/>
            <charset val="1"/>
          </rPr>
          <t xml:space="preserve">
</t>
        </r>
      </text>
    </comment>
    <comment ref="D7" authorId="1" shapeId="0">
      <text>
        <r>
          <rPr>
            <sz val="9"/>
            <color indexed="81"/>
            <rFont val="Tahoma"/>
            <family val="2"/>
          </rPr>
          <t xml:space="preserve">See Appendix Table 5 for calculations to convert reported attributable annual costs from reference studies to estimated lifetime costs.
</t>
        </r>
      </text>
    </comment>
    <comment ref="I7" authorId="1" shapeId="0">
      <text>
        <r>
          <rPr>
            <sz val="9"/>
            <color indexed="81"/>
            <rFont val="Tahoma"/>
            <family val="2"/>
          </rPr>
          <t xml:space="preserve"> Inflation index references:
PCE - Health: US Bureau of Economic Analysis. Table 2.5.4: Price Indexes for Personal Consumption Expenditures by Function.  2015 August 6, 2015 [cited 2015 December 28]; Available from: http://www.bea.gov/itable/
GDP: US Bureau of Economic Analysis. Table 1.1.4. Price Indexes for Gross Domestic Product.  2015 December 22, 2015 [cited 2015 December 28]; Available from: http://www.bea.gov/itable/
</t>
        </r>
      </text>
    </comment>
    <comment ref="U59" authorId="1" shapeId="0">
      <text>
        <r>
          <rPr>
            <sz val="9"/>
            <color indexed="81"/>
            <rFont val="Tahoma"/>
            <family val="2"/>
          </rPr>
          <t>From reference source Results section text; refers to visually impaired population in and out of the labor force.</t>
        </r>
        <r>
          <rPr>
            <sz val="9"/>
            <color indexed="81"/>
            <rFont val="Tahoma"/>
            <charset val="1"/>
          </rPr>
          <t xml:space="preserve">
</t>
        </r>
      </text>
    </comment>
  </commentList>
</comments>
</file>

<file path=xl/sharedStrings.xml><?xml version="1.0" encoding="utf-8"?>
<sst xmlns="http://schemas.openxmlformats.org/spreadsheetml/2006/main" count="4452" uniqueCount="1181">
  <si>
    <t>Source</t>
  </si>
  <si>
    <t>Setting and respondents</t>
  </si>
  <si>
    <t>Intimate partner violence measure</t>
  </si>
  <si>
    <t>Outcome</t>
  </si>
  <si>
    <t>Women</t>
  </si>
  <si>
    <t>Men</t>
  </si>
  <si>
    <t>Study country</t>
  </si>
  <si>
    <t>Study type</t>
  </si>
  <si>
    <t>Dataset or setting</t>
  </si>
  <si>
    <t>Study period</t>
  </si>
  <si>
    <t>Comparison groups</t>
  </si>
  <si>
    <t>Respondent sex</t>
  </si>
  <si>
    <t>Results weighted or separately reported by respondent sex?</t>
  </si>
  <si>
    <t>Sample size: IPV (n)</t>
  </si>
  <si>
    <t>Sample size: non-IPV (n)</t>
  </si>
  <si>
    <t>Measure summary</t>
  </si>
  <si>
    <t>Timeline</t>
  </si>
  <si>
    <t>IPV definition</t>
  </si>
  <si>
    <t>Subject and incident inclusion / exclusion</t>
  </si>
  <si>
    <t>Summary</t>
  </si>
  <si>
    <t>Elicitation Tool</t>
  </si>
  <si>
    <t>Measurement details</t>
  </si>
  <si>
    <t>Analysis from reference study and modelling calculations</t>
  </si>
  <si>
    <t>Unadjusted prevalence</t>
  </si>
  <si>
    <t>Adjusted odds ratio: IPV versus non-IPV</t>
  </si>
  <si>
    <t>Relative risk: IPV versus non-IPV</t>
  </si>
  <si>
    <t>Odds ratio: IPV versus non-IPV</t>
  </si>
  <si>
    <t>Includes physical IPV</t>
  </si>
  <si>
    <t>Includes sexual IPV</t>
  </si>
  <si>
    <t>Includes threats</t>
  </si>
  <si>
    <t>Non-IPV sample</t>
  </si>
  <si>
    <t>SE</t>
  </si>
  <si>
    <t>IPV sample</t>
  </si>
  <si>
    <t>Point estimate</t>
  </si>
  <si>
    <t>Low 95% CI</t>
  </si>
  <si>
    <t>High 95% CI</t>
  </si>
  <si>
    <t>Population</t>
  </si>
  <si>
    <t>NR</t>
  </si>
  <si>
    <t>IPV/no IPV</t>
  </si>
  <si>
    <t>Yes</t>
  </si>
  <si>
    <t>Female</t>
  </si>
  <si>
    <t>NA</t>
  </si>
  <si>
    <t>Lifetime</t>
  </si>
  <si>
    <t>No</t>
  </si>
  <si>
    <t>Survey</t>
  </si>
  <si>
    <t>Logistic regression</t>
  </si>
  <si>
    <t>USA</t>
  </si>
  <si>
    <t>Both</t>
  </si>
  <si>
    <t>Past year</t>
  </si>
  <si>
    <t xml:space="preserve">Yes </t>
  </si>
  <si>
    <t xml:space="preserve"> </t>
  </si>
  <si>
    <t>Interview</t>
  </si>
  <si>
    <t>Multiple</t>
  </si>
  <si>
    <t>2001-2003</t>
  </si>
  <si>
    <t>75-85% White</t>
  </si>
  <si>
    <t>Current relationship</t>
  </si>
  <si>
    <t>CIDI interview for DSM-IV</t>
  </si>
  <si>
    <t>Alcohol abuse</t>
  </si>
  <si>
    <t>Unit cost as reported</t>
  </si>
  <si>
    <t>Inflation multiplier</t>
  </si>
  <si>
    <t>Respondent age range (years)</t>
  </si>
  <si>
    <t>Sample size</t>
  </si>
  <si>
    <t>Payer perspective</t>
  </si>
  <si>
    <t>Cost estimates control for related conditions?</t>
  </si>
  <si>
    <t>Medical costs included?</t>
  </si>
  <si>
    <t>Productivity costs included?</t>
  </si>
  <si>
    <t>Analysis</t>
  </si>
  <si>
    <t>Discount rate for future costs</t>
  </si>
  <si>
    <t>Standard error as reported</t>
  </si>
  <si>
    <t>LOW dispersion (i.e., 95% CI) as reported</t>
  </si>
  <si>
    <t>HIGH dispersion (i.e., 95% CI) as reported</t>
  </si>
  <si>
    <t>Unit cost dollar year as reported or inferred</t>
  </si>
  <si>
    <t>Morbidity</t>
  </si>
  <si>
    <t>Mortality</t>
  </si>
  <si>
    <t>Medical</t>
  </si>
  <si>
    <t>Annual</t>
  </si>
  <si>
    <t>PCE - Health</t>
  </si>
  <si>
    <t>Cost of illness</t>
  </si>
  <si>
    <t>18-64</t>
  </si>
  <si>
    <t>Health care payer</t>
  </si>
  <si>
    <t>Lost productivity</t>
  </si>
  <si>
    <t>Greenberg (1999)</t>
  </si>
  <si>
    <t>GDP</t>
  </si>
  <si>
    <t>Mathmatical model</t>
  </si>
  <si>
    <t>1990-1992</t>
  </si>
  <si>
    <t>15-54</t>
  </si>
  <si>
    <t>Societal</t>
  </si>
  <si>
    <t>2-part generalized linear models with log-link controlling for age, gender, education, number of children, non-anxiety psychiatric disorders, and preceding comorbities.</t>
  </si>
  <si>
    <t>Depression</t>
  </si>
  <si>
    <t>Sexually transmitted infections</t>
  </si>
  <si>
    <t>Ackard (2007)</t>
  </si>
  <si>
    <t>Wave 1: 1999; Wave 2: 2004</t>
  </si>
  <si>
    <t>Depressive symptoms at wave 1</t>
  </si>
  <si>
    <t>Greenberg (2015)</t>
  </si>
  <si>
    <t>OptumHealth Reporting and Insights</t>
  </si>
  <si>
    <t xml:space="preserve">Major depressive disorder (MDD) / no major depressive disorder </t>
  </si>
  <si>
    <t>MDD: 44,241
No MDD: 44,241</t>
  </si>
  <si>
    <t>Analysis after propensity score patient matching (MDD verus no MDD) based on age, sex, residential country region, insurance type, employment status, relationship to primary insured benficiary, and Charlson Comorbidity Index.</t>
  </si>
  <si>
    <t>3% applied for present modelling when extrapolating lifetime  cost from annual cost - see eTable 3.</t>
  </si>
  <si>
    <t xml:space="preserve">Major depressive disorder / no major depressive disorder </t>
  </si>
  <si>
    <t>MDD: 9,990
No MDD: 9,990</t>
  </si>
  <si>
    <t>Productivity</t>
  </si>
  <si>
    <t>Medical Expenditure Panel Survey</t>
  </si>
  <si>
    <t>None</t>
  </si>
  <si>
    <t>All</t>
  </si>
  <si>
    <t>Mathematical model</t>
  </si>
  <si>
    <t>Victim substance abuse</t>
  </si>
  <si>
    <t>Sacks (2015) and Bouchery (2011)</t>
  </si>
  <si>
    <t>Other</t>
  </si>
  <si>
    <t>Illicit drug use</t>
  </si>
  <si>
    <t>US DOJ (2011) and US SAMHSA (2009)</t>
  </si>
  <si>
    <t>Illicit drug use / no illicit drug use</t>
  </si>
  <si>
    <t>Public payer</t>
  </si>
  <si>
    <t>Smoking</t>
  </si>
  <si>
    <t>Smokers / non-smokers</t>
  </si>
  <si>
    <t>Lifetime incidence cost of a smoker beginning at age 24 years, including smoking cessation. Reference estimate cost categoreis were expressed as $ per pack. Note: The total cost of $40/pack in the reference study is reduced to $14.06/pack for our purposes in this study through the exclusion of a willingness to pay value of live years lost to smoking mortality for smokers, smokers' spouses, and smokers' infants--we have included lost wages due to smokers' earlier mortality.
 - The cost elements from the reference source included in our "productivity" cost estimate were $10.66/pack, or $10.66/$14.06 = 75.8% of the total total per-smoker lifetime incidence cost of $170,789 (2000 USD). The costs from the reference study included in our productivity cost estimate include:
• Smoker's lost wages ($5.10 /pack in 2000 USD).
• Smoker's disability ($3.44/pack in 2000 USD).
• Spouse's disability ($-0.25 /pack in 2000 USD).
• Spouse's Social Security survivor benefits ($-0.17/pack in 2000 USD).
• Spouse's private pension survivor benefits ($-0.12 /pack in 2000 USD).
• Smoker's foregone tax receipts on lost Social Security taxable earnings ($1.02/pack in 2000 USD).
• Smoker's  work loss due to sick leave ($0.76/pack in 2000 USD).
• Smoker's presenteeism ($0.24/pack in 2000 USD).</t>
  </si>
  <si>
    <t>Lifetime incidence cost of a smoker beginning at age 24 years, including smoking cessation. Reference estimate cost categoreis were expressed as $ per pack. Note: The total cost of $40/pack in the reference study is reduced to $14.06/pack for our purposes in this study through the exclusion of a willingness to pay value of live years lost to smoking mortality for smokers, smokers' spouses, and smokers' infants--we have included lost wages due to smokers' earlier mortality.
 - The cost elements from the reference source included in our "other" cost estimate were $2.67/pack, or $2.67/$14.06 = 19.0% of the total total per-smoker lifetime incidence cost of $170,789 (2000 USD).
 - The costs from the reference study included in our productivity cost estimate include:
• Smoker's private pension lower payment ($1.36 /pack in 2000 USD).
• Smoker's Social Security lower payment ($1.01 /pack in 2000 USD).
• Smoker's subsidy from non-smokers' life insurance premiums ($-1.78 /pack in 2000 USD).
• Cost of cigarettes per pack ($3.12 /pack in 2000 USD).
• Smoker's exise taxes paid, state and federal ($0.76 /pack in 2000 USD).
• Smoker's lower Social Security outlays ($-0.82 /pack in 2000 USD).
• Smoker's lower private pension plan outlays ($-1.24 /pack in 2000 USD).</t>
  </si>
  <si>
    <t>2001-2005</t>
  </si>
  <si>
    <t>Breiding (2008)</t>
  </si>
  <si>
    <t>Current</t>
  </si>
  <si>
    <t>Stroke</t>
  </si>
  <si>
    <t>Joint disease</t>
  </si>
  <si>
    <t>Asthma</t>
  </si>
  <si>
    <t>Sample size: Total (n)</t>
  </si>
  <si>
    <t>Victim mental health</t>
  </si>
  <si>
    <t>Assumed</t>
  </si>
  <si>
    <t>Life expectancy at birth:</t>
  </si>
  <si>
    <t>Xu J, Murphy SL, Kochanek KD, Bastian BA. Deaths: Final Data for 2013. Natl Vital Stat Rep 2016;64(2):1-119.</t>
  </si>
  <si>
    <t>Cost</t>
  </si>
  <si>
    <t>Cost type</t>
  </si>
  <si>
    <t>Input</t>
  </si>
  <si>
    <t>Age range of respondents (years): LOW</t>
  </si>
  <si>
    <t>Age range of respondents (years): HIGH</t>
  </si>
  <si>
    <t>Term (a): start</t>
  </si>
  <si>
    <t>Term (a): end</t>
  </si>
  <si>
    <t>Annual unit cost from reference study</t>
  </si>
  <si>
    <t>Discount rate</t>
  </si>
  <si>
    <t>Term</t>
  </si>
  <si>
    <t>Calculated</t>
  </si>
  <si>
    <t>Greenberg (1999): Results section text.</t>
  </si>
  <si>
    <t>Greenberg (2015): Table 2A.</t>
  </si>
  <si>
    <t>Barnett, 2011: Results section text.</t>
  </si>
  <si>
    <t>Perpetrator: Lost productivity due to corrections</t>
  </si>
  <si>
    <t>Note. NA Not applicable; NR Not reported. Discounting was applied only to "annual" and "lifetime" costs (see eTable 2); one-time costs are assumed to occur in Year 0 and are undiscounted.
(a) Term based on maximum and minimum respondent ages in in reference cost study. If maximum respondent age was reported as open-ended (i.e., "50+ years"), we applied the highest listed age (i.e., 50 years).</t>
  </si>
  <si>
    <t>Age at first intimate partner victimization:</t>
  </si>
  <si>
    <t>From: http://bea.gov/iTable/index.cfm &gt; National data &gt; GDP &amp; Personal income &gt; Section 1 Gross Domestic Product and Income &gt; Table 1.1.4. Price Indexes for Gross Domestic Product</t>
  </si>
  <si>
    <t>Table 1.1.4. Price Indexes for Gross Domestic Product</t>
  </si>
  <si>
    <t>[Index numbers, 2009=100]</t>
  </si>
  <si>
    <t>Bureau of Economic Analysis</t>
  </si>
  <si>
    <t>Line</t>
  </si>
  <si>
    <t> </t>
  </si>
  <si>
    <t>1995</t>
  </si>
  <si>
    <t>1996</t>
  </si>
  <si>
    <t>1997</t>
  </si>
  <si>
    <t>1998</t>
  </si>
  <si>
    <t>1999</t>
  </si>
  <si>
    <t>2000</t>
  </si>
  <si>
    <t>2001</t>
  </si>
  <si>
    <t>2002</t>
  </si>
  <si>
    <t>2003</t>
  </si>
  <si>
    <t>2004</t>
  </si>
  <si>
    <t>2005</t>
  </si>
  <si>
    <t>2006</t>
  </si>
  <si>
    <t>2007</t>
  </si>
  <si>
    <t>2008</t>
  </si>
  <si>
    <t>2009</t>
  </si>
  <si>
    <t>2010</t>
  </si>
  <si>
    <t>2011</t>
  </si>
  <si>
    <t>2012</t>
  </si>
  <si>
    <t>2013</t>
  </si>
  <si>
    <t>2014</t>
  </si>
  <si>
    <t>1</t>
  </si>
  <si>
    <t xml:space="preserve">        Gross domestic product</t>
  </si>
  <si>
    <t>2</t>
  </si>
  <si>
    <t>Personal consumption expenditures</t>
  </si>
  <si>
    <t>3</t>
  </si>
  <si>
    <t xml:space="preserve">    Goods</t>
  </si>
  <si>
    <t>4</t>
  </si>
  <si>
    <t xml:space="preserve">        Durable goods</t>
  </si>
  <si>
    <t>5</t>
  </si>
  <si>
    <t xml:space="preserve">        Nondurable goods</t>
  </si>
  <si>
    <t>6</t>
  </si>
  <si>
    <t xml:space="preserve">    Services</t>
  </si>
  <si>
    <t>7</t>
  </si>
  <si>
    <t>Gross private domestic investment</t>
  </si>
  <si>
    <t>8</t>
  </si>
  <si>
    <t xml:space="preserve">    Fixed investment</t>
  </si>
  <si>
    <t>9</t>
  </si>
  <si>
    <t xml:space="preserve">        Nonresidential</t>
  </si>
  <si>
    <t>10</t>
  </si>
  <si>
    <t xml:space="preserve">            Structures</t>
  </si>
  <si>
    <t>11</t>
  </si>
  <si>
    <t xml:space="preserve">            Equipment</t>
  </si>
  <si>
    <t>12</t>
  </si>
  <si>
    <t xml:space="preserve">            Intellectual property products</t>
  </si>
  <si>
    <t>13</t>
  </si>
  <si>
    <t xml:space="preserve">        Residential</t>
  </si>
  <si>
    <t>14</t>
  </si>
  <si>
    <t xml:space="preserve">    Change in private inventories</t>
  </si>
  <si>
    <t>---</t>
  </si>
  <si>
    <t>15</t>
  </si>
  <si>
    <t>Net exports of goods and services</t>
  </si>
  <si>
    <t>16</t>
  </si>
  <si>
    <t xml:space="preserve">    Exports</t>
  </si>
  <si>
    <t>17</t>
  </si>
  <si>
    <t xml:space="preserve">        Goods</t>
  </si>
  <si>
    <t>18</t>
  </si>
  <si>
    <t xml:space="preserve">        Services</t>
  </si>
  <si>
    <t>19</t>
  </si>
  <si>
    <t xml:space="preserve">    Imports</t>
  </si>
  <si>
    <t>20</t>
  </si>
  <si>
    <t>21</t>
  </si>
  <si>
    <t>22</t>
  </si>
  <si>
    <t>Government consumption expenditures and gross investment</t>
  </si>
  <si>
    <t>23</t>
  </si>
  <si>
    <t xml:space="preserve">    Federal</t>
  </si>
  <si>
    <t>24</t>
  </si>
  <si>
    <t xml:space="preserve">        National defense</t>
  </si>
  <si>
    <t>25</t>
  </si>
  <si>
    <t xml:space="preserve">        Nondefense</t>
  </si>
  <si>
    <t>26</t>
  </si>
  <si>
    <t xml:space="preserve">    State and local</t>
  </si>
  <si>
    <t>From: http://bea.gov/iTable/index.cfm &gt; National data &gt; GDP &amp; Personal income &gt; Section 2 Personal Income and Outlays &gt; Table 2.5.4. Price Indexes for Personal Consumption Expenditures by Function</t>
  </si>
  <si>
    <t>Table 2.5.4. Price Indexes for Personal Consumption Expenditures by Function</t>
  </si>
  <si>
    <t>Last Revised on: August 06, 2015</t>
  </si>
  <si>
    <t>1990</t>
  </si>
  <si>
    <t>1991</t>
  </si>
  <si>
    <t>1992</t>
  </si>
  <si>
    <t>1993</t>
  </si>
  <si>
    <t>1994</t>
  </si>
  <si>
    <t xml:space="preserve">            Personal consumption expenditures</t>
  </si>
  <si>
    <t>Household consumption expenditures 1</t>
  </si>
  <si>
    <t xml:space="preserve">    Food and beverages purchased for off-premises consumption</t>
  </si>
  <si>
    <t xml:space="preserve">        Food and nonalcoholic beverages purchased for off-premises consumption</t>
  </si>
  <si>
    <t xml:space="preserve">        Alcoholic beverages purchased for off-premises consumption</t>
  </si>
  <si>
    <t xml:space="preserve">        Food produced and consumed on farms</t>
  </si>
  <si>
    <t xml:space="preserve">    Clothing, footwear, and related services</t>
  </si>
  <si>
    <t xml:space="preserve">        Clothing</t>
  </si>
  <si>
    <t xml:space="preserve">            Garments</t>
  </si>
  <si>
    <t xml:space="preserve">                Women's and girls' clothing</t>
  </si>
  <si>
    <t xml:space="preserve">                Men's and boys' clothing</t>
  </si>
  <si>
    <t xml:space="preserve">                Children's and infants' clothing</t>
  </si>
  <si>
    <t xml:space="preserve">            Other clothing materials</t>
  </si>
  <si>
    <t xml:space="preserve">            Cleaning, repair, and rental of clothing</t>
  </si>
  <si>
    <t xml:space="preserve">                Laundry and dry cleaning services</t>
  </si>
  <si>
    <t xml:space="preserve">                Clothing repair, rental, and alterations</t>
  </si>
  <si>
    <t xml:space="preserve">        Footwear 2</t>
  </si>
  <si>
    <t xml:space="preserve">    Housing, utilities, and fuels</t>
  </si>
  <si>
    <t xml:space="preserve">        Housing</t>
  </si>
  <si>
    <t xml:space="preserve">            Rental of tenant-occupied nonfarm housing 3</t>
  </si>
  <si>
    <t xml:space="preserve">            Imputed rental of owner-occupied nonfarm housing 4</t>
  </si>
  <si>
    <t xml:space="preserve">            Rental value of farm dwellings</t>
  </si>
  <si>
    <t xml:space="preserve">            Group housing</t>
  </si>
  <si>
    <t xml:space="preserve">        Household utilities and fuels</t>
  </si>
  <si>
    <t xml:space="preserve">            Water supply and sanitation</t>
  </si>
  <si>
    <t xml:space="preserve">            Electricity, gas, and other fuels</t>
  </si>
  <si>
    <t>27</t>
  </si>
  <si>
    <t xml:space="preserve">                Electricity</t>
  </si>
  <si>
    <t>28</t>
  </si>
  <si>
    <t xml:space="preserve">                Natural gas</t>
  </si>
  <si>
    <t>29</t>
  </si>
  <si>
    <t xml:space="preserve">                Fuel oil and other fuels</t>
  </si>
  <si>
    <t>30</t>
  </si>
  <si>
    <t xml:space="preserve">    Furnishings, household equipment, and routine household maintenance</t>
  </si>
  <si>
    <t>31</t>
  </si>
  <si>
    <t xml:space="preserve">        Furniture, furnishings, and floor coverings 5</t>
  </si>
  <si>
    <t>32</t>
  </si>
  <si>
    <t xml:space="preserve">        Household textiles</t>
  </si>
  <si>
    <t>33</t>
  </si>
  <si>
    <t xml:space="preserve">        Household appliances 6</t>
  </si>
  <si>
    <t>34</t>
  </si>
  <si>
    <t xml:space="preserve">        Glassware, tableware, and household utensils 7</t>
  </si>
  <si>
    <t>35</t>
  </si>
  <si>
    <t xml:space="preserve">        Tools and equipment for house and garden</t>
  </si>
  <si>
    <t>36</t>
  </si>
  <si>
    <t xml:space="preserve">        Other household goods and services 8</t>
  </si>
  <si>
    <t>37</t>
  </si>
  <si>
    <t xml:space="preserve">    Health</t>
  </si>
  <si>
    <t>38</t>
  </si>
  <si>
    <t xml:space="preserve">        Medical products, appliances, and equipment</t>
  </si>
  <si>
    <t>39</t>
  </si>
  <si>
    <t xml:space="preserve">            Pharmaceutical and other medical products 9</t>
  </si>
  <si>
    <t>40</t>
  </si>
  <si>
    <t xml:space="preserve">                Pharmaceutical products</t>
  </si>
  <si>
    <t>41</t>
  </si>
  <si>
    <t xml:space="preserve">                Other medical products</t>
  </si>
  <si>
    <t>42</t>
  </si>
  <si>
    <t xml:space="preserve">            Therapeutic appliances and equipment</t>
  </si>
  <si>
    <t>43</t>
  </si>
  <si>
    <t xml:space="preserve">        Outpatient services</t>
  </si>
  <si>
    <t>44</t>
  </si>
  <si>
    <t xml:space="preserve">            Physician services 10</t>
  </si>
  <si>
    <t>45</t>
  </si>
  <si>
    <t xml:space="preserve">            Dental services</t>
  </si>
  <si>
    <t>46</t>
  </si>
  <si>
    <t xml:space="preserve">            Paramedical services</t>
  </si>
  <si>
    <t>47</t>
  </si>
  <si>
    <t xml:space="preserve">                Home health care</t>
  </si>
  <si>
    <t>48</t>
  </si>
  <si>
    <t xml:space="preserve">                Medical laboratories</t>
  </si>
  <si>
    <t>49</t>
  </si>
  <si>
    <t xml:space="preserve">                Other professional medical services 11</t>
  </si>
  <si>
    <t>50</t>
  </si>
  <si>
    <t xml:space="preserve">        Hospital and nursing home services</t>
  </si>
  <si>
    <t>51</t>
  </si>
  <si>
    <t xml:space="preserve">            Hospitals 12</t>
  </si>
  <si>
    <t>52</t>
  </si>
  <si>
    <t xml:space="preserve">            Nursing homes</t>
  </si>
  <si>
    <t>53</t>
  </si>
  <si>
    <t xml:space="preserve">    Transportation</t>
  </si>
  <si>
    <t>54</t>
  </si>
  <si>
    <t xml:space="preserve">        Motor vehicles</t>
  </si>
  <si>
    <t>55</t>
  </si>
  <si>
    <t xml:space="preserve">            New motor vehicles</t>
  </si>
  <si>
    <t>56</t>
  </si>
  <si>
    <t xml:space="preserve">            Net purchases of used motor vehicles</t>
  </si>
  <si>
    <t>57</t>
  </si>
  <si>
    <t xml:space="preserve">        Motor vehicle operation</t>
  </si>
  <si>
    <t>58</t>
  </si>
  <si>
    <t xml:space="preserve">            Motor vehicle parts and accessories</t>
  </si>
  <si>
    <t>59</t>
  </si>
  <si>
    <t xml:space="preserve">            Motor vehicle fuels, lubricants, and fluids</t>
  </si>
  <si>
    <t>60</t>
  </si>
  <si>
    <t xml:space="preserve">            Motor vehicle maintenance and repair</t>
  </si>
  <si>
    <t>61</t>
  </si>
  <si>
    <t xml:space="preserve">            Other motor vehicle services</t>
  </si>
  <si>
    <t>62</t>
  </si>
  <si>
    <t xml:space="preserve">        Public transportation</t>
  </si>
  <si>
    <t>63</t>
  </si>
  <si>
    <t xml:space="preserve">            Ground transportation 13</t>
  </si>
  <si>
    <t>64</t>
  </si>
  <si>
    <t xml:space="preserve">            Air transportation</t>
  </si>
  <si>
    <t>65</t>
  </si>
  <si>
    <t xml:space="preserve">            Water transportation</t>
  </si>
  <si>
    <t>66</t>
  </si>
  <si>
    <t xml:space="preserve">    Communication</t>
  </si>
  <si>
    <t>67</t>
  </si>
  <si>
    <t xml:space="preserve">        Telephone and facsimile equipment</t>
  </si>
  <si>
    <t>68</t>
  </si>
  <si>
    <t xml:space="preserve">        Postal and delivery services</t>
  </si>
  <si>
    <t>69</t>
  </si>
  <si>
    <t xml:space="preserve">            First-class postal service by U.S. Postal Service (USPS)</t>
  </si>
  <si>
    <t>70</t>
  </si>
  <si>
    <t xml:space="preserve">            Other delivery services (by non-USPS facilities)</t>
  </si>
  <si>
    <t>71</t>
  </si>
  <si>
    <t xml:space="preserve">        Telecommunication services</t>
  </si>
  <si>
    <t>72</t>
  </si>
  <si>
    <t xml:space="preserve">        Internet access</t>
  </si>
  <si>
    <t>73</t>
  </si>
  <si>
    <t xml:space="preserve">    Recreation</t>
  </si>
  <si>
    <t>74</t>
  </si>
  <si>
    <t xml:space="preserve">        Video and audio equipment, computers, and related services</t>
  </si>
  <si>
    <t>75</t>
  </si>
  <si>
    <t xml:space="preserve">            Video and audio equipment</t>
  </si>
  <si>
    <t>76</t>
  </si>
  <si>
    <t xml:space="preserve">            Information processing equipment</t>
  </si>
  <si>
    <t>77</t>
  </si>
  <si>
    <t xml:space="preserve">            Services related to video and audio goods and computers</t>
  </si>
  <si>
    <t>78</t>
  </si>
  <si>
    <t xml:space="preserve">        Sports and recreational goods and related services</t>
  </si>
  <si>
    <t>79</t>
  </si>
  <si>
    <t xml:space="preserve">            Sports and recreational vehicles</t>
  </si>
  <si>
    <t>80</t>
  </si>
  <si>
    <t xml:space="preserve">            Other sporting and recreational goods</t>
  </si>
  <si>
    <t>81</t>
  </si>
  <si>
    <t xml:space="preserve">            Maintenance and repair of recreational vehicles and sports equipment</t>
  </si>
  <si>
    <t>82</t>
  </si>
  <si>
    <t xml:space="preserve">        Membership clubs, sports centers, parks, theaters, and museums</t>
  </si>
  <si>
    <t>83</t>
  </si>
  <si>
    <t xml:space="preserve">            Membership clubs and participant sports centers</t>
  </si>
  <si>
    <t>84</t>
  </si>
  <si>
    <t xml:space="preserve">            Amusements parks, campgrounds, and related recreational services</t>
  </si>
  <si>
    <t>85</t>
  </si>
  <si>
    <t xml:space="preserve">            Admissions to specified spectator amusements</t>
  </si>
  <si>
    <t>86</t>
  </si>
  <si>
    <t xml:space="preserve">                Motion picture theaters</t>
  </si>
  <si>
    <t>87</t>
  </si>
  <si>
    <t xml:space="preserve">                Live entertainment, excluding sports</t>
  </si>
  <si>
    <t>88</t>
  </si>
  <si>
    <t xml:space="preserve">                Spectator sports</t>
  </si>
  <si>
    <t>89</t>
  </si>
  <si>
    <t xml:space="preserve">            Museums and libraries</t>
  </si>
  <si>
    <t>90</t>
  </si>
  <si>
    <t xml:space="preserve">        Magazines, newspapers, books, and stationery</t>
  </si>
  <si>
    <t>91</t>
  </si>
  <si>
    <t xml:space="preserve">        Gambling</t>
  </si>
  <si>
    <t>92</t>
  </si>
  <si>
    <t xml:space="preserve">        Pets, pet products, and related services</t>
  </si>
  <si>
    <t>93</t>
  </si>
  <si>
    <t xml:space="preserve">        Photographic goods and services</t>
  </si>
  <si>
    <t>94</t>
  </si>
  <si>
    <t xml:space="preserve">        Package tours 14</t>
  </si>
  <si>
    <t>95</t>
  </si>
  <si>
    <t xml:space="preserve">    Education</t>
  </si>
  <si>
    <t>96</t>
  </si>
  <si>
    <t xml:space="preserve">        Educational books</t>
  </si>
  <si>
    <t>97</t>
  </si>
  <si>
    <t xml:space="preserve">        Higher education</t>
  </si>
  <si>
    <t>98</t>
  </si>
  <si>
    <t xml:space="preserve">        Nursery, elementary, and secondary schools</t>
  </si>
  <si>
    <t>99</t>
  </si>
  <si>
    <t xml:space="preserve">        Commercial and vocational schools 15</t>
  </si>
  <si>
    <t>100</t>
  </si>
  <si>
    <t xml:space="preserve">    Food services and accommodations</t>
  </si>
  <si>
    <t>101</t>
  </si>
  <si>
    <t xml:space="preserve">        Food services</t>
  </si>
  <si>
    <t>102</t>
  </si>
  <si>
    <t xml:space="preserve">            Purchased meals and beverages 16</t>
  </si>
  <si>
    <t>103</t>
  </si>
  <si>
    <t xml:space="preserve">            Food furnished to employees (including military)</t>
  </si>
  <si>
    <t>104</t>
  </si>
  <si>
    <t xml:space="preserve">        Accommodations 17</t>
  </si>
  <si>
    <t>105</t>
  </si>
  <si>
    <t xml:space="preserve">    Financial services and insurance</t>
  </si>
  <si>
    <t>106</t>
  </si>
  <si>
    <t xml:space="preserve">        Financial services</t>
  </si>
  <si>
    <t>107</t>
  </si>
  <si>
    <t xml:space="preserve">            Financial services furnished without payment</t>
  </si>
  <si>
    <t>108</t>
  </si>
  <si>
    <t xml:space="preserve">            Financial service charges, fees, and commissions</t>
  </si>
  <si>
    <t>109</t>
  </si>
  <si>
    <t xml:space="preserve">        Insurance</t>
  </si>
  <si>
    <t>110</t>
  </si>
  <si>
    <t xml:space="preserve">            Life insurance 18</t>
  </si>
  <si>
    <t>111</t>
  </si>
  <si>
    <t xml:space="preserve">            Net household insurance 19</t>
  </si>
  <si>
    <t>112</t>
  </si>
  <si>
    <t xml:space="preserve">            Net health insurance</t>
  </si>
  <si>
    <t>113</t>
  </si>
  <si>
    <t xml:space="preserve">                Medical care and hospitalization 20</t>
  </si>
  <si>
    <t>114</t>
  </si>
  <si>
    <t xml:space="preserve">                Income loss 21</t>
  </si>
  <si>
    <t>115</t>
  </si>
  <si>
    <t xml:space="preserve">                Workers' compensation 22</t>
  </si>
  <si>
    <t>116</t>
  </si>
  <si>
    <t xml:space="preserve">            Net motor vehicle and other transportation insurance 23</t>
  </si>
  <si>
    <t>117</t>
  </si>
  <si>
    <t xml:space="preserve">    Other goods and services</t>
  </si>
  <si>
    <t>118</t>
  </si>
  <si>
    <t xml:space="preserve">        Personal care 24</t>
  </si>
  <si>
    <t>119</t>
  </si>
  <si>
    <t xml:space="preserve">        Personal items 25</t>
  </si>
  <si>
    <t>120</t>
  </si>
  <si>
    <t xml:space="preserve">        Social services and religious activities 26</t>
  </si>
  <si>
    <t>121</t>
  </si>
  <si>
    <t xml:space="preserve">        Professional and other services</t>
  </si>
  <si>
    <t>122</t>
  </si>
  <si>
    <t xml:space="preserve">            Legal services</t>
  </si>
  <si>
    <t>123</t>
  </si>
  <si>
    <t xml:space="preserve">            Accounting and other business services 27</t>
  </si>
  <si>
    <t>124</t>
  </si>
  <si>
    <t xml:space="preserve">            Labor organization dues</t>
  </si>
  <si>
    <t>125</t>
  </si>
  <si>
    <t xml:space="preserve">            Professional association dues</t>
  </si>
  <si>
    <t>126</t>
  </si>
  <si>
    <t xml:space="preserve">            Funeral and burial services</t>
  </si>
  <si>
    <t>127</t>
  </si>
  <si>
    <t xml:space="preserve">        Tobacco</t>
  </si>
  <si>
    <t>128</t>
  </si>
  <si>
    <t xml:space="preserve">    Net foreign travel and expenditures abroad by U.S. residents</t>
  </si>
  <si>
    <t>129</t>
  </si>
  <si>
    <t xml:space="preserve">        Foreign travel by U.S. residents</t>
  </si>
  <si>
    <t>130</t>
  </si>
  <si>
    <t xml:space="preserve">        Less: Expenditures in the United States by nonresidents</t>
  </si>
  <si>
    <t>131</t>
  </si>
  <si>
    <t xml:space="preserve">        Net expenditures abroad by U.S. residents</t>
  </si>
  <si>
    <t>132</t>
  </si>
  <si>
    <t>Final consumption expenditures of nonprofit institutions serving households (NPISHs) 28</t>
  </si>
  <si>
    <t>133</t>
  </si>
  <si>
    <t xml:space="preserve">    Gross output of nonprofit institutions 29</t>
  </si>
  <si>
    <t>134</t>
  </si>
  <si>
    <t xml:space="preserve">    Less: Receipts from sales of goods and services by nonprofit institutions 30</t>
  </si>
  <si>
    <t>Legend / Footnotes:</t>
  </si>
  <si>
    <t>1. Consists of household purchases of goods and services from business, government, nonprofit institutions, and the rest of the world.</t>
  </si>
  <si>
    <t>2. Consists of shoes and other footwear, and of repair and hire of footwear.</t>
  </si>
  <si>
    <t>3. Consists of space rent (see footnote 4) and rent for appliances, furnishings, and furniture.</t>
  </si>
  <si>
    <t>4. Consists of rent for space and for heating and plumbing facilities, water heaters, lighting fixtures, kitchen cabinets, linoleum, storm windows and doors, window screens, and screen doors, but excludes rent for appliances and furniture and purchases of fuel and electricity.</t>
  </si>
  <si>
    <t>5. Includes clocks, lamps, lighting fixtures, and other household decorative items; also includes repair of furniture, furnishings, and floor coverings.</t>
  </si>
  <si>
    <t>6. Consists of major household appliances, small electric household appliances, and repair of household appliances.</t>
  </si>
  <si>
    <t>7. Consists of dishes, flatware, and non-electric cookware and tableware.</t>
  </si>
  <si>
    <t>8. Consists of household supplies; domestic services; moving, storage and freight service; and other household services.</t>
  </si>
  <si>
    <t>9. Excludes drug preparations and related products dispensed by physicians, hospitals, and other medical services.</t>
  </si>
  <si>
    <t>10. Consists of offices of physicians, health maintenance organization medical centers, and freestanding ambulatory surgical and emergency centers.</t>
  </si>
  <si>
    <t>11. Includes podiatrists, chiropractors, mental health practitioners (except physicians), physical, occupational and speech therapists, audiologists, all other health practitioners, ambulance services, kidney dialysis centers, and blood and organ bank services.</t>
  </si>
  <si>
    <t>12. Consists of nonprofit hospitals, proprietary hospitals, and government hospitals. Consists of primary sales of these hospitals for personal consumption.Expenses of nonprofit hospitals are included in the expenditures of nonprofit institutions serving households (NPISHs).</t>
  </si>
  <si>
    <t>13. Includes railway transportation, taxicab services, school and employee services, limousine services, and airport bus fares.</t>
  </si>
  <si>
    <t>14. Consists of tour operators' and travel agents' margins. Purchases of travel and accommodations included in tours are accounted for separately in other personal consumption expenditures categories.</t>
  </si>
  <si>
    <t>15. Consists of fees paid to business schools and computer and management training, technical and trade schools, other schools and instruction, and educational support services.</t>
  </si>
  <si>
    <t>16. Consists of purchases (including tips) of meals and beverages from retail, service, and amusement establishments, hotels, dining and buffet cars, schools, school fraternities, institutions, clubs, and industrial lunchrooms.Includes meals and beverages consumed both on- and off-premises.</t>
  </si>
  <si>
    <t>17. Consists of transient hotels, motels, other traveler accommodations, clubs, and housing at schools.</t>
  </si>
  <si>
    <t>18. Consists of operating expenses of commercial life insurance carriers and fraternal benefit life insurance.For commercial life insurance carriers, excludes expenses for accident and health insurance and includes profits of stock companies and services furnished without payment by banks, credit agencies, and investment companies.</t>
  </si>
  <si>
    <t>19. Consists of premiums plus premium supplements less normal losses and dividends paid to policyholders for insurance on personal property (except motor vehicles).</t>
  </si>
  <si>
    <t>20. Consists of premiums less benefits for health, hospitalization, and accidental death and dismemberment insurance.</t>
  </si>
  <si>
    <t>21. Consists of premiums less benefits for income loss insurance.</t>
  </si>
  <si>
    <t>22. Consists of premiums plus premium supplements less normal losses and dividends paid to policyholders for privately administered workers' compensation.</t>
  </si>
  <si>
    <t>23. Consists of premiums plus premium supplements less normal losses and dividends paid to policyholders for motor vehicle and other transportation insurance.</t>
  </si>
  <si>
    <t>24. Consists of cosmetics and toiletries, electric appliances for personal care, hairdressing salons, and miscellaneous personal care services.</t>
  </si>
  <si>
    <t>25. Consists of jewelry, watches, luggage, and similar personal items.</t>
  </si>
  <si>
    <t>26. Consists of household purchases of goods and services from business, government, and nonprofit institutions providing social services and religious activities. Purchases from nonprofit establishments exclude unrelated sales, secondary sales, and sales to businesses, government, and the rest of the world, but include membership dues and fees.</t>
  </si>
  <si>
    <t>27. Consists of tax preparation and other related services, employment agency services, and other personal business services.</t>
  </si>
  <si>
    <t>28. Net expenses of NPISHs, defined as their gross operating expenses less primary sales to households.</t>
  </si>
  <si>
    <t>29. Gross output is net of unrelated sales, secondary sales, and sales to business, government, and the rest of the world; excludes own-account investment (construction and software).</t>
  </si>
  <si>
    <t>30. Excludes unrelated sales, secondary sales, and sales to business, government, and the rest of the world; includes membership dues and fees.</t>
  </si>
  <si>
    <t>Check</t>
  </si>
  <si>
    <t>Annual economic cost burden approximation</t>
  </si>
  <si>
    <t>Marginal outcome among victims</t>
  </si>
  <si>
    <t>Marginal cost per outcome</t>
  </si>
  <si>
    <t>Source data</t>
  </si>
  <si>
    <t>Measure</t>
  </si>
  <si>
    <t>(% of total)</t>
  </si>
  <si>
    <t>Victims (n) and total cost</t>
  </si>
  <si>
    <t>Criminal justice</t>
  </si>
  <si>
    <t>Government burden</t>
  </si>
  <si>
    <t>Victim acute outcomes</t>
  </si>
  <si>
    <t>Victim property loss/damage, %</t>
  </si>
  <si>
    <t>Injuries treated by location, %</t>
  </si>
  <si>
    <t>Category sum</t>
  </si>
  <si>
    <t>Doctor's office</t>
  </si>
  <si>
    <t>ED treat-and-release</t>
  </si>
  <si>
    <t>Hospitalization</t>
  </si>
  <si>
    <t>Victim fatality</t>
  </si>
  <si>
    <t>Long-term outcomes</t>
  </si>
  <si>
    <t>Sub-category sum</t>
  </si>
  <si>
    <t>Victim physical health</t>
  </si>
  <si>
    <t>Joint conditions</t>
  </si>
  <si>
    <t>1997-1999</t>
  </si>
  <si>
    <t>Modified National Health Interview Survey</t>
  </si>
  <si>
    <t>18-65</t>
  </si>
  <si>
    <t>Alcohol use disorder</t>
  </si>
  <si>
    <t>Lifetime incidence cost of a smoker beginning at age 24 years
 - Estimates includes probability of smoking cessation.
 - Reference estimate cost categoriess were expressed as $ per pack. Note: The total cost of $40/pack in the reference study is reduced to $14.06/pack for our purposes in this study through the exclusion of a willingness to pay value of live years lost to smoking mortality for smokers, smokers' spouses, and smokers' infants--we have included lost wages due to smokers' earlier mortality.
 - The cost elements from the reference source included in our "medical" cost estimate were $0.87/pack, or $0.87/$14.20 = 6.2% of the total total per-smoker lifetime incidence cost of $170,789 (2000 USD).  The costs from the reference study included in our medical cost estimate include:
  • Smoker's out of pocket medical costs ($0.25/pack in 2000 USD).
  • Smoker's family's out of pocket medical costs ($0.14/pack in 2000 USD).
  • Other medical costs, caused by smoking among other people ($0.49/pack in 2000 USD).</t>
  </si>
  <si>
    <t>One-time</t>
  </si>
  <si>
    <t>National sample survey</t>
  </si>
  <si>
    <t>National Crime Victimization Survey</t>
  </si>
  <si>
    <t>Victim</t>
  </si>
  <si>
    <t>Machlin (2015)</t>
  </si>
  <si>
    <t>Average cost for a primary care office visit</t>
  </si>
  <si>
    <t>Descriptive average costs</t>
  </si>
  <si>
    <t>Average lost productivity due to homicide</t>
  </si>
  <si>
    <t>Victim long-term outcomes</t>
  </si>
  <si>
    <t>Reference study results and calculations</t>
  </si>
  <si>
    <t>Reference study details</t>
  </si>
  <si>
    <t xml:space="preserve">Measure details from reference study and modelling calculations </t>
  </si>
  <si>
    <t>Unit cost reported in reference study as: One-time, annual, or lifetime</t>
  </si>
  <si>
    <t>Adjusted IPV probability</t>
  </si>
  <si>
    <t>Adjusted IPV marginal probability</t>
  </si>
  <si>
    <t>Heart disease</t>
  </si>
  <si>
    <t>Barnett (2011)</t>
  </si>
  <si>
    <t>US Medical Expenditure Panel Survey</t>
  </si>
  <si>
    <t>2002-2007</t>
  </si>
  <si>
    <t>Asthma / no asthma</t>
  </si>
  <si>
    <t>Asthma: 8,719 (unweighted)
No asthma: 198,132 (unweighted)</t>
  </si>
  <si>
    <t>Attributable annual total medical cost (including out-of-pocket payments and payments by private insurance, Medicaid, Medicare, and other sources) for office-based medical provider visits, hospital outpatient visits and special clinic visits, emergency department visits, hospital inpatient stays, and prescribed medicines.
 - Individuals were identified as persons with asthma if an ICD-9-CM code of 493 was associated with an office-based medical provider visit, a hospital outpatient visit, an emergency department visit, a hospital inpatient stay, or a prescription medication. Self-reported medical events and prescription medications that were said to be related to asthma were recorded as verbatim text and then converted by professional coders to an ICD-9-CM code of 493 within the data. The definition for asthma used by this study is utilization based, and hence it does not include persons who reported having asthma as a condition but did not have any asthma-related events or prescription medications during the calendar year.
 - Data for this estimate appears in the reference paper's Results section text ("Incremental direct cost of asthma").</t>
  </si>
  <si>
    <t>2-part generalized linear models with Gamma log-link of annual health care expenditures, controlling for: asthma, age group, marital status, minority races, educational levels, sex, income less than 200% of the poverty line, uninsured status (not having private or public insurance), calendar year, and D’Hoore adaptation of the Charlson comorbidity index.</t>
  </si>
  <si>
    <t>Attributable annual lost work and school days due to asthma. 
 - Individuals were identified as persons with asthma if an ICD-9-CM code of 493 was associated with an office-based medical provider visit, a hospital outpatient visit, an emergency department visit, a hospital inpatient stay, or a prescription medication. Self-reported medical events and prescription medications that were said to be related to asthma were recorded as verbatim text and then converted by professional coders to an ICD-9-CM code of 493 within the data. The definition for asthma used by this study is utilization based, and hence it does not include persons who reported having asthma as a condition but did not have any asthma-related events or prescription medications during the calendar year.
- Lost productivity measured as: During each survey round, respondents reported the number of days during which they missed a half day or more of work or school because of illness, injury, or mental or emotional problems. Incremental work days lost because of asthma were estimated for persons who had worked during at least 1 survey round in a year.
 - Data for this estimate appears in the reference paper's Results section text ("Productivity losses attributable to asthma").</t>
  </si>
  <si>
    <t>2-part generalized linear models with Gamma log-link of work and school days lost, controlling for: asthma, age group, marital status, minority races, educational levels, sex, income less than 200% of the poverty line, uninsured status (not having private or public insurance), calendar year, and D’Hoore adaptation of the Charlson comorbidity index.</t>
  </si>
  <si>
    <t>Joint pain / no joint pain</t>
  </si>
  <si>
    <t>24-65</t>
  </si>
  <si>
    <t>Joint pain, n: 86
No joint pain, n: 168,865</t>
  </si>
  <si>
    <t>2-part generalized linear models with log-link of annual health care cost, controlling for age, gender, race, marital status, education, income, health insurance status, smoking, exercise, obesity status, census region, urban/rural residence, fair or poor health, diabetes, and asthma.</t>
  </si>
  <si>
    <t>2-part generalized linear models with log-link of annual work days lost, controlling for age, sex, race, ethnicity, education, health status, location, and family size.</t>
  </si>
  <si>
    <t>Unit cost</t>
  </si>
  <si>
    <t>Proportion of total</t>
  </si>
  <si>
    <t>Annual cost</t>
  </si>
  <si>
    <t>Present value of total estimated corrections cost</t>
  </si>
  <si>
    <t>Criminal justice spending: Annual (2012 data)</t>
  </si>
  <si>
    <t>Probation and parole in the US (2013 data)</t>
  </si>
  <si>
    <t>Men (number)</t>
  </si>
  <si>
    <t>Total US Government justice system annual spending ($)</t>
  </si>
  <si>
    <t>DOJ 2013 (FY 2012 data)</t>
  </si>
  <si>
    <t>Table 6. Rate of parole exits, by type of exit, 2008–2013</t>
  </si>
  <si>
    <t>Annual arrests, All offenses (number)</t>
  </si>
  <si>
    <t>Average years served</t>
  </si>
  <si>
    <t>Series title:  Justice Expenditure and Employment Extracts 2012, NCJ 248628</t>
  </si>
  <si>
    <t>Report title: Probation and Parole in the United States, 2013   NCJ 248029</t>
  </si>
  <si>
    <t>Value when payments are over</t>
  </si>
  <si>
    <t>Data source:  Justice Expenditure and Employment Extracts Program (JEE)</t>
  </si>
  <si>
    <t>Murder and nonnegligent manslaughter</t>
  </si>
  <si>
    <t>Data source: Annual Probation Survey and Annual Parole Survey</t>
  </si>
  <si>
    <t>Initial or final payment</t>
  </si>
  <si>
    <t>Author: Tracey Kyckelhahn</t>
  </si>
  <si>
    <t>Authors:  Erinn J. Herberman and Thomas P. Bonczar</t>
  </si>
  <si>
    <t>Refer questions to:  askbjs@ojp.usdoj.gov (202) 307-0765</t>
  </si>
  <si>
    <t>Robbery</t>
  </si>
  <si>
    <t>Refer questions to: askbjs@usdoj.gov or 202-307-0765</t>
  </si>
  <si>
    <t>Present value</t>
  </si>
  <si>
    <t>Date of version:  2/26/2015</t>
  </si>
  <si>
    <t>Aggravated assault</t>
  </si>
  <si>
    <t>Date of version: 10/20/14</t>
  </si>
  <si>
    <t>Corrections</t>
  </si>
  <si>
    <t>Table 1.   Percent distribution of expenditure for the justice system by type of government, fiscal 2012</t>
  </si>
  <si>
    <t>Burglary</t>
  </si>
  <si>
    <t>Larceny-theft</t>
  </si>
  <si>
    <t>Amount (thousands of dollars)</t>
  </si>
  <si>
    <t>Percent distribution</t>
  </si>
  <si>
    <t>Motor vehicle theft</t>
  </si>
  <si>
    <t>Arson</t>
  </si>
  <si>
    <t xml:space="preserve">Type of exit </t>
  </si>
  <si>
    <t>Activity</t>
  </si>
  <si>
    <t>Federal</t>
  </si>
  <si>
    <t>State</t>
  </si>
  <si>
    <t>Local</t>
  </si>
  <si>
    <t>Total exit rate/a</t>
  </si>
  <si>
    <t>All governments/a</t>
  </si>
  <si>
    <t>government</t>
  </si>
  <si>
    <t>governments</t>
  </si>
  <si>
    <t>Completion</t>
  </si>
  <si>
    <t>Other assaults</t>
  </si>
  <si>
    <t>Returned to incarceration</t>
  </si>
  <si>
    <t>Forgery and counterfeiting</t>
  </si>
  <si>
    <t>With new sentence</t>
  </si>
  <si>
    <t>Total justice system annual spending, 2012 USD</t>
  </si>
  <si>
    <t>-</t>
  </si>
  <si>
    <t>Fraud</t>
  </si>
  <si>
    <t>With revocation</t>
  </si>
  <si>
    <t>Direct expenditure</t>
  </si>
  <si>
    <t>Embezzlement</t>
  </si>
  <si>
    <t>Other/unknown</t>
  </si>
  <si>
    <t>Intergovernmental expenditure</t>
  </si>
  <si>
    <t>Stolen property; buying, receiving, possessing</t>
  </si>
  <si>
    <t>Absconder</t>
  </si>
  <si>
    <t>Vandalism</t>
  </si>
  <si>
    <t>Other unsatisfactory/b</t>
  </si>
  <si>
    <t>Police protection annual spending, 2012 USD</t>
  </si>
  <si>
    <t>Weapons; carrying, possessing, etc.</t>
  </si>
  <si>
    <t>Transferred to another state</t>
  </si>
  <si>
    <t>Prostitution and commercialized vice</t>
  </si>
  <si>
    <t>Death</t>
  </si>
  <si>
    <t>Other/c</t>
  </si>
  <si>
    <t>Drug abuse violations</t>
  </si>
  <si>
    <t>Estimated mean time served on parole (in months)/d</t>
  </si>
  <si>
    <t>Judicial and legal annual spending, 2012 USD</t>
  </si>
  <si>
    <t>Gambling</t>
  </si>
  <si>
    <t xml:space="preserve">Note: Rate per 100 parolees. Detail may not sum to total due to rounding. Rates based on most recent data and may differ from previously published statistics. See Methodology. Rates based on parolees with known type of exit. See appendix table 7 for type of exit by jurisdiction. </t>
  </si>
  <si>
    <t>Discount rate for annual spending after Year 1 (%)</t>
  </si>
  <si>
    <t>Offenses against the family and children</t>
  </si>
  <si>
    <t>a/The ratio of the number of parolees exiting supervision during the year to the average daily parole population (i.e., average of the January 1 and December 31 populations within the reporting year).</t>
  </si>
  <si>
    <t>Driving under the influence</t>
  </si>
  <si>
    <t>b/Includes parolees discharged from supervision who failed to meet all conditions of supervision, including some who had their parole sentence revoked but were not incarcerated because their sentence was immediately reinstated, and other types of unsatisfactory exits. Includes some early terminations and expirations of sentence reported as unsatisfactory exits.</t>
  </si>
  <si>
    <t>Liquor laws</t>
  </si>
  <si>
    <t>c/Includes, but not limited to, parolees who were discharged from supervision because they were deported or transferred to the jurisdiction of Immigration and Customs Enforcement, had their sentence terminated by the court through an appeal, or were transferred to another state through an interstate compact agreement and discharged to probation supervision.</t>
  </si>
  <si>
    <t>Corrections annual spending, 2012 USD</t>
  </si>
  <si>
    <t>Drunkenness</t>
  </si>
  <si>
    <t>d/Calculated as the inverse of the exit rate times 12 months. See Methodology.</t>
  </si>
  <si>
    <t>Disorderly conduct</t>
  </si>
  <si>
    <t>Source: Bureau of Justice Statistics, Annual Parole Survey, 2008–2013.</t>
  </si>
  <si>
    <t>Vagrancy</t>
  </si>
  <si>
    <t>All other offenses</t>
  </si>
  <si>
    <t>Suspicion</t>
  </si>
  <si>
    <t>Curfew and loitering law violations</t>
  </si>
  <si>
    <r>
      <t xml:space="preserve">1 </t>
    </r>
    <r>
      <rPr>
        <sz val="9"/>
        <rFont val="Calibri"/>
        <family val="2"/>
        <scheme val="minor"/>
      </rPr>
      <t>Does not include suspicion.</t>
    </r>
  </si>
  <si>
    <r>
      <t xml:space="preserve">2 </t>
    </r>
    <r>
      <rPr>
        <sz val="9"/>
        <rFont val="Calibri"/>
        <family val="2"/>
        <scheme val="minor"/>
      </rPr>
      <t>The rape figure in this table is an aggregate total of the data submitted based on both the legacy and revised Uniform Crime Reporting definitions.</t>
    </r>
  </si>
  <si>
    <r>
      <t xml:space="preserve">3 </t>
    </r>
    <r>
      <rPr>
        <sz val="9"/>
        <rFont val="Calibri"/>
        <family val="2"/>
        <scheme val="minor"/>
      </rPr>
      <t>Violent crimes are offenses of murder and nonnegligent manslaughter, rape, robbery, and aggravated assault.  Property crimes are offenses of burglary, larceny-theft, motor vehicle theft, and arson.</t>
    </r>
  </si>
  <si>
    <t>Notes:  Local government data are estimates subject to sampling variability.</t>
  </si>
  <si>
    <t>Federal Government data are for the fiscal period beginning October 1, 2011 and ending September 30, 2012.</t>
  </si>
  <si>
    <t xml:space="preserve">a/ The total lines for each criminal justice activity, and for the total justice system, exclude duplicative intergovernmental amounts.  This was done to avoid the artificial inflation that would result if an intergovernmental expenditure of a government were tabulated and then counted again when the recipient government(s) expended the amount.  The intergovernmental expenditure lines are not totaled for the same reason. </t>
  </si>
  <si>
    <t>Owusu-Edusei (2013) and Chesson (2012)</t>
  </si>
  <si>
    <t>Owusu-Edusei (2013)</t>
  </si>
  <si>
    <t>Literature review</t>
  </si>
  <si>
    <t>2002-2011</t>
  </si>
  <si>
    <t>Expected lifetime cost of diagnosis and treatment of symptomatic cases and for treatment of asymptomatic cases among new or newly diagnosed cases of 8 major sexually transmitted infections: chlamydia, gonorrhea, hepatitis B virus, human immunodeficiency virus, human papillomavirus, genital herpes simplex virus type 2, trichomoniasis and syphilis.
 - Estimate is the total estimated lifetime cost (i.e., $15.6 billion in 2010 USD), minus an estiamted cost of the cervical-cancer related  costs among women ($493 billion, detailed below), or $15.1 billion divided by the number of incident cases (i.e., 19,738,800) = $766.
 -  Data for this estimate appears in Owusu-Eusei (2013) Table 1. 
 - Estimated cost of HPV among men and women (Owusu-Eusei, 2013, Table 1): $1.7 billion or 11% ($1.7 billion/ $15.6 billion) of the total estimated STI cost.
 - From Chesson (2012): Proportion of annual HPV cost attributable to cervical cancer (as opposed to other HVP-related sequalae, including oropharyngeal cancer, anal cancer, aulvar cancer, vaginal cancer, penile cancer, genital warts, and recurrent respiratory papillomatosis) was $0.4 billion out of a total estimated $1.4 billion--or, 29%--for total HPV sequalae (note: total cost in that study was $8 billion for HPV, but we have excluded $6.6 billion in screening and related costs from these calculations of the cervical-cancer attributable portion of HPV costs).
 - Owusu-Eusei (2013) lifetime estimated cost of HPV for men and women of $1.7 billion reduced by 29%, or 493 million.</t>
  </si>
  <si>
    <t>Government payer (inferred)</t>
  </si>
  <si>
    <t>Unclear</t>
  </si>
  <si>
    <t>Truven Health MarketScan (Health and Productivity Management database)</t>
  </si>
  <si>
    <t>The average productivity losses per case reported as: $262 for chlamydia, $197 for gonorrhoea, $419 for syphilis and $289 for trichomoniasis.</t>
  </si>
  <si>
    <t>Source:</t>
  </si>
  <si>
    <t>Website:</t>
  </si>
  <si>
    <t>Private costs</t>
  </si>
  <si>
    <t>http://theincidentaleconomist.com/wordpress/the-cost-of-smoking/</t>
  </si>
  <si>
    <t>Quasi-external costs</t>
  </si>
  <si>
    <t>http://theincidentaleconomist.com/wordpress/the-cost-of-smoking-iii-quasi-external-cost/</t>
  </si>
  <si>
    <t>External costs</t>
  </si>
  <si>
    <t>http://theincidentaleconomist.com/wordpress/the-cost-of-smoking-iv-external-costs/</t>
  </si>
  <si>
    <t>Excluded</t>
  </si>
  <si>
    <t>http://theincidentaleconomist.com/wordpress/the-cost-of-smoking-v/</t>
  </si>
  <si>
    <t xml:space="preserve">Cost per pack + </t>
  </si>
  <si>
    <t>Cost source</t>
  </si>
  <si>
    <t>Source cost classification</t>
  </si>
  <si>
    <t>Smoker's mortality - Willingness to pay</t>
  </si>
  <si>
    <t>Private</t>
  </si>
  <si>
    <t>Smoker's lost wages</t>
  </si>
  <si>
    <t>Smoker's disability</t>
  </si>
  <si>
    <t>Smoker's out of pocket medical costs</t>
  </si>
  <si>
    <t>Medical care</t>
  </si>
  <si>
    <t>Smoker's private pension</t>
  </si>
  <si>
    <t>Smoker's social security</t>
  </si>
  <si>
    <t>Smoker's subsidy from non-smokers' life insurance premiums</t>
  </si>
  <si>
    <t>Cost of cigarettes per pack</t>
  </si>
  <si>
    <t xml:space="preserve">Spouse's mortality - Willingness to pay </t>
  </si>
  <si>
    <t>Quasi-external</t>
  </si>
  <si>
    <t>Infant mortality</t>
  </si>
  <si>
    <t>Spouse's disability</t>
  </si>
  <si>
    <t>Family's out of pocket medical costs</t>
  </si>
  <si>
    <t>Spouse's Social Security survivor benefits</t>
  </si>
  <si>
    <t>Spouse's private pension survivor benefits</t>
  </si>
  <si>
    <t>Smoker's exise taxes paid, state + federal</t>
  </si>
  <si>
    <t>External</t>
  </si>
  <si>
    <t>Smoker's life insurance premium</t>
  </si>
  <si>
    <t>Smoker's foregone tax receipts on lost Social Security taxable earnings</t>
  </si>
  <si>
    <t>Smoker's  work loss due to sick leave</t>
  </si>
  <si>
    <t>Smoker's presenteeism</t>
  </si>
  <si>
    <t>External medical care costs</t>
  </si>
  <si>
    <t>Smoker's lower Social Security outlays</t>
  </si>
  <si>
    <t>Smoker's lower private pension plan outlays</t>
  </si>
  <si>
    <t>Total cost per pack</t>
  </si>
  <si>
    <t>Total  cost per pack</t>
  </si>
  <si>
    <t>National comprehensive data</t>
  </si>
  <si>
    <t>Previous 12 months</t>
  </si>
  <si>
    <t>Number of homicide incidents</t>
  </si>
  <si>
    <t>Previous 6 months</t>
  </si>
  <si>
    <t>Victimizations that occurred outside of the United States excluded. Only respondents to survey questions about treatment for physical injuries included.</t>
  </si>
  <si>
    <t>Treatment for injuries in medical office, clinic, or health unit from violent victimizations (rape or sexual assault, robbery, aggravated assault, and simple assault) for intimate (former or current spouses, boyfriends, and girlfriends) victim-offender relationship.</t>
  </si>
  <si>
    <t>Treatment for injuries in hospital setting from violent victimizations (rape or sexual assault, robbery, aggravated assault, and simple assault) for intimate (former or current spouses, boyfriends, and girlfriends) victim-offender relationship.</t>
  </si>
  <si>
    <t>Respondent-reported</t>
  </si>
  <si>
    <t>Survey-weighted to population</t>
  </si>
  <si>
    <t>Victimizations that occurred outside of the United States excluded. Only respondents to survey questions about property loss/damage included.</t>
  </si>
  <si>
    <t>Value of property loss associated with violent victimization by an intimate partner</t>
  </si>
  <si>
    <t>Average cost of property loss/damage among victims of violent victimization by an intimate partner</t>
  </si>
  <si>
    <t>Survey question:
• Survey question 96e. AMOUNT OF CASH TAKEN (asked if cash or a purse/wallet containing cash was taken). How much cash was taken?
• Survey question 107d. CASH RECOVERED (asked if any cash or purse/wallet was recovered). How much cash was recovered?
• Survey question 104b. VALUE OF PROPERTY TAKEN (asked if items other than cash were taken) What was the value of the PROPERTY that was taken? Include recovered property. (Exclude any stolen (cash/checks/credit cards). If jointly owned with a nonhousehold member(s), include only the share owned by household members.)
• Survey question 108. RECOVEREDCASHVALUE (asked if any property was recovered) Considering any damage, what was the value of the property after it was recovered? Do not included recovered cash/checks/credit cards.
• Survey question 112. COST TO REPAIR/REPLACE (asked if items were damaged and had not been repaired) How much would it cost to repair or replace the damaged item(s)?
• Survey question 113. COST OF REPAIRS/REPLACEMENT (asked if items were damaged and repaired or replaced) How much was the repair or replacement cost?</t>
  </si>
  <si>
    <t>Survey question:
• Survey question 33a. "Were you injured to the extent that you received any medical care, including self treatment?"
• Survey question 33b. "Where did you receive this care?"</t>
  </si>
  <si>
    <t>Survey question:
• Survey question 33a. "Were you injured to the extent that you received any medical care, including self treatment?"
• Survey question 33b. "Where did you receive this care?"
• Survey question 34a. "Did you stay overnight in the hospital?"</t>
  </si>
  <si>
    <t>2006-2015</t>
  </si>
  <si>
    <t>≥12</t>
  </si>
  <si>
    <t xml:space="preserve">• Average annual violent victimizations (rape or sexual assault, robbery, aggravated assault, and simple assault) for intimate (former or current spouses, boyfriends, and girlfriends) victim-offender relationship, survey-weighted, female/male: 745,946 / 151,910
• Total violent victimizations resulting in injury, female/male: 369,579 (50% of total) / 56,907 (37% of total)
• Any treatment, medical office, clinic, or health unit, female/male: 14,080 (2% of total) / 0 (0% of total) (females and males: unstable estimate; based on 10 or fewer sample cases, or coefficient of variation is greater than 50%) </t>
  </si>
  <si>
    <t xml:space="preserve">• Average annual violent victimizations (rape or sexual assault, robbery, aggravated assault, and simple assault) for intimate (former or current spouses, boyfriends, and girlfriends) victim-offender relationship, survey-weighted, female/male: 745,946 / 151,910
• Total violent victimizations resulting in injury, female/male: 369,579 (50% of total) / 56,907 (37% of total)
• Treatment in a hospital setting (not admitted), female/male: 49,581 (7% of total) / 6,963 (5% of total) (males: unstable estimate; based on 10 or fewer sample cases, or coefficient of variation is greater than 50%) </t>
  </si>
  <si>
    <t xml:space="preserve">• Average annual violent victimizations (rape or sexual assault, robbery, aggravated assault, and simple assault) for intimate (former or current spouses, boyfriends, and girlfriends) victim-offender relationship, survey-weighted, female/male: 745,946 / 151,910
• Total violent victimizations resulting in injury, female/male: 369,579 (50% of total) / 56,907 (37% of total)
• Treatment in a hospital setting (not admitted), female/male: 1,449 (0.2% of total) / 156 (0.1% of total) (females and males: unstable estimate; based on 10 or fewer sample cases, or coefficient of variation is greater than 50%) </t>
  </si>
  <si>
    <t>CDC WISQARS (2010)</t>
  </si>
  <si>
    <t>Intimates</t>
  </si>
  <si>
    <t>Yes, reported to the police</t>
  </si>
  <si>
    <t>No, did not report to the police</t>
  </si>
  <si>
    <t>Other relatives</t>
  </si>
  <si>
    <t>Do Not Know</t>
  </si>
  <si>
    <t>Well-known/casual acquaintances</t>
  </si>
  <si>
    <t>Stranger</t>
  </si>
  <si>
    <t>Do not know relationship</t>
  </si>
  <si>
    <t>Do not know number of offenders</t>
  </si>
  <si>
    <t>Rape/Sexual Assault</t>
  </si>
  <si>
    <t>Aggravated Assault</t>
  </si>
  <si>
    <t>Simple Assault</t>
  </si>
  <si>
    <t>*  Special tabulations from the NCVS Victimization Analysis Tool (NVAT).</t>
  </si>
  <si>
    <t>*  Detail may not sum to total due to rounding and/or missing data.</t>
  </si>
  <si>
    <t>Notes:</t>
  </si>
  <si>
    <t>Attributable to intimate partner violence</t>
  </si>
  <si>
    <t>Violent crime</t>
  </si>
  <si>
    <t>Forcible rape</t>
  </si>
  <si>
    <t>Property crime</t>
  </si>
  <si>
    <t>FBI (2012)</t>
  </si>
  <si>
    <t>992 female and 264 male homicide victims in 2012 were current or former spouses, girlfriends, or boyfriends of the perpetrator</t>
  </si>
  <si>
    <t>NVAT (2017) (2012 data)</t>
  </si>
  <si>
    <t>Intimate partner perpetrator (number)</t>
  </si>
  <si>
    <t>Rape offense (number)</t>
  </si>
  <si>
    <t>Robbery offense (number)</t>
  </si>
  <si>
    <t>Aggravated assault (number)</t>
  </si>
  <si>
    <t>Simple assault (number)</t>
  </si>
  <si>
    <t>Total1</t>
  </si>
  <si>
    <t>Violent victimizations by police reporting and perpetrator type, 2012</t>
  </si>
  <si>
    <t>Rape</t>
  </si>
  <si>
    <t>Murder offense (number)</t>
  </si>
  <si>
    <t>Intimate partner perpetrator (%)</t>
  </si>
  <si>
    <t>Murder</t>
  </si>
  <si>
    <t>Felony</t>
  </si>
  <si>
    <t>Misdemeanor</t>
  </si>
  <si>
    <t>All offenses</t>
  </si>
  <si>
    <t>Adjudication outcome, felony conviction</t>
  </si>
  <si>
    <t>Arson1</t>
  </si>
  <si>
    <t>Prison (% perpetrators)</t>
  </si>
  <si>
    <t>Jail (% perpetrators)</t>
  </si>
  <si>
    <t>Probation (% perpetrators)</t>
  </si>
  <si>
    <t>Felony conviction, probation average sentence, violent offenses (months)</t>
  </si>
  <si>
    <t>Offenses known to law enforcement and clearances (2012 data)</t>
  </si>
  <si>
    <t>Source: https://ucr.fbi.gov/crime-in-the-u.s/2012/crime-in-the-u.s.-2012/tables/25tabledatadecoverviewpdfs/table_25_percent_of_offenses_cleared_by_arrest_or_exceptional_means_by_population_group_2012.xls</t>
  </si>
  <si>
    <t>Adjudication and sentencing, misdemeanor conviction</t>
  </si>
  <si>
    <t>Average corrections duration per convicted perpetrator (years)</t>
  </si>
  <si>
    <t>Average sentence (months)</t>
  </si>
  <si>
    <t>Estimated arrest, conviction, adjudication, and sentencing by offense type:</t>
  </si>
  <si>
    <t>Simple assault</t>
  </si>
  <si>
    <t>Felony conviction, jail average sentence, violent offenses (months)</t>
  </si>
  <si>
    <t>Perpetrators</t>
  </si>
  <si>
    <t>Perpetrator lost productivity</t>
  </si>
  <si>
    <t>1996-1998</t>
  </si>
  <si>
    <t>≥18</t>
  </si>
  <si>
    <t>NISVS</t>
  </si>
  <si>
    <t>Includes injury</t>
  </si>
  <si>
    <t xml:space="preserve"> Survey question: "How many days of work or school did [perpetrator] cause you to miss?”) for each perpetrator respondents identified through the survey questionnaire. </t>
  </si>
  <si>
    <t>Lost school and work days due to intimate violence, assesed per perpetrator and summed across perpetrators.</t>
  </si>
  <si>
    <t xml:space="preserve">Number of years since victims’ first victimization, number of lifetime perpetrators the victim had, victim demographics (age at time of survey, sex, and race/ethnicity), and violence type by perpetrator type (e.g., intimate partner, stranger, acquaintance, family member, or person of authority perpetrator of sexual violence, stalking, physical violence [intimate partner perpetrator only], or psychological aggression [intimate partner perpetrator only]) </t>
  </si>
  <si>
    <t>Rape-related pregnancy, %</t>
  </si>
  <si>
    <t>Birth</t>
  </si>
  <si>
    <t>Medical abortion</t>
  </si>
  <si>
    <t>Truven (2013)</t>
  </si>
  <si>
    <t>Jerman (2014)</t>
  </si>
  <si>
    <t>Victim Mental Health</t>
  </si>
  <si>
    <t>Affifi (2009)</t>
  </si>
  <si>
    <t>NR</t>
    <phoneticPr fontId="9" type="noConversion"/>
  </si>
  <si>
    <t>Bonomi (2009)</t>
  </si>
  <si>
    <t>Age</t>
  </si>
  <si>
    <t>Coker (2005)</t>
  </si>
  <si>
    <t>University-associated family health clinics</t>
  </si>
  <si>
    <t>Victim Substance Abuse</t>
  </si>
  <si>
    <t>Victim Physical Health</t>
  </si>
  <si>
    <t>Sexually transmitted infections (including HIV)</t>
  </si>
  <si>
    <t>Generalized chronic pain</t>
  </si>
  <si>
    <t>Blindness</t>
  </si>
  <si>
    <t>Blindness or glaucoma</t>
  </si>
  <si>
    <t>Sloan et al (2004)</t>
  </si>
  <si>
    <t>MEPS</t>
  </si>
  <si>
    <t>Gaskin (2011)</t>
  </si>
  <si>
    <t>2 part  models, structure according to dependant variables (e.g., log linear regression for log disability days).  Controlling for degree of pain, age, gender, race, marital status, socioeconomic factors and health behaviors, census region, and health need.</t>
  </si>
  <si>
    <t>1996-2002</t>
  </si>
  <si>
    <t>Lifetime cost per victim</t>
  </si>
  <si>
    <t>Unit cost as 2014 USD</t>
  </si>
  <si>
    <t>Victim short-term nonfatal lost productivity</t>
  </si>
  <si>
    <t>Grosse (2009)</t>
  </si>
  <si>
    <t>National Intimate Partner and Sexual Violence Survey</t>
  </si>
  <si>
    <t>Urinary tract infection</t>
  </si>
  <si>
    <t>Birnbaum (2003)</t>
  </si>
  <si>
    <t>Frick (2007)</t>
  </si>
  <si>
    <r>
      <rPr>
        <sz val="9"/>
        <color theme="1"/>
        <rFont val="Calibri"/>
        <family val="2"/>
      </rPr>
      <t>≥</t>
    </r>
    <r>
      <rPr>
        <sz val="9"/>
        <color theme="1"/>
        <rFont val="Calibri"/>
        <family val="2"/>
        <scheme val="minor"/>
      </rPr>
      <t>18</t>
    </r>
  </si>
  <si>
    <t>Total term value as as present value (i.e., Year 0 is victim age at first victimization)</t>
  </si>
  <si>
    <t>Total term value as as present value</t>
  </si>
  <si>
    <t>Includes emotional/psychological IPV</t>
  </si>
  <si>
    <t>Headache</t>
  </si>
  <si>
    <t>Rein (2006)</t>
  </si>
  <si>
    <t>MarketScan, US Census (1997 Survey of Income and Program Participation)</t>
  </si>
  <si>
    <t>1997 and 2004</t>
  </si>
  <si>
    <t>Major visual disorders / normal vision</t>
  </si>
  <si>
    <t>40-64</t>
  </si>
  <si>
    <t>Weighted average lost wages due to decreased labor force participation among visually impaired and blind people and decreased wages compared to people with unimpaired sight.</t>
  </si>
  <si>
    <t>Sandler (2002)</t>
  </si>
  <si>
    <t>Total number of homicide victims by sex and victim-offender relationship divided by number of victims reporting IPV in the previous 12 months (NISVS)</t>
  </si>
  <si>
    <t>Convicted perpetrators</t>
  </si>
  <si>
    <t>Foxman (2000)</t>
  </si>
  <si>
    <t>Gastroesophageal reflux disease</t>
  </si>
  <si>
    <t>Gastroesophogeal reflux disease</t>
  </si>
  <si>
    <t>Sex offenses (except rape and prostitution)</t>
  </si>
  <si>
    <t>Rape2</t>
  </si>
  <si>
    <t>Violent crime3</t>
  </si>
  <si>
    <t>Property crime3</t>
  </si>
  <si>
    <t>Arrests (2013 data)</t>
  </si>
  <si>
    <t>United States, 2013</t>
  </si>
  <si>
    <t>Source: http://www.bjs.gov/index.cfm?ty=pbdetail&amp;iid=5239, File jeeus 1201</t>
  </si>
  <si>
    <t>Total corrections population (number)</t>
  </si>
  <si>
    <t>Proportion of prison sentence served, all offenses (%)</t>
  </si>
  <si>
    <t>Other (simple) assault</t>
  </si>
  <si>
    <t>Arrests resulting in conviction by type (%)</t>
  </si>
  <si>
    <t>Per convicted perpetrator cost</t>
  </si>
  <si>
    <t>Annual intimate partner violence victims</t>
  </si>
  <si>
    <t>Crime Type</t>
  </si>
  <si>
    <t>Perpetrator type</t>
  </si>
  <si>
    <t>Reporting to police</t>
  </si>
  <si>
    <t>Victimizations</t>
  </si>
  <si>
    <t>Offenses known to law enforcement</t>
  </si>
  <si>
    <t>Table 25. Percent of Offenses Cleared by Arrest or Exceptional Means by Population Group, 2012</t>
  </si>
  <si>
    <t>Women (number)</t>
  </si>
  <si>
    <t>Violent Victimization</t>
  </si>
  <si>
    <t>Crime type</t>
  </si>
  <si>
    <t>Offenses known</t>
  </si>
  <si>
    <t>Percent cleared by arrest</t>
  </si>
  <si>
    <t>From: http://computers.tutsplus.com/tutorials/spreadsheets-for-finance-calculating-present-value-and-net-present-value--cms-19665</t>
  </si>
  <si>
    <t>Bureau of Justice Statistics</t>
  </si>
  <si>
    <t>Filename:  jeeus1201.csv</t>
  </si>
  <si>
    <t>Filename: ppus13t06.csv</t>
  </si>
  <si>
    <t>Table 1:  Percent distribution of expenditure for the justice system by type of government, fiscal 2012 (preliminary)</t>
  </si>
  <si>
    <t>Source: Special request to Crime Stats Info, received 5/1/2017.</t>
  </si>
  <si>
    <t>Parole after prison, all offenses (average years)</t>
  </si>
  <si>
    <t>Source: http://www.bjs.gov/index.cfm?ty=daa</t>
  </si>
  <si>
    <t>Source: https://www.fbi.gov/about-us/cjis/ucr/crime-in-the-u.s/2013/crime-in-the-u.s.-2013/tables/table-29/table_29_estimated_number_of_arrests_united_states_2013.xls</t>
  </si>
  <si>
    <t>Table 29. Estimated Number of Arrests</t>
  </si>
  <si>
    <t>Based on 10 or fewer sample cases or the coefficient of variation is greater than 50%.</t>
  </si>
  <si>
    <t>Input data</t>
  </si>
  <si>
    <t>INPUT DATA</t>
  </si>
  <si>
    <t>Estimated arrests of intimate partner perpetrators (number)</t>
  </si>
  <si>
    <t>Convicted intimate partner perpetrators (annual), all offenses</t>
  </si>
  <si>
    <t>Intimate partner violence victims with corrections-sentenced perpetrator (%)</t>
  </si>
  <si>
    <t>Average corrections duration per convicted intimate partner perpetrator, all offenses (years)</t>
  </si>
  <si>
    <t>Convicted intimate partner perpetrators (annual)</t>
  </si>
  <si>
    <t>Intimate partner perpetrator arrests (number)</t>
  </si>
  <si>
    <t>Corrections spending per intimate partner perpetrator ($)</t>
  </si>
  <si>
    <t>Average sentence, violent offenses (months)</t>
  </si>
  <si>
    <t>FBI 2013 (2013 data)</t>
  </si>
  <si>
    <t>George (2010)</t>
  </si>
  <si>
    <t>Notes. See comments associated with various cells in the table. Some data linked to cells elsewhere in this worksheet. See manuscript for full source citations.</t>
  </si>
  <si>
    <t xml:space="preserve">Source: Bureau of Justice Statistics. Generated using the NCVS Victimization Analysis Tool at www.bjs.gov. 09-Mar-17 </t>
  </si>
  <si>
    <t>Present study cost classification</t>
  </si>
  <si>
    <t xml:space="preserve">Frank A. Sloan, Jan Ostermann, Gabriel Picone, Christopher Conover and Donald H. Taylor, Jr. The Price of Smoking. MIT Press: 2004. </t>
  </si>
  <si>
    <t>Herberman (2014) (2013 data)</t>
  </si>
  <si>
    <t>Reaves (2013) (2009 data) (Table 26)</t>
  </si>
  <si>
    <t>Reaves (2013) (2009 data) (Table 27)</t>
  </si>
  <si>
    <t>Reaves (2013) (2009 data) (Table 24)</t>
  </si>
  <si>
    <t>Motivans (2015) (2012 data) (Table 7.11)</t>
  </si>
  <si>
    <t>Reaves (2013) (2009 data) (Table 25)</t>
  </si>
  <si>
    <t>Reaves (2013) (2009 data) (Table 21)</t>
  </si>
  <si>
    <t>Glaze 2014 (2013 data)</t>
  </si>
  <si>
    <t>Annual spending ($)</t>
  </si>
  <si>
    <t>Police protection</t>
  </si>
  <si>
    <t>Judicial and legal</t>
  </si>
  <si>
    <t>Appendix Table 1. Estimated marginal outcomes, lifetime unit costs, lifetime cost per victim, and economic burden of intimate partner violence (2014 USD) (expanded version)</t>
  </si>
  <si>
    <t xml:space="preserve">Appendix Table 5: Cost discounting details </t>
  </si>
  <si>
    <t>Appendix Table 4: Details of model inputs--unit costs</t>
  </si>
  <si>
    <t>Appendix Table 3: Details of model inputs--health and other outcomes</t>
  </si>
  <si>
    <t>Anxiety disorder (incl. PTSD)</t>
  </si>
  <si>
    <t>Appendix Table 2. Estimated criminal justice costs (2012 USD) (expanded version)</t>
  </si>
  <si>
    <t>Last Revised on: December 22, 2015</t>
  </si>
  <si>
    <t>Sacks (2015): Results section text (per-drink estimate).</t>
  </si>
  <si>
    <t>US DOJ (2011): Executive Summary section text.</t>
  </si>
  <si>
    <t>Grosse (2009): Described in text, Standard discount rate (3%) minus annual productivity growth (1%).</t>
  </si>
  <si>
    <t>Grosse (2009): Table 1, Per person annual production value of US population, Both sexes, Age 15+.</t>
  </si>
  <si>
    <t>Average corrections term for convicted intimate partner perpetrator (see Appendix Table 2 ).</t>
  </si>
  <si>
    <t>Calculated (Table 2 and Appendix Table 2)</t>
  </si>
  <si>
    <t>Uniform Crime Reports</t>
  </si>
  <si>
    <t>IPV / no IPV</t>
  </si>
  <si>
    <t>2,834 females and 9,917 males were total homicide (i.e., all perpetrator types) victims in 2012</t>
  </si>
  <si>
    <t xml:space="preserve">Relationship categories "husband" and "wife" include common-law and ex-spouses. </t>
  </si>
  <si>
    <t>Current IPV: 203
Past IPV: 421</t>
  </si>
  <si>
    <t>IPV assessment tool</t>
  </si>
  <si>
    <t>IPV definition categories</t>
  </si>
  <si>
    <t>Control variables included in model of adjusted outcome prevalence</t>
  </si>
  <si>
    <t>Measurement tool</t>
  </si>
  <si>
    <t>Administrative data</t>
  </si>
  <si>
    <t xml:space="preserve">Age, race/ethnicity, income, education, health outcomes/behaviors that were individually associated with lifetime IPV.
</t>
  </si>
  <si>
    <t>Age, education, cigarette smoking, any disability</t>
  </si>
  <si>
    <t>Generalized linear models with a log link and binomial errors</t>
  </si>
  <si>
    <t>Logistic regression model</t>
  </si>
  <si>
    <t>Women used their own words to describe the condition that led to the disability. From their description, disabilities were grouped into categories.</t>
  </si>
  <si>
    <t>Behavioral Risk Factor Surveillance System survey (16 states and 2 territories that used the IPV module)</t>
  </si>
  <si>
    <t>Large health maintenance organization (Group Health)</t>
  </si>
  <si>
    <r>
      <rPr>
        <sz val="9"/>
        <rFont val="Calibri"/>
        <family val="2"/>
      </rPr>
      <t>&gt;</t>
    </r>
    <r>
      <rPr>
        <sz val="9"/>
        <rFont val="Calibri"/>
        <family val="2"/>
        <scheme val="minor"/>
      </rPr>
      <t>1 year ago</t>
    </r>
  </si>
  <si>
    <t>Joint disease (arthritis, rheumatoid arthritis, gout, lupus, or fibromyalgia)</t>
  </si>
  <si>
    <t>Respondent-reported of condition based on respondent being told by a doctor, nurse, or other health care professional.</t>
  </si>
  <si>
    <t>Coronary heart disease</t>
  </si>
  <si>
    <t>Current smoking</t>
  </si>
  <si>
    <t>&gt;2 drinks per day on average for men, &gt;1 drink per day on average for women or &gt;5 drinks on one occasion in the past 30 days.</t>
  </si>
  <si>
    <t>Current smoking.</t>
  </si>
  <si>
    <t>Survey question</t>
  </si>
  <si>
    <t xml:space="preserve">Respondents reported depressive symptoms (not at all, somewhat, very much): fatigue; sleep disturbance; dysthymic mood; hopelessness; feeling tense/nervous; and worry. The summed scale ranged from 6 to 18; higher values indicate more severe depressive mood. Reference study authors stratified the sample into quartiles and categorized those in the highest quartile as “high depressive symptoms.” </t>
  </si>
  <si>
    <t>High depressive symptoms</t>
  </si>
  <si>
    <t>Depression scale (Kandel and Davies)</t>
  </si>
  <si>
    <t>Using Composite International Diagnostic Interview 2.1 criteria, trained interviewers assessed the past-year presence of psychiatric disorders based on the criteria of the Diagnostic and Statistical Manual of Mental Disorders–Fourth Edition (DSM-IV; American Psychiatric Association, 1994).</t>
  </si>
  <si>
    <t>Anxiety disorder (agoraphobia, social phobia, specific phobia, generalized anxiety disorder, PTSD, and panic disorder)</t>
  </si>
  <si>
    <t>Past year (4 quarters prior to and including date of study interview)</t>
  </si>
  <si>
    <t>Only married or common law respondents included. Analysis excludes perpetrators from comparison group.</t>
  </si>
  <si>
    <t>Race / ethnicity</t>
  </si>
  <si>
    <t>Mean: 20.4 years (SD 0.08) (study wave 2)</t>
  </si>
  <si>
    <t>80% White</t>
  </si>
  <si>
    <t>70.6% White
14.8% Asian
8% Black</t>
  </si>
  <si>
    <t>Current IPV / Past IPV / No IPV</t>
  </si>
  <si>
    <t>Large convenience sample</t>
  </si>
  <si>
    <t>2003-2005</t>
  </si>
  <si>
    <t>White, Non-Hispanic: 69.2%
Hispanic: 12.6%
Black, Non-Hispanic: 12.3%
Asian or Pacific Islander, Non-Hispanic: 3.3%
American Indian or Alaska Native: 0.8%
Multiracial, Non-Hispanic: 1.5%</t>
  </si>
  <si>
    <t xml:space="preserve">6,718
</t>
  </si>
  <si>
    <t>Females: 190
Males: 216</t>
  </si>
  <si>
    <t>Females: 42,566
Males: 27,590</t>
  </si>
  <si>
    <t>Previous year</t>
  </si>
  <si>
    <t>Eligible respondents were English-speaking women insured by the health plan for 3 of previous 10 years years. Women with past, but not recent (i.e., past-year) IPV were excluded. IPV assessed since age 18 years.</t>
  </si>
  <si>
    <t>Stillbirth</t>
  </si>
  <si>
    <t>2010-2012</t>
  </si>
  <si>
    <t>IPV rape-related pregnancy</t>
  </si>
  <si>
    <t>Basile (2017) assessed rape-related pregnancy among female IPV victims of vaginal rape in a nationally-representative survey (NISVS 2012; n not reported).
McFarlane (2005) assessed rape-related pregnacy and outcomes among female IPV victims presenting at a special family violence unit of a District Attorney’s office for a protection order (n=184 women, n=32 pregnancies).</t>
  </si>
  <si>
    <t>IPV vaginal rape</t>
  </si>
  <si>
    <t>Telephone interview</t>
  </si>
  <si>
    <t>Vaginal rape by an intimate partner</t>
  </si>
  <si>
    <t>Project EAT (31 public middle and high schools in urban and suburban school districts in the greater St. Paul/Minneapolis, Minnesota, area)</t>
  </si>
  <si>
    <t>Females: 102
Males: 23</t>
  </si>
  <si>
    <t>IPV asked at wave 2 only. Analysis excluded those with IPV within past year to ascertain that violence occurred before wave 2.</t>
  </si>
  <si>
    <t>Females: 671
Males: 720</t>
  </si>
  <si>
    <t>U.S. National Comorbidity Survey Replication</t>
  </si>
  <si>
    <t>Past physical or sexual violence by a dating partner</t>
  </si>
  <si>
    <t>Current physical IPV</t>
  </si>
  <si>
    <t>Recent physical, sexual, or robbery IPV</t>
  </si>
  <si>
    <t>Lost school and work days due to IPV</t>
  </si>
  <si>
    <t>Homicide by intimate partner</t>
  </si>
  <si>
    <t>Intimate partner defined as former or current spouse, boyfriend/girlfriend.
Intimat partner violence defined as rape or sexual assault, robbery, aggravated assault, and simple assault.</t>
  </si>
  <si>
    <t>Intimate partner defined as former or current spouse, boyfriend, or girlfriend.
Intimate partner violence defined as homicide.</t>
  </si>
  <si>
    <t>Intimate partner defined as current or former spouse (including married, common-law, and civil union spouses, and domestic partners), boyfriend/girlfriend, dating partner, or ongoing sexual partner. 
Intimate partner violence defined as sexual violence, stalking, physical violence, psycholgoical agression. 
 - Sexual violence included rape (completed or attempted forced penetration or completed alcohol- or drug-facilitated penetration), being made to sexually penetrate someone else, sexual coercion (non-physically pressured unwanted penetration), unwanted sexual contact (e.g., kissing or fondling), and noncontact unwanted sexual experiences (e.g., being flashed or forced to view sexually explicit media).
 - Stalking included a pattern of repeated, unwanted attention and contact causing fear that the victim, or victim’s associate, would be harmed or killed.
 - Physical violence included being slapped, pushed, kicked, shoved, beaten, or burned on purpose, pulling hair, being hit with something hard, being slammed against something, attempts to hurt by choking or suffocating, or having a partner use a knife or gun against the victim.
 - Psychological aggression included expressive aggression (e.g., name calling, or insulting or humiliating an intimate partner) and coercive control and entrapment (behaviors that are intended to monitor, control, or threaten an intimate partner).</t>
  </si>
  <si>
    <t>Intimate partner defined as current or former partner.
Intimate partner violnce defined as vaginal rape.</t>
  </si>
  <si>
    <t>Intimate partner defined as current marriage or common law union.
Intimate partner violence defined as being: (a) pushed, grabbed, shoved, threw something, slapped, or hit; and (b) kicked, bit, hit with a fist, beat up, choked, burned, scalded, or threatened with a knife or gun.</t>
  </si>
  <si>
    <t>Intimate partner defined as adolescent dating partner.
Intimate partner violence defined as physical or sexual violence.
 - Physical violence survey question: “Have you ever been hit, shoved, held down or had some other physical force used against you by someone you were dating?”
 - Sexual violence survey question: (“In a dating relationship, have you ever been forced to touch your date sexually or have they forced some type of sexual behavior on you?”</t>
  </si>
  <si>
    <t>Intimate partner defined as current or former intimate partner, including dating partner.
Intimate partner violence defined as threatened, attempted, or completed physical violence and/or nonconsensual sex.
 - Survey questions: (1) Has an intimate partner ever threatened you with physical violence? This includes threatening to hit, slap, push, kick, or hurt you in any way; (2) Has an intimate partner ever attempted physical violence against you? This includes times when they tried to hit, slap, push, kick, or otherwise hurt you, but they were not able to; (3) Has an intimate partner ever hit, slapped, pushed, kicked, or hurt you in any way; and (4) Have you ever experienced any unwanted sex by a current or former intimate partner? Unwanted sex was defined with the following statement: Unwanted sex includes things like putting anything into your vagina (if female), anus, or mouth, or making you do these things to them after you said or showed that you didn’t want to. It includes times when you were unable to consent, for example, you were drunk or asleep, or you thought you would be hurt or punished if you refused. Respondents who reported any experience of physical violence or unwanted sex by an  intimate partner were also asked: In the past 12 months, have you experienced any physical violence or had unwanted sex with an intimate partner? Respondents who reported physical or sexual IPV within the past 12 months were asked: In the past 12 months, have you had any physical injuries, such as bruises, cuts, scrapes, black eyes, vaginal or anal tears, or broken bones, as a result of this physical violence or unwanted sex? (Definitions from Breiding et al. (2008) Prevalence and Risk Factors of Intimate Partner Violence in Eighteen U.S. States/Territories, 2005. Am J Prev Med.)</t>
  </si>
  <si>
    <t>Current or former physical or sexual IPV</t>
  </si>
  <si>
    <t>Most recent relationship</t>
  </si>
  <si>
    <t>Intimate partner defined as male partner in intimate relationship lasting at least 3 months.
Intimate partner violence defined as physical, sexual, and emotional violence.</t>
  </si>
  <si>
    <t>Eligible women were consecutive female patients seeking medical care in two university-associated family practice clinics, who were insured either by Medicaid or a managed care provider, and with a current or past intimate relationship with a man for at least 3 months.</t>
  </si>
  <si>
    <t>Age, marital status, education, current household annual income, ethnicity, childhood physical and sexual abuse (female only)</t>
  </si>
  <si>
    <t>Current or former physical, sexual, or pyschological IPV</t>
  </si>
  <si>
    <t>Lifetime (since age 18 years)</t>
  </si>
  <si>
    <t>Intimate partner defined as most recent 3 adult intimate partners. No further details reported.
Intimate partner violence defined as BRFSS IPV definition (see Breiding et al. 2008 IPV definition)</t>
  </si>
  <si>
    <t>Survey (BRFSS)</t>
  </si>
  <si>
    <t>Survey (NCVS)</t>
  </si>
  <si>
    <t>Survey (NISVS)</t>
  </si>
  <si>
    <t>Survey (Conflict Tactics Scales, physical assault portion)</t>
  </si>
  <si>
    <t>Survey (study-specific)</t>
  </si>
  <si>
    <t xml:space="preserve">Survey:
 - Current IPV: 15 items ISA-P and Web Battering Scale
 - Past IPV: Modified McFarlane’s Abuse Assessment Scale </t>
  </si>
  <si>
    <t>Survey:
 - Women's Experience with Battering Scale (WEB)
 - Behavioral Risk Factor Surveillance System (BRFSS) IPV questions</t>
  </si>
  <si>
    <t>Medical diagnosis</t>
  </si>
  <si>
    <t>Gastroesophogeal reflux</t>
  </si>
  <si>
    <t>Administrative code in medical record</t>
  </si>
  <si>
    <t>Sexually transmitted diseases</t>
  </si>
  <si>
    <t>Urinary tract infections and other symptoms</t>
  </si>
  <si>
    <t>Johns Hopkins Adjusted Clinical Groups software categorized sample patients' inpatient and outpatient ICD-9 code primary and secondary diagnoses into Expanded Diagnosis Clusters (n=264) and then disease categories (n=18) for reporting. No further details on disease definition reported.</t>
  </si>
  <si>
    <t>Current heavy or binge drinking</t>
  </si>
  <si>
    <t>Affifi (2012)</t>
  </si>
  <si>
    <t>Current cannabis use</t>
  </si>
  <si>
    <t>Diagnosis of alcohol and drug abuse or dependence was made using the Alcohol Use Disorder and Associated Disabilities Interview Schedule - Diagnostic and Statistical Manual of Mental Disorders - Fourth Edition (AUDADIS-IV). The AUDADIS-IV is a structured interview to assess past 12-month substance use disorders, including the abuse of or dependence on alcohol, sedatives, tranquilizers, cannabis, and cocaine, as well as dependence on nicotine.</t>
  </si>
  <si>
    <t>Alcohol Use Disorder and Associated Disabilities Interview Schedule - Diagnostic and Statistical Manual of Mental Disorders - Fourth Edition</t>
  </si>
  <si>
    <t>Eligible respondents were married, dating, or involved in a romantic relationship in the previous 12 months.</t>
  </si>
  <si>
    <t>Adjusted for age, ethnicity, marital status, income, education, any past year mood or anxiety disorder, any lifetime personality disorder, and IPV perpetration.</t>
  </si>
  <si>
    <t xml:space="preserve">Intimate partner defined as married partner, dating partner, or romantic partner in the previous 12 months.
Intimate partner violence in the previous 12 months defined as physical, sexual violence, or threats measured by 1) pushing, grabbing, or shoving; 2) slapping, kicking, biting, or hitting; 3) threatening with a weapon like a knife or gun; 4) cutting or bruising; and 5) injuring that required medical care. Past 12-month perpetration and victimization of sexual IPV in a current relationship were assessed by asking how often in the past 12 months forced sex occurred. The respondentswere first asked if they did any of the above to their spouse or partner and then if their spouse or partner did any of the above to them. </t>
  </si>
  <si>
    <t>Recent physical or sexual IPV</t>
  </si>
  <si>
    <t>National Epidemiologic Survey on Alcohol and Related Conditions (wave 2)</t>
  </si>
  <si>
    <t>2004-2005</t>
  </si>
  <si>
    <t>Interview (Conflict Tactics Scales, short version)</t>
  </si>
  <si>
    <t>Females: 893
Males: 5722</t>
  </si>
  <si>
    <t>Ethnicity: Males No violence / IPV perpetrator / IPV vic\tim; Females No violence / IPV perpetrator / IPV victim
White: 6815 (73.1) / 238 (56.4) / 351 (57.9);  7371 (73.1) / 483 (58.5) / 398 (59.9)
Asian: 322 (4.3) / 22 (6.0) / 24 (5.1); 388 (4.5) / 17 (2.2) / 15 (2.4)
Hispanic: 2072 (11.9) / 124 (20.0) / 163 (17.8); 2378 (11.0) / 258 (14.0) / 208 (14.7)
Black: 1559 (8.8) / 116 (14.8) / 171 (17.2); 2092 (9.2); 375 (21.0); 248 (18.8)
American Indian/Alaska Native: 163 (1.9) / 13 (2.9) / 13 (2.0); 210 (2.2) / 33 (4.4) / 24 (4.2)</t>
  </si>
  <si>
    <t>Gold (2013), Truven (2013)</t>
  </si>
  <si>
    <t>US DOJ (2017)(unpublished)</t>
  </si>
  <si>
    <t>NCVS</t>
  </si>
  <si>
    <t>Population administrative data</t>
  </si>
  <si>
    <t>Females: 69,122,640 (52.9%)
Males: 61,673,149</t>
  </si>
  <si>
    <t>• IPV victims, survey-weighted: 897,856 (SE: 88,777)
• IPV victimizations with associated property loss or damage, survey-weighted: 137,155 (SE: 27,937)</t>
  </si>
  <si>
    <t>Average cost of short-term lost paid work and school days due to violent victimizations by any perpetrator</t>
  </si>
  <si>
    <t>Estimates based upon data from the MEPS 2013 Office-Based Medical Provider Visits Files (HC-160G). Payments from all sources for office-based physician visits reported by respondents in the MEPS-HC. Sources include direct payments from individuals, private insurance,  Medicare, Medicaid, Workers' Compensation, and miscellaneous other sources. MEPS respondents who reported an office-based visit in which a medical doctor was seen were asked to identify the doctor's specialty (the questionnaire contains 34 response categories for coding the specialty type reported).</t>
  </si>
  <si>
    <t>Descriptive annual average survey-weighted estimates</t>
  </si>
  <si>
    <t>Average medical cost due to homicide</t>
  </si>
  <si>
    <t>Truven Health MarketScan (Medicaid claims, births in 7 states and 5 Medicaid managed care plans)</t>
  </si>
  <si>
    <t>15-45</t>
  </si>
  <si>
    <t>Commercial: 67,977
Medicaid: 7,253</t>
  </si>
  <si>
    <r>
      <t xml:space="preserve">Medical care payments for 9-month prenatal period, the childbirth hospitalization, and the 3-month postpartum period (inpatient and outpatient facility, professional, laboratory, radiology, and drug costs), average of Commercial and Medicaid payments weighted by proportion of hospital births paid by non-Medicaid and Medicaid sources: 
</t>
    </r>
    <r>
      <rPr>
        <sz val="9"/>
        <color theme="1"/>
        <rFont val="Calibri"/>
        <family val="2"/>
      </rPr>
      <t xml:space="preserve">• </t>
    </r>
    <r>
      <rPr>
        <sz val="9"/>
        <color theme="1"/>
        <rFont val="Calibri"/>
        <family val="2"/>
        <scheme val="minor"/>
      </rPr>
      <t>Commerical: $21,001 (Truven 2013, Table 56) * Proportion of hospital births paid by private insurance, National Vital Statistics (Curtin, 2013) 2010 data: 48.5%
• Medicaid: $10,350 (Truven 2013, Table 57) * Proportion of hospital births paid by Medicaid, National Vital Statistics (Curtin, 2013): 44.9%
Overall estimate:  ($21001*0.485)+($10350*0.449) = $14,883</t>
    </r>
  </si>
  <si>
    <t>Guttmacher Institute (Census of known abortion-providing facilities in the United States)</t>
  </si>
  <si>
    <t>1,720 providers</t>
  </si>
  <si>
    <t>Patient</t>
  </si>
  <si>
    <t>Average charges a for a self-paying patient reported by facility representative, weighted by facility caseload (i.e., number of abortions performed).</t>
  </si>
  <si>
    <t>Government payer</t>
  </si>
  <si>
    <t>See Table 3</t>
  </si>
  <si>
    <t>3% applied for present modelling - see eTable 3.</t>
  </si>
  <si>
    <t>Analysis of administrative data</t>
  </si>
  <si>
    <t>US administrative data (American Time Use Survey and other sources)</t>
  </si>
  <si>
    <t>2003-2007</t>
  </si>
  <si>
    <t>15-80+</t>
  </si>
  <si>
    <t>72,922 respondent time diaries</t>
  </si>
  <si>
    <t>Medical care per-person cost attributable to cardiovascular disease</t>
  </si>
  <si>
    <t>Lost productivity per-person cost attributable to cardiovascular disease</t>
  </si>
  <si>
    <t>Patients with STI identified through ICD-9 codes for four common nonviral STIs (chlamydia: 078.88, 079.88, 079.98, 099.41 and 099.50–099.59; gonorrhoea: 098.0–098.89; primary and secondary syphilis: 091.0–4, 091.50 –2, 091.61–2, 091.69, 091.70, 091.81–2 and 091.89 –9; trichomoniasis: 131.00, 131.01, 131.02, 131.09, 131.8 and 131.9).
 - Lost productivity includes: Average work productivity loss per case, including salary and benefits, for nonviral STI (chlamydia, gonorrhoea, syphilis and trichomoniasis) outpatient claims linked to sickness absence.
 - Estimate is the reported average productivity cost weighted by the sample size: =((104*262)+(113*197)+(43*419)+(346*289))/(104+113+43+346) = $276 in 2010 USD.</t>
  </si>
  <si>
    <t>3% applied for present modelling when extrapolating lifetime  cost from annual cos. See Appendix Table 5.</t>
  </si>
  <si>
    <t>3% applied in reference study.</t>
  </si>
  <si>
    <t>Medical care per-person cost for prenatal, labor and delivery, and newborn care</t>
  </si>
  <si>
    <t>Lost productivity annual per-person cost attributable to anxiety</t>
  </si>
  <si>
    <t>Medical care annual per-person cost attributable to anxiety</t>
  </si>
  <si>
    <t>Anxiety disorder/no anxiety</t>
  </si>
  <si>
    <t>Subjects with anxiety disorder identified via 1987 DSM IV criteria for anxiety, including anciety subtypes: panic disorder, PTSD, agoraphboa, social phobia, generalized anxiety disorder.</t>
  </si>
  <si>
    <t>Medical care facility-level usual per-person charges for an abortion</t>
  </si>
  <si>
    <t>Average self-pay abortion charges for all provider types (abortion clinics, other clinics, physicians’ offices), provider case load (1 to ≥5,000), and abortion type (10 weeks, 20 weeks, early medication).</t>
  </si>
  <si>
    <t>Medical care annual per-person cost attributable to MDD</t>
  </si>
  <si>
    <t>Lost productivity annual per-person cost attributable to MDD</t>
  </si>
  <si>
    <t>Total annual medical care cost attributable to illicit drug use: $11,416,232,000 (US DOJ, 2011; 2007 USD).
 - Medical care cost includes: specialty treatment costs, hospital and emergency department costs for nonhomicide cases, hospital and emergency department costs for homicide cases, insurance administration costs, and other health costs (Federal research and prevention and AIDS). (US DOJ, 2011 Executive Summary text).
 - Estimated population number illicit drug users in cost study data year (2007): 19.9 million (source: SAMHSA, 2009, based on 2007 National Survey on Drug Use and Health data on number pouplation that used illicit drugs in the month preceding a survey question).
 -  Per-person annual cost of illicit drug use calculated for this anlaysis as: $11,416,232,000 [medical care cost attributable to illicit drug use in 2007] / 19,900,000 illicit drug users in 2007 = $574 2007 USD (see Appendix Table 5 for calculation of lifetime cost).</t>
  </si>
  <si>
    <t>Total annual lost productivity cost attributable to illicit drug use: $120,304,004,000 (US DOJ, 2011; 2007 USD).
 - Lost productivity cost includes: specialty treatment costs for services provided at the state level, specialty treatment costs for services provided at the federal level, hospitalization costs, incarceration costs, premature mortality costs (nonhomicide and homicide) (US DOJ, 2011 Executive Summary text).
 - Estimated population number illicit drug users in cost study data year (2007): 19.9 million (source: SAMHSA, 2009, based on 2007 National Survey on Drug Use and Health data on number pouplation that used illicit drugs in the month preceding a survey question).
 -  Per-person annual cost of illicit drug use calculated for this anlaysis as:$120,304,004,000 [lost productivity cost attributable to illicit drug use in 2007] / 19,900,000 illicit drug users in 2007 = $6,045 2007 USD (see Appendix Table 3 for calculation of lifetime cost).</t>
  </si>
  <si>
    <t>Total annual other cost attributable to illicit drug use: $61,376,694,000 (US DOJ, 2011; 2007 USD).
 - Other costs include: criminal justice system costs, crime victim costs, and other crime costs (US DOJ, 2011 Executive Summary text).
 - Estimated population number illicit drug users in cost study data year (2007): 19.9 million (source: SAMHSA, 2009, based on 2007 National Survey on Drug Use and Health data on number pouplation that used illicit drugs in the month preceding a survey question).
 -  Per-person annual cost of illicit drug use calculated for this anlaysis as: $61,376,694,000  [other costs attributable to illicit drug use in 2007] / 19,900,000 illicit drug users in 2007 = $3,084 2007 USD (see Appendix Table 3 for calculation of lifetime cost).</t>
  </si>
  <si>
    <t>Lifetime (beginning age ambiguous in reference study, although the study accounts for disease sequelae commencing multiple years after intial contraction of the STI; this study applies the lifetime cost beginning at the assumed average age of IPV victimization)</t>
  </si>
  <si>
    <t>Cost per convicted IPV perpetrator</t>
  </si>
  <si>
    <t>Annual production value of the US noninstitutional population multiplied by the average estimated number of years IPV perpetrators are incarcerated</t>
  </si>
  <si>
    <t>Annual production of the US noninstitutional population, Both sexes, All ages, includes employed and household service time. Average of respondents nationwide based on respondent time diaries. 
 - Estimate for this paper is the average daily production value estimate for all ages, both sexes, multiplied by the average number of years IPV perpetrators are incarcerated, with values after the first year discounted at 3%. See Appendix Table 3 for calculations.
 -  Data for this estimate appears in the reference paper's Table 1.</t>
  </si>
  <si>
    <t xml:space="preserve">Per-alcohol drink cost attributable to excessive alcohol consumption: $2.05 2010 USD.
 - Health care is 11.4% of this, or $0.23
 - Health care costs include: Speciality care for abuse/dependence, hospitalization, fetal alcohol syndrome, health insurance administration, drugs/services, prevention and research, ambulatory care, nursing homes, training (Bouchery 2011, Table 1).
 - Higher prevalence of excess alcohol consumption measured among IPV victims as: &gt;2 drinks/day on average for men, &gt;1 drink/day on average for women or  5 drinks on one occasion in the past 30 days (Breding, 2008; Methods text). 
 - Per-person annual cost of excess alcohol calculated for this anlaysis as: $0.23 [health care] * 1 drink/day * 365 days (see Appendix Table 3 for calculation of lifetime cost).
</t>
  </si>
  <si>
    <t xml:space="preserve">Per-alcohol drink cost attributable to excessive alcohol consumption: $2.05 2010 USD.
 - Lost productivity is 71.9% of this, or $1.62
 - Lost productivity costs include: impaired productivity - work, mortality, incarceration of perpetrators, impaired productivity - home, absenteeism, crime victims, fetal alcohol syndrome, impaired productivity - institution (Bouchery 2011, Table 1).
 - Higher prevalence of excess alcohol consumption measured among IPV victims as: &gt;2 drinks/day on average for men, &gt;1 drink/day on average for women or  5 drinks on one occasion in the past 30 days (Breiding, 2008). 
 - Per-person annual cost of excess alcohol calculated for this anlaysis as: $1.62 [lost productivity] * 1 drink/day * 365 days (see Appendix Table 3 for calculation of lifetime cost)
</t>
  </si>
  <si>
    <t xml:space="preserve">Per-alcohol drink cost attributable to excessive alcohol consumption: $2.05 2010 USD.
 - Other is 16.7% of this, or $0.34
 - Other costs include: Criminal justice, motor vehicle crashes, fire losses, crime victim property damage, fetal alcohol syndrome - special education (Bouchery 2011, Table 1).
 - Higher prevalence of excess alcohol consumption measured among IPV victims as: &gt;2 drinks/day on average for men, &gt;1 drink/day on average for women or  5 drinks on one occasion in the past 30 days (Breiding, 2008). 
 - Per-person annual cost of excess alcohol calculated for this anlaysis as: $0.34 [other] * 1 drink/day * 365 days (see Appendix Table 3 for calculation of lifetime cost).
</t>
  </si>
  <si>
    <t>Police, judicial, corrections cost per convicted IPV perpetrator.</t>
  </si>
  <si>
    <t xml:space="preserve">Greenberg (1999): Results section text indicates $1,542 per victim per year. Table 3 indicates 2.8% (1,174,226/42,340,911) of these costs were suicide-related. This model separately accounted for suicide. </t>
  </si>
  <si>
    <t>Range: maximum and minimum respondent ages in reference outcomes study, bounded by average estimated age first intimate partner victimization for minimum and life expectancy at birth for maximum (medical care) or age 64 years (lost productivity).</t>
  </si>
  <si>
    <t>Range: maximum and minimum respondent ages in reference cost study, bounded by average estimated age first IPV victimization for minimum and life expectancy at birth (medical care) or age 64 years (lost productivity) for maximum.</t>
  </si>
  <si>
    <t>Range: maximum and minimum respondent ages in reference cost study, bounded by average estimated age first IPV victimization for minimum and life expectancy at birth (medical care) or age 65 years (lost productivity) for maximum.</t>
  </si>
  <si>
    <t>Rein (2006): Results section text.</t>
  </si>
  <si>
    <t>Sandler (2002): Table 3</t>
  </si>
  <si>
    <t>Mean number of days lost paid work and school days per victim for all perpetrators in a nationally-representative sample study.
Table 2: Model-adjusted estimated cost for:
--Both female and male victims, controllling for victim sex: $730.01
--Female victims: $1,063.00
--Male victims: $356.79</t>
  </si>
  <si>
    <t>Exponential hurdle model of average days productive days controlled for the number of years since victims’ first victimization, number of lifetime perpetrators, victim demographics (age at time of survey, sex, and race/ethnicity), perpetrator type (e.g., intimate partner, stranger, acquaintance, family member, person of authority), and violence type by perpetrator type (e.g., sexual violence, stalking, physical violence, or psychological aggression [last two assessed only among intimate partner perpetrators], by perpetrator type). Regression-adjusted average number of days was multiplied by a population average productivity value to estimate the value of lost productivity.</t>
  </si>
  <si>
    <t>Lost productivity per-person cost of ED visit followed by inpatient admission for assault or sexual assault injury intent, all injury mechanisms, combined women and men.</t>
  </si>
  <si>
    <t>Medical care per-person cost of ED visit followed by inpatient admission for assault or sexual assault injury intent, all injury mechanisms, combined women and men.</t>
  </si>
  <si>
    <t>Lost productivity cost per-person of ED treat and release visit for assault or sexual assault injury intent, all injury mechanisms, combined women and men.</t>
  </si>
  <si>
    <t>Medical care per-person cost of ED treat and release visit for assault or sexual assault injury intent, all injury mechanisms, combined women and men.</t>
  </si>
  <si>
    <t>Doctor's office (medical)</t>
  </si>
  <si>
    <t>See CDC WISQARS data documentation (Lawrence BA and Miller TR, Medical and Work Loss Cost Estimation Methods for the WISQARS Cost of Injury Module, August 27, 2014, Pacific Institute for Research and Evlauation, www.pire.org) for additional details.</t>
  </si>
  <si>
    <t xml:space="preserve">Medical costs included inpatient hospitalization costs, ambulance transport, emergency department costs, and adjustments for short- to long-term follow-up care post-admission. </t>
  </si>
  <si>
    <t xml:space="preserve">Medical costs included inpatient hospitalization costs, ambulance transport, emergency department costs, hospital readmission costs, hospital rehabilitation, nursing home costs, and adjustments for short- to long-term follow-up care post-admission. </t>
  </si>
  <si>
    <t>Value of wage and household work lost due to short-term disability in the acute recovery phase of non-fatal injury and the value of wage and household work lost due to permanent or long-term disability for the subset of injuries that cause lasting impairments that restrict work choices or preclude return to work. See CDC WISQARS data documentation (Lawrence BA and Miller TR, Medical and Work Loss Cost Estimation Methods for the WISQARS Cost of Injury Module, August 27, 2014, Pacific Institute for Research and Evlauation, www.pire.org) for additional details.</t>
  </si>
  <si>
    <t>Expected annual earnings (salary and fring benefits 23.33%) over the victim’s remaining potential working life. Earnings data by sex and year of age derived from the March Supplement of the Current Population Survey 2002-2009. Earnings at future ages, including salary and the value of fringe benefits, was adjusted 1% annually then discounted to present value using a 3% discount rate. Parallel calculations valued lost household work. See CDC WISQARS data documentation (Lawrence BA and Miller TR, Medical and Work Loss Cost Estimation Methods for the WISQARS Cost of Injury Module, August 27, 2014, Pacific Institute for Research and Evlauation, www.pire.org) for additional details.</t>
  </si>
  <si>
    <t>Three Michigan hospitals</t>
  </si>
  <si>
    <t>Stillbirths / live births</t>
  </si>
  <si>
    <t>Stillbirths: 533
Live births: 1053</t>
  </si>
  <si>
    <t>1996-2006</t>
  </si>
  <si>
    <t>Medical care per-person cost attributable to hospital-based stillbirth</t>
  </si>
  <si>
    <t>Random effect linear mixed regression model assessed the hospital cost stillbirths and live births, controlling for clustering within the matching stratum, type of insurance (private versus public/no insurance) and maternal race (Caucasian, African-American, Asian/Other).</t>
  </si>
  <si>
    <t>Mothers with stillbirth were matched with mothers of the same age who delivered a live-born infant at the same hospital during the same year. Matching based on year of delivery, hospital, and maternal age. Total hospital charges attributed to the mother during her hospitalization for labor and delivery were included. For stillbirths, this included charges for any fetal testing or monitoring. For live births, any hospital charges for infant care were billed separately to the infant and not included in our maternal cost data. Charges were converted to costs using the hospital-year specific cost-to-charge ratios published in the historical impact files from the Centers for Medicare &amp; Medicaid Services. Physician fees were not included.
 - Compared to women with stillbirth, women with live birth had significantly lower delivery costs (regression coefficient: −$757, 95% CI: −$1312 to −$201, p&lt;0.01) (results text).
 - For women with live birth, mean and standard deviation for hospital costs were $6600 (±4208) (results text).
 - Proportion of stillbirth cost relative to average live birth cost (1+(757/6600)=1.11) multiplied by this study's reference cost for hospital-based live birth (Truven, 2013: $14,833, 2010 USD), for an estimated health care payer cost of stillbirth of $16,534, 2010 USD.</t>
  </si>
  <si>
    <t>None; Alcohol-attributable fractions applied</t>
  </si>
  <si>
    <t>Blindness and visual impairment / no visual impairment</t>
  </si>
  <si>
    <t>Medical care per-person cost attributable to blindness and visual impairment</t>
  </si>
  <si>
    <t>Lost productivity per-person cost attributable to blindness and visual impairment</t>
  </si>
  <si>
    <t>Medical care per-person cost attributable to primary diagnosis of pain</t>
  </si>
  <si>
    <t>Lost productivity per-person cost attributable to primary diagnosis of pain</t>
  </si>
  <si>
    <t>Medical care per-person cost attributable to 8 major sexually transmitted infections</t>
  </si>
  <si>
    <t>Lost productivity per-person cost attributable to nonviral sexually-transmitted infections</t>
  </si>
  <si>
    <t>Descriptive</t>
  </si>
  <si>
    <t>1995-1996</t>
  </si>
  <si>
    <t>Nationally-repsentative study-specific telephone sample survey</t>
  </si>
  <si>
    <t>Medical care per-person cost attributable to urinary tract infection</t>
  </si>
  <si>
    <t>Lost productivity and non-medical per-person cost attributable to urinary tract infection</t>
  </si>
  <si>
    <t>Survey question: "Has a healthcare professional such as a physician or nurse practitioner ever told you that you had a urinary tract infection? For example, a bladder infection, cystitis, kidney infection or pyelonephritis?” Women who reported a UTI treated with a prescription medication were included.
--Medical costs in the reference study (annual population estimate: $474 million) included: drug expenses and payments to health care facilities.
--Non-medical costs in the reference study (annual population estimate: $185 million) (included in present study's lost productivity category) included: expenses for travel to and from the facility, expenses for child care during the visit to the facility, and the value of the time spent by the patient in the time spent visiting a physician.
--Indirect costs in the reference study included (annual population estimate: $936 million): the loss of output due to disability, separate from losses due to physician visit.
11.3 million women reported a UTI in the study period year (1995-6). The majority of women in each age group assessed in the reference study reported at least 2 lifetime UTIs.
Lost productivity per-person cost calculated from reference study data as: 2*(185000000+936000000)/11300000)</t>
  </si>
  <si>
    <t>Survey question: "Has a healthcare professional such as a physician or nurse practitioner ever told you that you had a urinary tract infection? For example, a bladder infection, cystitis, kidney infection or pyelonephritis?” Women who reported a UTI treated with a prescription medication were included.
--Medical costs in the reference study (annual population estimate: $474 million) included: drug expenses and payments to health care facilities.
--Non-medical costs in the reference study (annual population estimate: $185 million) (included in present study's lost productivity category) included: expenses for travel to and from the facility, expenses for child care during the visit to the facility, and the value of the time spent by the patient in the time spent visiting a physician.
--Indirect costs in the reference study included (annual population estimate: $936 million): the loss of output due to disability, separate from losses due to physician visit.
11.3 million women reported a UTI in the study period year (1995-6). The majority of women in each age group assessed in the reference study reported at least 2 lifetime UTIs.
Medical per-person cost calculated from reference study data as: 2*(474000000)/11300000)</t>
  </si>
  <si>
    <t>Medical care per-person cost attributable to GERD</t>
  </si>
  <si>
    <t>Lost productivity per-person cost attributable to GERD</t>
  </si>
  <si>
    <t>The National Hospital Discharge Survey (NHDS), National Ambulatory Medical Care Survey (NAMCS), and National Hospital Ambulatory Medical Care Survey (NHAMCS) (emergency department and outpatient department files), The Group Health Cooperative of Puget Sound (GHC) claims database</t>
  </si>
  <si>
    <t>16-64</t>
  </si>
  <si>
    <t>GERD defined by ICD-9 codes: 530.1, 530.2, 530.3, 530.81. When the disease appeared as a first-listed diagnosis, 80% of the costs of the claim were attributed to this disease. When the disease appeared as a second-listed diagnosis, 20% of the costs of the claim were attributed to the disease. Medical costs included inpatient hospital stays, physician office visits, emergency room visits, and hospital outpatient visits. 
Annual popuation medical cost for GERD: $9,326 (millions) (source Table 3)
Population prevlaence of GERD: 18,600 (thousands) (source Table 3)
Medical per-person cost calculated from reference study data as: ($9,326*1000000)/(18,600*1000)</t>
  </si>
  <si>
    <t>Lost productivity assessed as time away from paid labor among patients age 16-64 resulting from consumption of health care and attributable mortality. The National Statistical Abstract (2000) was used to obtain information on average daily wage by sex and age. Average daily wage figures were applied to sex- and age-specific usage estimates from the National Center for Health Statistics dataset.  
Annual popuation medical cost for GERD: $479 (millions) (source Table 3)
Population prevlaence of GERD: 18,600 (thousands) (source Table 3)
Lost productivity per-person cost calculated from reference study data as: =($479*1000000)/(18,600*1000)</t>
  </si>
  <si>
    <r>
      <rPr>
        <sz val="9"/>
        <color theme="1"/>
        <rFont val="Calibri"/>
        <family val="2"/>
      </rPr>
      <t>≥</t>
    </r>
    <r>
      <rPr>
        <sz val="9"/>
        <color theme="1"/>
        <rFont val="Calibri"/>
        <family val="2"/>
        <scheme val="minor"/>
      </rPr>
      <t>40</t>
    </r>
  </si>
  <si>
    <t>Lost productivity per-person cost attributable to asthma</t>
  </si>
  <si>
    <t>Medical care per-person cost attributable to asthma</t>
  </si>
  <si>
    <t>Other per-person costs attributable to smoking</t>
  </si>
  <si>
    <t>Medical care per-person (includes smoker, smoker's family, and others in proximity of the smoker) cost attributable to smoking</t>
  </si>
  <si>
    <t>Lost productivity per-person cost attributable to smoking</t>
  </si>
  <si>
    <t>Other per-person cost attributable to illicit drug use</t>
  </si>
  <si>
    <t>Lost productivity per-person cost attributable to illicit drug use</t>
  </si>
  <si>
    <t>Medical care per-person cost attributable to illicit drug use</t>
  </si>
  <si>
    <t>Other annual cost attributable to excessive alcohol drinking</t>
  </si>
  <si>
    <t>Lost productivity annual per-person cost attributable to excessive alcohol drinking</t>
  </si>
  <si>
    <t>Medical care annual per-person cost attributable to excessive alcohol drinking</t>
  </si>
  <si>
    <t>Weighted linear regressions and 2 part model with health care expenditures as dependent variable.  Controlled for age, sex, self-reported health status, race, education, income quartiles, insurance (any public insurance, no insurance, at least some private insurance), being married, family size, and co-occuring diabetes or high blood pressure.</t>
  </si>
  <si>
    <t>Frick (2007): Comment section</t>
  </si>
  <si>
    <t>Medical spending among MEPS participants self-reporting diagnoses of blindness and visual impairment relative to no visual impairment. Costs included outpatient facility and provider costs, office-based visit costs, emergency department facility and provider costs, inpatient facility and provider costs, prescription costs, home health agency costs, costs of formal home health care providers that
are not included in agencies’ costs, the cost of glasses, and the cost of other medical supplies and equipment. Informal care was valued at the 2004 minimum hourly wage ($5.15). 
Medical per-person cost from reference study data is: average cost blindness and visual impairment (reported in Comment section as $1400 per person, excludes monetized QALY value).</t>
  </si>
  <si>
    <t>Anxiety</t>
  </si>
  <si>
    <t>Heart disease and stroke</t>
  </si>
  <si>
    <t>Lost productivity due to corrections</t>
  </si>
  <si>
    <t>Decreased workforce participation and decreased wages among visually impaired and blind people (due to age-related macular degeneration, cataracts, diabetic retinopathy, glaucoma, refrective error) versus normal vision. Results section text: For productivity losses, we estimated that 115,583 visually impaired and 74,133 blind people who did not work would have worked if fully sighted. Assuming the same average wage as for people with normal vision ($33,195), we estimated that reduced labor force participation by people with visual impairment and blindness accounted for $6.3 billion in lost productivity annually. Additionally, we estimated that 125,882 visually impaired and 40,671 blind people participated in the labor force but earned less than people with normal vision. Multiplying these numbers by the appropriate wage differential tial ($9,851 for the visually impaired and $12,121 for the blind), we estimated productivity losses of $1.7 billion from decreased earnings.
Medical per-person cost from reference study data is: =((33195*(115583+74133))+(9851*125882)+(12121*40671))/(115583+74133+125882+40671)</t>
  </si>
  <si>
    <t>Gaskin (2001)</t>
  </si>
  <si>
    <t>Medical care per-person cost attributable to joint pain.</t>
  </si>
  <si>
    <t>Lost productivity per-person cost attributable to joint pain.</t>
  </si>
  <si>
    <t>Moderate pain / no pain</t>
  </si>
  <si>
    <t xml:space="preserve">Two-part regression model with log link and gamma distribution. Controlled for demographic, socioeconomic, health behaviors, location, health need, functional disability, and co-occuring diabetes or asthma.
</t>
  </si>
  <si>
    <t>Gaskin (2011): Table C-4 (moderate pain)</t>
  </si>
  <si>
    <t>Gaskin (2011): Table C-4 (joint pain)</t>
  </si>
  <si>
    <t>Gaskin (2011): Table C-19 (moderate pain)</t>
  </si>
  <si>
    <t>Gaskin (2011): Table C-19 (joint pain)</t>
  </si>
  <si>
    <t>Joint pain patients identified via self-report of pain, swelling, or stiffness around a joint in the last 12 months. Annual total medical cost (insurance company paments, patient out of pocket costs) includes inpatient, emergency room, outpatient (hospital, clinic, and office-based visits), prescription drugs, and other (e.g., home health services, vision care services, dental care, ambulance services, diagnostic services, medical equipment).  This study's estimate is reported in the reference paper's Table C-4.</t>
  </si>
  <si>
    <t>Joint pain patients identified via self-report of pain, swelling, or stiffness around a joint in the last 12 months. Lost productivity cost includes: combined lost work days, lost work hours, lost work wages. This study's estimate is reported in the reference paper's Table C-19.</t>
  </si>
  <si>
    <t xml:space="preserve">Moderate pain patients identified via self-report based on Short-Form 12 question. The SF-12 pain question of the MEPS asked the respondent whether, during the past 4 weeks, pain interfered with normal work outside the home and housework. Medical cost included insurance company paments and patient out of pocket costs for inpatient, emergency room, outpatient (hospital, clinic, and office-based visits), prescription drugs, and other (e.g., home health services, vision care services, dental care, ambulance services, diagnostic services, medical equipment).  This study's estimate is reported in the reference paper's Table C-4.
</t>
  </si>
  <si>
    <t>Arthritis, rheumatoid arthritis, gout, lupus, or fibromyalgia. Respondent-reported of condition based on respondent being told by a doctor, nurse, or other health care professional.</t>
  </si>
  <si>
    <t>CVD / no CVD</t>
  </si>
  <si>
    <t>Mozaffarian (2016) and Song (2015)</t>
  </si>
  <si>
    <t>Mozaffarian (2016): 2011-2012
Song (2015): 2002-2011</t>
  </si>
  <si>
    <r>
      <t xml:space="preserve">Mozaffarian (2016): </t>
    </r>
    <r>
      <rPr>
        <sz val="9"/>
        <color theme="1"/>
        <rFont val="Calibri"/>
        <family val="2"/>
      </rPr>
      <t>≥20 years</t>
    </r>
    <r>
      <rPr>
        <sz val="9"/>
        <color theme="1"/>
        <rFont val="Calibri"/>
        <family val="2"/>
        <scheme val="minor"/>
      </rPr>
      <t>.
Song (2015): 18-64 years</t>
    </r>
  </si>
  <si>
    <t>Mozaffarian (2016): Female
Song (2015): Both</t>
  </si>
  <si>
    <t>Mozaffarian (2016): Yes
Song (2015): No</t>
  </si>
  <si>
    <t>Mozzafarian (2016): Unpublished estimates
Song (2015): MarketScan Commercial and Health and Productivity Management databases</t>
  </si>
  <si>
    <t>Mozaffarian (2016): None.
Song (2015): Employed patients eligble for workplace absenteeism and short-term disability with/without hyperlipidemia.</t>
  </si>
  <si>
    <r>
      <t xml:space="preserve">Mozaffarian (2016): 2012 CVD prevalence females </t>
    </r>
    <r>
      <rPr>
        <sz val="9"/>
        <color theme="1"/>
        <rFont val="Calibri"/>
        <family val="2"/>
      </rPr>
      <t>≥20 years 43.8 million</t>
    </r>
    <r>
      <rPr>
        <sz val="9"/>
        <color theme="1"/>
        <rFont val="Calibri"/>
        <family val="2"/>
        <scheme val="minor"/>
      </rPr>
      <t xml:space="preserve">
Song (2015): 3,362 analysis patients and 3,362 matched controls</t>
    </r>
  </si>
  <si>
    <t>Yes (Song 2015)</t>
  </si>
  <si>
    <t>Yes (Mozzafarian 2016)</t>
  </si>
  <si>
    <t xml:space="preserve">Mozzafarian (2016): The present values of lifetime earnings are unpublished estimates furnished by the Institute for Health and Aging (University of California, San Francisco)(April 29, 2015) based on hourly worker compensation in the business sector reported by the US Bureau of Labor Statistics.
Song (2015): Propensity score matching (based on age, sex, comorbidities, US geographic region, health plan type, days of observational data) among employed patients eligible for workplace absenteeism and short-term disability with/without hyperlipedemia and cardiovascular events and related procedures. </t>
  </si>
  <si>
    <t>Mozaffarian (2016): Table 13-1 (prevalence) and Table 25-3 (productivity/indirect cost) (both women only)
Song (2015): Results text (i.e.g, $237 annual cost)</t>
  </si>
  <si>
    <t>Moderate pain patients identified via self-report based on Short-Form 12 question. The SF-12 pain question of the MEPS asked the respondent whether, during the past 4 weeks, pain interfered with normal work outside the home and housework. Lost productivity cost includes: combined lost work days, lost work hours, lost work wages. This study's estimate is reported in the reference paper's Table C-19.</t>
  </si>
  <si>
    <t>Annual lost productivity cost due to CVD premature mortality (Mozzafarian (2016) (mortality data are from the National Vital Statistics System of the National Center for Health Statistics. The present values of lifetime earnings (discounted rate 3%) are unpublished estimates furnished by the Institute for Health and Aging (University of California, San Francisco)(April 29, 2015) based on hourly worker compensation in the business sector reported by the US Bureau of Labor Statistics:
 - Prevalence of CVD: 43.8 million (Table 13-1) (women only)
 - Indirect cost of CVD and stroke: $31.7 billion (2012 USD) (Table 25-2; women only)
Annual lost productivity cost due to CVD morbidity (workplace absenteeism and short-term disability costs associated with cardiovascular events and related clinical procedures; defined as myocardial infarction, ischemic stroke, hospitalization with unstable angina as primary discharge diagnosis, revascularization [coronary artery bypass graft (CABG) or percutaneous coronary intervention
(PCI)], hospitalization with heart failure as primary discharge diagnosis, and hospitalization with transient ischemic attack as primary discharge diagnosis) in United States employees, work loss hours and indirect costs were calculated for patients with and without cardiovascular events and related procedures. Wages were based on the 2013 age-, gender-, and geographic region-adjusted wage rate from the United States Bureau of Labor Statistics.) (Song (2015)):
 - Workplace absenteeism and short-term disability: $1,119 (2013 USD) higher cost than matched controls in first month following cardiovascular events and related procedures. Annual cost reported as $237 among an unreported number of patients with sufficient follow-up data.</t>
  </si>
  <si>
    <t>CVD: ischemic heart disease, heart failure, stroke, and atherosclerosis, identified via ICD-9 codes on medical claim. Costs estimated for patients age &lt;65 years and &gt;65 separately. 
Medical costs: actual payments made by the employer for medical (i.e., inpatient, outpatient, office, and other medical service) and prescription drug claims for beneficiaries who were continuously enrolled in one of the company-sponsored fee-for-service indemnity health insurance plans. Patients in capitated plans (e.g., closed HMO systems), approximately 15% of the beneficiaries, were excluded.</t>
  </si>
  <si>
    <t>Case control approach summing claims data; incidence-based methods to project lifetime costs. Analysis patients matched to control patients based on gender, age, employment status, health plan, and 1) residential zip code or 2) same metropolitan area as the patient with per-capita income within 10% of the patient’s zip code.</t>
  </si>
  <si>
    <t>Employees, spouses and dependents at one large (Fortune 100) company</t>
  </si>
  <si>
    <t>Sample: &gt;100,000 women under 65 years old (&gt;65 years old sample size not reported)
CVD: 6,528 women</t>
  </si>
  <si>
    <t>Notes. NA Not applicable; NR Not reported; CVD cardiovascular disease; ED Emergency Department; GERD Gastroesophageal Reflux Disease;  HIV Human Immunodeficiency Virus;  ICD International Classifcation of Diseases Codes;  IPV Intimate Partner Violence;  MDD Major Depressive Disorder;  PTSD Post-Traumatic Stress Disorder;  STI Sexually Transmitted Infection; UTI Urinary Tract Infection</t>
  </si>
  <si>
    <t>Unit cost as reported or inferred (see "Measure details")</t>
  </si>
  <si>
    <t>Unit cost as lifetime cost beginning at assumed age of first IPV victimization</t>
  </si>
  <si>
    <t>Inflation index applied</t>
  </si>
  <si>
    <t>Notes. NA Not applicable; NR Not reported; AIDS Acquired Immune Deficiency Syndrome;  ED Emergency Department;  HIV Human Immunodeficiency Virus;  ICD International Classifcation of Diseases Codes;  IPV Intimate Partner Violence;  WEB Women's Experiences with Battering Scale</t>
  </si>
  <si>
    <t>Smith (2016) NISVS State Report (Table A.19; 2012 data)</t>
  </si>
  <si>
    <t>Smith (2016) NISVS State Report (Table A.22; 2012 data)</t>
  </si>
  <si>
    <t>NISVS is representative of the U.S. non-institutionalized, English- and Spanish-speaking population, aged ≥18 years.</t>
  </si>
  <si>
    <t xml:space="preserve">Survey-weighted to population
Average annual number (SE) of victimizations 2006-2015:  897,856 (88,777)
Average annual number (SE) of victimizations for which loss or damages were reported 2006-2015: 137,155 (27,937)
Average annual percent (SE) of victimizations for which loss or damages were reported: 15.3% (2.7)
</t>
  </si>
  <si>
    <t>Respondent-reported value.  Data for this unpublished estimate was obtained via data request to the Bureau of Justice Statistics in 2017. Estiamte for per-victim property loss value is unstable; based on 10 or fewer sample cases, or coefficient of variation is greater than 50%).</t>
  </si>
  <si>
    <t>Discount rate:</t>
  </si>
  <si>
    <t>Gold (1996)</t>
  </si>
  <si>
    <t>Mean cost per smoker: all</t>
  </si>
  <si>
    <t>Medical: all</t>
  </si>
  <si>
    <t>Respondents with MDD identified via: Major depressive disorder diagnosis based on DSM-IV criteria and ICD-9-CM diagnosis codes.
 - Patients with MDD were identified through at least 2 ICD-9-CM claims for MDD (296.2 single episode, 296.3, recurrent episode) occurring on different dates during the study year.
 - Controls selected based on no MDD diagnosis and no use of selected antidepresant drugs during the study period.
 - Lost productivity cost includes: Workplace absenteeism, workplace presenteeism, disability, and mortality costs of for MDD using human capital valuation.
 - Total annual economic burden of lost productivity care reported in the reference study was divided by the reported number of affected individuals reported in the reference paper to yield an average per-person unit cost for this analysis (or, ((102003+9691)*1000000)/15446771=$7,231 per person with MDD annually).
 - Data for this estimate appears in the reference paper's Table 2A.</t>
  </si>
  <si>
    <t xml:space="preserve">Respondents with MDD identified via: Major depressive disorder diagnosis based on DSM-IV criteria and ICD-9-CM diagnosis codes.
 - Patients with MDD were identified through at least 2 ICD-9-CM claims for MDD (296.2 single episode, 296.3, recurrent episode) occurring on different dates during the study year.
 - Controls selected based on no MDD diagnosis and no use of selected antidepresant drugs during the study period.
 - Medical costs include: Inpatient, outpatient, other (i.e., rehabilitation), prescription drug costs for MDD.
 - Total annul economic burden of medical care reported in the reference study was divided by the reported number of affected individuals reported in the reference paper to yield an average per-person unit cost for this analysis (or, (98854*1000000)/15446771=$6,400 per person with MDD annually).
 - Data for this estimate appears in the reference paper's Table 2A. Inflated to estimated lifetime cost as demonstrated in Appendix Table 3. </t>
  </si>
  <si>
    <t>Basile (2018 unpublished data), Mcfarlane (2005), Brieding (2014), Smith (2017)</t>
  </si>
  <si>
    <t xml:space="preserve"> Probability of rape-repated pregnancy based on: 
 - Proportion of IPV victims assessed in this analysis (IPV victims of contact sexual violence, physical violence, or stalking with health or related impact) with completed or attempted rape by IPV perpetrator:  10,765,000/31,598,000=34.1% (Smith (2017) 2012 NISVS data; Table A.3 / Table A.19).
 - Proportion of  victims of IPV completed rape among the number of IPV victims with attempted/completed rape: 6,770,000/10,574,000=64.0% (Brieding (2014) MMWR (Table 3); 2011 NISVS data).
 - Proportion of IPV victims of vaginal rape with rape-related pregnancy: 219,000/8,479,000=26.2% (Basile 2017) combined NISVS 2010-2012 data, female respondents with vaginal rape). 
 - Proportion of victims by rape-related pregnancy outcome: 81% of IPV rape-related pregnancies resulted in live birth, 16% resulted in abortion, 3% resulted in stillbirth (based on n=32 pregnancies from Mcfarlane (2005) among n=184 female IPV victims presenting at a special family violence unit of a District Attorney’s office for a protection order).
 - Calculation: (10,765,000/31,598,000, or 0.341)*(6,770,000/10,574,000, or 0.64)*(219,000/8,479,000, or 0.262)*[0.81 or 0.16 or 0.03]</t>
  </si>
  <si>
    <t>Smith (2017) NISVS State Report (Table A.19 and A.22; 2012 data)</t>
  </si>
  <si>
    <t>Peterson (2018; in press)</t>
  </si>
  <si>
    <t>Peterson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</si>
</sst>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 #,##0.000_);_(* \(#,##0.000\);_(* &quot;-&quot;??_);_(@_)"/>
    <numFmt numFmtId="165" formatCode="0.0%"/>
    <numFmt numFmtId="166" formatCode="_(* #,##0_);_(* \(#,##0\);_(* &quot;-&quot;??_);_(@_)"/>
    <numFmt numFmtId="167" formatCode="&quot;$&quot;#,##0"/>
    <numFmt numFmtId="168" formatCode="0.0000"/>
    <numFmt numFmtId="169" formatCode="&quot;$&quot;#,##0.00"/>
    <numFmt numFmtId="170" formatCode="0.0"/>
    <numFmt numFmtId="171" formatCode="_(&quot;$&quot;* #,##0_);_(&quot;$&quot;* \(#,##0\);_(&quot;$&quot;* &quot;-&quot;??_);_(@_)"/>
    <numFmt numFmtId="172" formatCode="_(* #,##0.0_);_(* \(#,##0.0\);_(* &quot;-&quot;??_);_(@_)"/>
    <numFmt numFmtId="173" formatCode="0.000%"/>
    <numFmt numFmtId="174" formatCode="#,##0.0"/>
    <numFmt numFmtId="175" formatCode="#,##0\ "/>
    <numFmt numFmtId="176" formatCode="0.0\ "/>
    <numFmt numFmtId="177" formatCode="0.000"/>
    <numFmt numFmtId="178" formatCode="_(* #,##0_);_(* \(#,##0\);_(* &quot;-&quot;?_);_(@_)"/>
  </numFmts>
  <fonts count="28" x14ac:knownFonts="1">
    <font>
      <sz val="11"/>
      <color theme="1"/>
      <name val="Calibri"/>
      <family val="2"/>
      <scheme val="minor"/>
    </font>
    <font>
      <sz val="11"/>
      <color theme="1"/>
      <name val="Calibri"/>
      <family val="2"/>
      <scheme val="minor"/>
    </font>
    <font>
      <b/>
      <sz val="12"/>
      <name val="Calibri"/>
      <family val="2"/>
      <scheme val="minor"/>
    </font>
    <font>
      <sz val="9"/>
      <name val="Calibri"/>
      <family val="2"/>
      <scheme val="minor"/>
    </font>
    <font>
      <sz val="9"/>
      <color rgb="FFFF0000"/>
      <name val="Calibri"/>
      <family val="2"/>
      <scheme val="minor"/>
    </font>
    <font>
      <b/>
      <sz val="9"/>
      <name val="Calibri"/>
      <family val="2"/>
      <scheme val="minor"/>
    </font>
    <font>
      <sz val="9"/>
      <color theme="1"/>
      <name val="Calibri"/>
      <family val="2"/>
      <scheme val="minor"/>
    </font>
    <font>
      <sz val="9"/>
      <color indexed="81"/>
      <name val="Tahoma"/>
      <family val="2"/>
    </font>
    <font>
      <sz val="8"/>
      <name val="Verdana"/>
    </font>
    <font>
      <b/>
      <sz val="9"/>
      <color indexed="81"/>
      <name val="Tahoma"/>
      <family val="2"/>
    </font>
    <font>
      <b/>
      <sz val="14"/>
      <color theme="1"/>
      <name val="Calibri"/>
      <family val="2"/>
      <scheme val="minor"/>
    </font>
    <font>
      <b/>
      <sz val="12"/>
      <color theme="1"/>
      <name val="Calibri"/>
      <family val="2"/>
      <scheme val="minor"/>
    </font>
    <font>
      <sz val="10"/>
      <name val="Arial"/>
      <family val="2"/>
    </font>
    <font>
      <sz val="10"/>
      <name val="Arial"/>
      <family val="2"/>
    </font>
    <font>
      <sz val="9"/>
      <color theme="1"/>
      <name val="Calibri"/>
      <family val="2"/>
    </font>
    <font>
      <sz val="9"/>
      <color indexed="8"/>
      <name val="Calibri"/>
      <family val="2"/>
      <scheme val="minor"/>
    </font>
    <font>
      <b/>
      <sz val="9"/>
      <color theme="1"/>
      <name val="Calibri"/>
      <family val="2"/>
      <scheme val="minor"/>
    </font>
    <font>
      <b/>
      <sz val="14"/>
      <name val="Calibri"/>
      <family val="2"/>
      <scheme val="minor"/>
    </font>
    <font>
      <b/>
      <sz val="9"/>
      <color indexed="9"/>
      <name val="Calibri"/>
      <family val="2"/>
      <scheme val="minor"/>
    </font>
    <font>
      <b/>
      <i/>
      <sz val="9"/>
      <name val="Calibri"/>
      <family val="2"/>
      <scheme val="minor"/>
    </font>
    <font>
      <i/>
      <sz val="9"/>
      <name val="Calibri"/>
      <family val="2"/>
      <scheme val="minor"/>
    </font>
    <font>
      <u/>
      <sz val="9"/>
      <name val="Calibri"/>
      <family val="2"/>
      <scheme val="minor"/>
    </font>
    <font>
      <sz val="9"/>
      <color indexed="81"/>
      <name val="Tahoma"/>
      <charset val="1"/>
    </font>
    <font>
      <sz val="10"/>
      <name val="Arial"/>
    </font>
    <font>
      <u/>
      <sz val="9"/>
      <color theme="1"/>
      <name val="Calibri"/>
      <family val="2"/>
      <scheme val="minor"/>
    </font>
    <font>
      <vertAlign val="superscript"/>
      <sz val="9"/>
      <name val="Calibri"/>
      <family val="2"/>
      <scheme val="minor"/>
    </font>
    <font>
      <sz val="9"/>
      <name val="Calibri"/>
      <family val="2"/>
    </font>
    <font>
      <sz val="9"/>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bgColor indexed="23"/>
      </patternFill>
    </fill>
  </fills>
  <borders count="23">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indexed="9"/>
      </left>
      <right style="thin">
        <color indexed="9"/>
      </right>
      <top style="thin">
        <color indexed="9"/>
      </top>
      <bottom style="thin">
        <color indexed="9"/>
      </bottom>
      <diagonal/>
    </border>
    <border>
      <left style="medium">
        <color indexed="64"/>
      </left>
      <right style="medium">
        <color indexed="64"/>
      </right>
      <top/>
      <bottom/>
      <diagonal/>
    </border>
    <border>
      <left style="medium">
        <color indexed="64"/>
      </left>
      <right style="medium">
        <color indexed="64"/>
      </right>
      <top style="thin">
        <color auto="1"/>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auto="1"/>
      </left>
      <right/>
      <top style="thin">
        <color auto="1"/>
      </top>
      <bottom style="thin">
        <color auto="1"/>
      </bottom>
      <diagonal/>
    </border>
    <border>
      <left style="medium">
        <color indexed="64"/>
      </left>
      <right style="medium">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2" fillId="0" borderId="0"/>
    <xf numFmtId="0" fontId="13" fillId="0" borderId="0"/>
    <xf numFmtId="41" fontId="1" fillId="0" borderId="0" applyFont="0" applyFill="0" applyBorder="0" applyAlignment="0" applyProtection="0"/>
    <xf numFmtId="0" fontId="23" fillId="0" borderId="0"/>
    <xf numFmtId="0" fontId="23" fillId="0" borderId="0"/>
  </cellStyleXfs>
  <cellXfs count="598">
    <xf numFmtId="0" fontId="0" fillId="0" borderId="0" xfId="0"/>
    <xf numFmtId="0" fontId="10" fillId="2" borderId="0" xfId="0" applyFont="1" applyFill="1" applyBorder="1" applyAlignment="1">
      <alignment vertical="center"/>
    </xf>
    <xf numFmtId="0" fontId="6" fillId="2" borderId="0" xfId="0" applyFont="1" applyFill="1" applyAlignment="1">
      <alignment vertical="center"/>
    </xf>
    <xf numFmtId="0" fontId="6" fillId="2" borderId="0" xfId="0" applyFont="1" applyFill="1" applyAlignment="1">
      <alignment horizontal="center" vertical="center"/>
    </xf>
    <xf numFmtId="0" fontId="6" fillId="2" borderId="12" xfId="0" applyFont="1" applyFill="1" applyBorder="1" applyAlignment="1">
      <alignment horizontal="center" vertical="center"/>
    </xf>
    <xf numFmtId="169" fontId="6" fillId="2" borderId="11" xfId="0" applyNumberFormat="1" applyFont="1" applyFill="1" applyBorder="1" applyAlignment="1">
      <alignment horizontal="right" vertical="center"/>
    </xf>
    <xf numFmtId="0" fontId="6" fillId="3" borderId="11" xfId="0" applyFont="1" applyFill="1" applyBorder="1" applyAlignment="1">
      <alignment vertical="center"/>
    </xf>
    <xf numFmtId="0" fontId="6" fillId="2" borderId="13" xfId="0" applyFont="1" applyFill="1" applyBorder="1" applyAlignment="1">
      <alignment vertical="center"/>
    </xf>
    <xf numFmtId="0" fontId="6" fillId="0" borderId="0" xfId="0" applyFont="1" applyFill="1" applyAlignment="1">
      <alignment horizontal="center" vertical="center"/>
    </xf>
    <xf numFmtId="169" fontId="6" fillId="2" borderId="0" xfId="0" applyNumberFormat="1" applyFont="1" applyFill="1" applyBorder="1" applyAlignment="1">
      <alignment horizontal="center" vertical="center"/>
    </xf>
    <xf numFmtId="0" fontId="6" fillId="2" borderId="9" xfId="0" applyFont="1" applyFill="1" applyBorder="1" applyAlignment="1">
      <alignment horizontal="center" vertical="center"/>
    </xf>
    <xf numFmtId="0" fontId="6" fillId="3" borderId="5" xfId="0" applyFont="1" applyFill="1" applyBorder="1" applyAlignment="1">
      <alignment vertical="center"/>
    </xf>
    <xf numFmtId="0" fontId="6" fillId="2" borderId="10" xfId="0" applyFont="1" applyFill="1" applyBorder="1" applyAlignment="1">
      <alignment vertical="center"/>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3" xfId="0" applyFont="1" applyFill="1" applyBorder="1" applyAlignment="1">
      <alignment horizontal="left" wrapText="1"/>
    </xf>
    <xf numFmtId="0" fontId="6" fillId="0" borderId="3" xfId="0" applyFont="1" applyFill="1" applyBorder="1" applyAlignment="1">
      <alignment horizontal="center" wrapText="1"/>
    </xf>
    <xf numFmtId="0" fontId="6" fillId="2" borderId="3" xfId="0" applyFont="1" applyFill="1" applyBorder="1" applyAlignment="1">
      <alignment horizontal="center" wrapText="1"/>
    </xf>
    <xf numFmtId="0" fontId="6" fillId="2" borderId="5" xfId="0" applyFont="1" applyFill="1" applyBorder="1" applyAlignment="1">
      <alignment horizontal="center" wrapText="1"/>
    </xf>
    <xf numFmtId="0" fontId="6" fillId="2" borderId="10" xfId="0" applyFont="1" applyFill="1" applyBorder="1" applyAlignment="1">
      <alignment horizontal="left"/>
    </xf>
    <xf numFmtId="0" fontId="6" fillId="2" borderId="0" xfId="0" applyFont="1" applyFill="1" applyBorder="1" applyAlignment="1">
      <alignment horizontal="center"/>
    </xf>
    <xf numFmtId="0" fontId="6" fillId="2" borderId="0" xfId="0" applyFont="1" applyFill="1" applyAlignment="1">
      <alignment horizontal="center"/>
    </xf>
    <xf numFmtId="0" fontId="6" fillId="2" borderId="12" xfId="0" applyFont="1" applyFill="1" applyBorder="1" applyAlignment="1">
      <alignment vertical="center"/>
    </xf>
    <xf numFmtId="0" fontId="6" fillId="2" borderId="11" xfId="0" applyFont="1" applyFill="1" applyBorder="1" applyAlignment="1">
      <alignment vertical="center"/>
    </xf>
    <xf numFmtId="0" fontId="3" fillId="2" borderId="11" xfId="0" applyFont="1" applyFill="1" applyBorder="1" applyAlignment="1">
      <alignment vertical="center"/>
    </xf>
    <xf numFmtId="167" fontId="6" fillId="0" borderId="11" xfId="0" applyNumberFormat="1" applyFont="1" applyFill="1" applyBorder="1" applyAlignment="1">
      <alignment horizontal="center" vertical="center"/>
    </xf>
    <xf numFmtId="169" fontId="6" fillId="2" borderId="11" xfId="0" applyNumberFormat="1" applyFont="1" applyFill="1" applyBorder="1" applyAlignment="1">
      <alignment horizontal="center" vertical="center"/>
    </xf>
    <xf numFmtId="167" fontId="6" fillId="2" borderId="11" xfId="0" applyNumberFormat="1" applyFont="1" applyFill="1" applyBorder="1" applyAlignment="1">
      <alignment horizontal="center" vertical="center"/>
    </xf>
    <xf numFmtId="0" fontId="6" fillId="2" borderId="0" xfId="0" applyFont="1" applyFill="1" applyBorder="1" applyAlignment="1">
      <alignment vertical="center"/>
    </xf>
    <xf numFmtId="0" fontId="6" fillId="2" borderId="6" xfId="0" applyFont="1" applyFill="1" applyBorder="1" applyAlignment="1">
      <alignment vertical="center"/>
    </xf>
    <xf numFmtId="0" fontId="3" fillId="2" borderId="0" xfId="0" applyFont="1" applyFill="1" applyBorder="1" applyAlignment="1">
      <alignment vertical="center"/>
    </xf>
    <xf numFmtId="0" fontId="6" fillId="2" borderId="0" xfId="0" applyFont="1" applyFill="1" applyBorder="1" applyAlignment="1">
      <alignment horizontal="center" vertical="center"/>
    </xf>
    <xf numFmtId="0" fontId="6" fillId="2" borderId="7" xfId="0" applyFont="1" applyFill="1" applyBorder="1" applyAlignment="1">
      <alignment vertical="center"/>
    </xf>
    <xf numFmtId="1" fontId="6" fillId="2" borderId="0" xfId="0" applyNumberFormat="1" applyFont="1" applyFill="1" applyBorder="1" applyAlignment="1">
      <alignment horizontal="center" vertical="center"/>
    </xf>
    <xf numFmtId="0" fontId="6" fillId="2" borderId="11" xfId="0" applyFont="1" applyFill="1" applyBorder="1" applyAlignment="1">
      <alignment vertical="center" wrapText="1"/>
    </xf>
    <xf numFmtId="0" fontId="6" fillId="2" borderId="9" xfId="0" applyFont="1" applyFill="1" applyBorder="1" applyAlignment="1">
      <alignment vertical="center"/>
    </xf>
    <xf numFmtId="0" fontId="6" fillId="2" borderId="5" xfId="0" applyFont="1" applyFill="1" applyBorder="1" applyAlignment="1">
      <alignment vertical="center"/>
    </xf>
    <xf numFmtId="0" fontId="6" fillId="2" borderId="5" xfId="0" applyFont="1" applyFill="1" applyBorder="1" applyAlignment="1">
      <alignment horizontal="center" vertical="center"/>
    </xf>
    <xf numFmtId="0" fontId="3" fillId="2" borderId="5" xfId="0" applyFont="1" applyFill="1" applyBorder="1" applyAlignment="1">
      <alignment vertical="center"/>
    </xf>
    <xf numFmtId="6" fontId="6" fillId="0" borderId="5" xfId="0" applyNumberFormat="1" applyFont="1" applyFill="1" applyBorder="1" applyAlignment="1">
      <alignment horizontal="center" vertical="center"/>
    </xf>
    <xf numFmtId="0" fontId="16" fillId="2" borderId="6" xfId="0" applyFont="1" applyFill="1" applyBorder="1" applyAlignment="1">
      <alignment vertical="center"/>
    </xf>
    <xf numFmtId="0" fontId="16" fillId="2" borderId="0" xfId="0" applyFont="1" applyFill="1" applyBorder="1" applyAlignment="1">
      <alignment vertical="center"/>
    </xf>
    <xf numFmtId="0" fontId="16" fillId="2" borderId="9" xfId="0" applyFont="1" applyFill="1" applyBorder="1" applyAlignment="1">
      <alignment vertical="center"/>
    </xf>
    <xf numFmtId="0" fontId="16" fillId="2" borderId="5" xfId="0" applyFont="1" applyFill="1" applyBorder="1" applyAlignment="1">
      <alignment vertical="center"/>
    </xf>
    <xf numFmtId="167" fontId="6" fillId="3" borderId="15" xfId="3" applyNumberFormat="1" applyFont="1" applyFill="1" applyBorder="1" applyAlignment="1">
      <alignment horizontal="center" vertical="center"/>
    </xf>
    <xf numFmtId="167" fontId="3" fillId="2" borderId="12" xfId="0" applyNumberFormat="1" applyFont="1" applyFill="1" applyBorder="1" applyAlignment="1">
      <alignment horizontal="center" vertical="center" wrapText="1"/>
    </xf>
    <xf numFmtId="167" fontId="3" fillId="2" borderId="11" xfId="0" applyNumberFormat="1" applyFont="1" applyFill="1" applyBorder="1" applyAlignment="1">
      <alignment horizontal="center" vertical="center" wrapText="1"/>
    </xf>
    <xf numFmtId="167" fontId="6" fillId="2" borderId="11" xfId="0" applyNumberFormat="1" applyFont="1" applyFill="1" applyBorder="1" applyAlignment="1">
      <alignment horizontal="center" vertical="center" wrapText="1"/>
    </xf>
    <xf numFmtId="167" fontId="6" fillId="3" borderId="16" xfId="3" applyNumberFormat="1" applyFont="1" applyFill="1" applyBorder="1" applyAlignment="1">
      <alignment horizontal="center" vertical="center"/>
    </xf>
    <xf numFmtId="167" fontId="5" fillId="3" borderId="15" xfId="0" applyNumberFormat="1" applyFont="1" applyFill="1" applyBorder="1" applyAlignment="1">
      <alignment horizontal="center" vertical="center" wrapText="1"/>
    </xf>
    <xf numFmtId="0" fontId="6" fillId="3" borderId="15" xfId="0" applyFont="1" applyFill="1" applyBorder="1" applyAlignment="1">
      <alignment horizontal="center" vertical="center"/>
    </xf>
    <xf numFmtId="0" fontId="3" fillId="3" borderId="15" xfId="0" applyFont="1" applyFill="1" applyBorder="1" applyAlignment="1">
      <alignment horizontal="center" vertical="center"/>
    </xf>
    <xf numFmtId="165" fontId="3" fillId="3" borderId="0" xfId="2" applyNumberFormat="1" applyFont="1" applyFill="1" applyBorder="1" applyAlignment="1">
      <alignment horizontal="center" vertical="center" wrapText="1"/>
    </xf>
    <xf numFmtId="165" fontId="3" fillId="3" borderId="15" xfId="2" applyNumberFormat="1" applyFont="1" applyFill="1" applyBorder="1" applyAlignment="1">
      <alignment horizontal="center" vertical="center" wrapText="1"/>
    </xf>
    <xf numFmtId="165" fontId="3" fillId="3" borderId="15" xfId="2" applyNumberFormat="1" applyFont="1" applyFill="1" applyBorder="1" applyAlignment="1">
      <alignment horizontal="center"/>
    </xf>
    <xf numFmtId="167" fontId="3" fillId="3" borderId="15" xfId="3" applyNumberFormat="1" applyFont="1" applyFill="1" applyBorder="1" applyAlignment="1">
      <alignment horizontal="center" vertical="center"/>
    </xf>
    <xf numFmtId="0" fontId="3" fillId="3" borderId="15" xfId="0" applyFont="1" applyFill="1" applyBorder="1" applyAlignment="1">
      <alignment horizontal="center"/>
    </xf>
    <xf numFmtId="0" fontId="3" fillId="3" borderId="18" xfId="0" applyFont="1" applyFill="1" applyBorder="1" applyAlignment="1">
      <alignment horizontal="center" vertical="center" wrapText="1"/>
    </xf>
    <xf numFmtId="0" fontId="6" fillId="3" borderId="15" xfId="0" applyFont="1" applyFill="1" applyBorder="1" applyAlignment="1">
      <alignment horizontal="center"/>
    </xf>
    <xf numFmtId="173" fontId="3" fillId="3" borderId="15" xfId="2" applyNumberFormat="1" applyFont="1" applyFill="1" applyBorder="1" applyAlignment="1">
      <alignment horizontal="center" vertical="center"/>
    </xf>
    <xf numFmtId="0" fontId="3" fillId="2" borderId="0" xfId="0" applyFont="1" applyFill="1" applyBorder="1" applyAlignment="1"/>
    <xf numFmtId="0" fontId="3" fillId="2" borderId="0" xfId="0" applyFont="1" applyFill="1" applyBorder="1" applyAlignment="1">
      <alignment horizontal="left"/>
    </xf>
    <xf numFmtId="0" fontId="3" fillId="2" borderId="7" xfId="0" applyFont="1" applyFill="1" applyBorder="1" applyAlignment="1">
      <alignment horizontal="left"/>
    </xf>
    <xf numFmtId="0" fontId="3" fillId="2" borderId="7" xfId="0" applyFont="1" applyFill="1" applyBorder="1" applyAlignment="1"/>
    <xf numFmtId="0" fontId="3" fillId="2" borderId="0" xfId="0" applyFont="1" applyFill="1" applyBorder="1" applyAlignment="1">
      <alignment horizontal="center"/>
    </xf>
    <xf numFmtId="0" fontId="17" fillId="2" borderId="0" xfId="0" applyFont="1" applyFill="1" applyBorder="1" applyAlignment="1">
      <alignment horizontal="left"/>
    </xf>
    <xf numFmtId="0" fontId="3" fillId="2" borderId="0" xfId="0" applyNumberFormat="1" applyFont="1" applyFill="1" applyBorder="1" applyAlignment="1">
      <alignment horizontal="left"/>
    </xf>
    <xf numFmtId="0" fontId="6" fillId="2" borderId="0" xfId="0" applyFont="1" applyFill="1" applyBorder="1" applyAlignment="1"/>
    <xf numFmtId="0" fontId="4" fillId="2" borderId="0" xfId="0" applyFont="1" applyFill="1" applyBorder="1" applyAlignment="1">
      <alignment horizontal="center"/>
    </xf>
    <xf numFmtId="0" fontId="4" fillId="2" borderId="0" xfId="0" applyFont="1" applyFill="1" applyBorder="1" applyAlignment="1">
      <alignment horizontal="left"/>
    </xf>
    <xf numFmtId="0" fontId="4" fillId="2" borderId="0" xfId="0" applyNumberFormat="1" applyFont="1" applyFill="1" applyBorder="1" applyAlignment="1">
      <alignment horizontal="center"/>
    </xf>
    <xf numFmtId="0" fontId="3" fillId="2" borderId="0" xfId="0" applyFont="1" applyFill="1" applyBorder="1" applyAlignment="1">
      <alignment horizontal="left" vertical="center" wrapText="1"/>
    </xf>
    <xf numFmtId="0" fontId="3" fillId="2" borderId="0" xfId="0" applyFont="1" applyFill="1" applyBorder="1" applyAlignment="1">
      <alignment wrapText="1"/>
    </xf>
    <xf numFmtId="164" fontId="3" fillId="2" borderId="0" xfId="1" applyNumberFormat="1" applyFont="1" applyFill="1" applyBorder="1" applyAlignment="1">
      <alignment horizontal="left" vertical="center" wrapText="1"/>
    </xf>
    <xf numFmtId="0" fontId="6" fillId="2" borderId="0" xfId="0" applyFont="1" applyFill="1" applyBorder="1" applyAlignment="1">
      <alignment horizontal="center" wrapText="1"/>
    </xf>
    <xf numFmtId="0" fontId="3" fillId="2" borderId="0" xfId="2" applyNumberFormat="1" applyFont="1" applyFill="1" applyBorder="1" applyAlignment="1">
      <alignment horizontal="center" vertical="center"/>
    </xf>
    <xf numFmtId="165" fontId="3" fillId="2" borderId="0" xfId="2" applyNumberFormat="1" applyFont="1" applyFill="1" applyBorder="1" applyAlignment="1">
      <alignment horizontal="center" vertical="center"/>
    </xf>
    <xf numFmtId="0" fontId="3" fillId="2" borderId="6" xfId="0" applyFont="1" applyFill="1" applyBorder="1" applyAlignment="1">
      <alignment horizontal="center" vertical="center"/>
    </xf>
    <xf numFmtId="3" fontId="3" fillId="2" borderId="0" xfId="1" applyNumberFormat="1" applyFont="1" applyFill="1" applyBorder="1" applyAlignment="1">
      <alignment horizontal="center" vertical="center" wrapText="1"/>
    </xf>
    <xf numFmtId="0" fontId="3" fillId="2" borderId="7" xfId="0" applyFont="1" applyFill="1" applyBorder="1" applyAlignment="1">
      <alignment vertical="center"/>
    </xf>
    <xf numFmtId="0" fontId="3" fillId="2" borderId="0" xfId="0" applyNumberFormat="1" applyFont="1" applyFill="1" applyBorder="1" applyAlignment="1">
      <alignment horizontal="center" vertical="center"/>
    </xf>
    <xf numFmtId="0" fontId="6" fillId="2" borderId="6" xfId="0" applyFont="1" applyFill="1" applyBorder="1" applyAlignment="1">
      <alignment horizontal="left" indent="1"/>
    </xf>
    <xf numFmtId="0" fontId="21" fillId="2" borderId="4" xfId="0" applyFont="1" applyFill="1" applyBorder="1" applyAlignment="1">
      <alignment horizontal="left" indent="1"/>
    </xf>
    <xf numFmtId="3" fontId="3" fillId="2" borderId="0" xfId="0" applyNumberFormat="1" applyFont="1" applyFill="1" applyBorder="1" applyAlignment="1">
      <alignment horizontal="center" wrapText="1"/>
    </xf>
    <xf numFmtId="165" fontId="3" fillId="2" borderId="0" xfId="0" applyNumberFormat="1" applyFont="1" applyFill="1" applyBorder="1" applyAlignment="1">
      <alignment horizontal="center" vertical="center" wrapText="1"/>
    </xf>
    <xf numFmtId="165" fontId="3" fillId="2" borderId="7" xfId="0" applyNumberFormat="1"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7" xfId="0" applyFont="1" applyFill="1" applyBorder="1" applyAlignment="1">
      <alignment horizontal="center" vertical="center"/>
    </xf>
    <xf numFmtId="3" fontId="3" fillId="2" borderId="0" xfId="0" applyNumberFormat="1" applyFont="1" applyFill="1" applyBorder="1" applyAlignment="1">
      <alignment horizontal="center" vertical="center"/>
    </xf>
    <xf numFmtId="0" fontId="3" fillId="2" borderId="7" xfId="0" applyFont="1" applyFill="1" applyBorder="1" applyAlignment="1">
      <alignment horizontal="left" vertical="center"/>
    </xf>
    <xf numFmtId="164" fontId="3" fillId="2" borderId="0" xfId="1" applyNumberFormat="1" applyFont="1" applyFill="1" applyBorder="1" applyAlignment="1">
      <alignment vertical="center"/>
    </xf>
    <xf numFmtId="164" fontId="3" fillId="2" borderId="0" xfId="1" applyNumberFormat="1" applyFont="1" applyFill="1" applyBorder="1" applyAlignment="1">
      <alignment horizontal="left" vertical="center"/>
    </xf>
    <xf numFmtId="3" fontId="3" fillId="2" borderId="0" xfId="0" applyNumberFormat="1" applyFont="1" applyFill="1" applyBorder="1" applyAlignment="1">
      <alignment horizontal="center"/>
    </xf>
    <xf numFmtId="3" fontId="3" fillId="2" borderId="7" xfId="0" applyNumberFormat="1" applyFont="1" applyFill="1" applyBorder="1" applyAlignment="1">
      <alignment horizontal="center"/>
    </xf>
    <xf numFmtId="0" fontId="3" fillId="2" borderId="0" xfId="0" applyNumberFormat="1" applyFont="1" applyFill="1" applyBorder="1" applyAlignment="1">
      <alignment horizontal="center"/>
    </xf>
    <xf numFmtId="3" fontId="6" fillId="2" borderId="0" xfId="0" applyNumberFormat="1" applyFont="1" applyFill="1" applyBorder="1" applyAlignment="1">
      <alignment horizontal="center" vertical="center"/>
    </xf>
    <xf numFmtId="2" fontId="6" fillId="2" borderId="0" xfId="0" applyNumberFormat="1" applyFont="1" applyFill="1" applyBorder="1" applyAlignment="1">
      <alignment horizontal="center" vertical="center"/>
    </xf>
    <xf numFmtId="0" fontId="6" fillId="2" borderId="0" xfId="0" applyFont="1" applyFill="1" applyBorder="1" applyAlignment="1">
      <alignment horizontal="left"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16" fillId="2" borderId="7" xfId="0" applyFont="1" applyFill="1" applyBorder="1" applyAlignment="1">
      <alignment vertical="center"/>
    </xf>
    <xf numFmtId="166" fontId="3" fillId="2" borderId="0" xfId="1" applyNumberFormat="1" applyFont="1" applyFill="1" applyBorder="1" applyAlignment="1">
      <alignment horizontal="left" vertical="center"/>
    </xf>
    <xf numFmtId="166" fontId="3" fillId="2" borderId="0" xfId="1" applyNumberFormat="1" applyFont="1" applyFill="1" applyBorder="1" applyAlignment="1">
      <alignment horizontal="center" vertical="center"/>
    </xf>
    <xf numFmtId="166" fontId="3" fillId="2" borderId="7" xfId="1" applyNumberFormat="1" applyFont="1" applyFill="1" applyBorder="1" applyAlignment="1">
      <alignment horizontal="center" vertical="center"/>
    </xf>
    <xf numFmtId="0" fontId="6" fillId="2" borderId="0" xfId="0" applyNumberFormat="1" applyFont="1" applyFill="1" applyBorder="1" applyAlignment="1">
      <alignment horizontal="center" vertical="center"/>
    </xf>
    <xf numFmtId="0" fontId="6" fillId="2" borderId="0" xfId="0" applyFont="1" applyFill="1" applyBorder="1"/>
    <xf numFmtId="0" fontId="6" fillId="2" borderId="7" xfId="0" applyFont="1" applyFill="1" applyBorder="1" applyAlignment="1"/>
    <xf numFmtId="3" fontId="6" fillId="2" borderId="0" xfId="0" applyNumberFormat="1" applyFont="1" applyFill="1" applyBorder="1" applyAlignment="1">
      <alignment horizontal="center"/>
    </xf>
    <xf numFmtId="0" fontId="3" fillId="2" borderId="5" xfId="0" applyFont="1" applyFill="1" applyBorder="1" applyAlignment="1">
      <alignment horizontal="center"/>
    </xf>
    <xf numFmtId="0" fontId="6" fillId="2" borderId="10" xfId="0" applyFont="1" applyFill="1" applyBorder="1" applyAlignment="1"/>
    <xf numFmtId="0" fontId="5" fillId="2" borderId="0" xfId="0" applyFont="1" applyFill="1" applyBorder="1" applyAlignment="1">
      <alignment horizontal="center" vertical="center" wrapText="1"/>
    </xf>
    <xf numFmtId="0" fontId="21" fillId="2" borderId="6" xfId="0" applyFont="1" applyFill="1" applyBorder="1" applyAlignment="1">
      <alignment horizontal="left" indent="1"/>
    </xf>
    <xf numFmtId="0" fontId="3" fillId="2" borderId="6" xfId="0" applyFont="1" applyFill="1" applyBorder="1" applyAlignment="1">
      <alignment horizontal="left" indent="2"/>
    </xf>
    <xf numFmtId="0" fontId="3" fillId="2" borderId="5" xfId="0" applyFont="1" applyFill="1" applyBorder="1" applyAlignment="1">
      <alignment horizontal="left"/>
    </xf>
    <xf numFmtId="0" fontId="3" fillId="2" borderId="5" xfId="0" applyFont="1" applyFill="1" applyBorder="1" applyAlignment="1">
      <alignment horizontal="left" vertical="center"/>
    </xf>
    <xf numFmtId="0" fontId="16" fillId="2" borderId="6" xfId="0" applyFont="1" applyFill="1" applyBorder="1" applyAlignment="1"/>
    <xf numFmtId="0" fontId="6" fillId="2" borderId="6" xfId="0" applyFont="1" applyFill="1" applyBorder="1" applyAlignment="1"/>
    <xf numFmtId="0" fontId="3" fillId="2" borderId="6" xfId="0" applyFont="1" applyFill="1" applyBorder="1" applyAlignment="1">
      <alignment vertical="center"/>
    </xf>
    <xf numFmtId="0" fontId="6" fillId="2" borderId="9" xfId="0" applyFont="1" applyFill="1" applyBorder="1" applyAlignment="1"/>
    <xf numFmtId="3" fontId="3" fillId="2" borderId="10" xfId="0" applyNumberFormat="1" applyFont="1" applyFill="1" applyBorder="1" applyAlignment="1">
      <alignment horizontal="center"/>
    </xf>
    <xf numFmtId="0" fontId="6" fillId="2" borderId="7" xfId="0" applyFont="1" applyFill="1" applyBorder="1"/>
    <xf numFmtId="165" fontId="6" fillId="3" borderId="5" xfId="2" applyNumberFormat="1" applyFont="1" applyFill="1" applyBorder="1" applyAlignment="1">
      <alignment horizontal="center"/>
    </xf>
    <xf numFmtId="177" fontId="3" fillId="2" borderId="0" xfId="0" applyNumberFormat="1" applyFont="1" applyFill="1" applyBorder="1" applyAlignment="1">
      <alignment horizontal="center" vertical="center"/>
    </xf>
    <xf numFmtId="177" fontId="3" fillId="2" borderId="7" xfId="0" applyNumberFormat="1" applyFont="1" applyFill="1" applyBorder="1" applyAlignment="1">
      <alignment horizontal="center" vertical="center"/>
    </xf>
    <xf numFmtId="165" fontId="6" fillId="3" borderId="17" xfId="2" applyNumberFormat="1" applyFont="1" applyFill="1" applyBorder="1" applyAlignment="1">
      <alignment horizontal="center"/>
    </xf>
    <xf numFmtId="177" fontId="3" fillId="2" borderId="5" xfId="0" applyNumberFormat="1" applyFont="1" applyFill="1" applyBorder="1" applyAlignment="1">
      <alignment horizontal="center" vertical="center"/>
    </xf>
    <xf numFmtId="177" fontId="3" fillId="2" borderId="10" xfId="0" applyNumberFormat="1" applyFont="1" applyFill="1" applyBorder="1" applyAlignment="1">
      <alignment horizontal="center" vertical="center"/>
    </xf>
    <xf numFmtId="167" fontId="6" fillId="2" borderId="0" xfId="0" applyNumberFormat="1" applyFont="1" applyFill="1" applyBorder="1" applyAlignment="1">
      <alignment horizontal="center" vertical="center"/>
    </xf>
    <xf numFmtId="167" fontId="6" fillId="2" borderId="0" xfId="0" applyNumberFormat="1" applyFont="1" applyFill="1" applyBorder="1" applyAlignment="1">
      <alignment horizontal="center"/>
    </xf>
    <xf numFmtId="0" fontId="6" fillId="2" borderId="12" xfId="0" applyFont="1" applyFill="1" applyBorder="1" applyAlignment="1">
      <alignment wrapText="1"/>
    </xf>
    <xf numFmtId="0" fontId="6" fillId="2" borderId="0" xfId="0" applyFont="1" applyFill="1" applyBorder="1" applyAlignment="1">
      <alignment wrapText="1"/>
    </xf>
    <xf numFmtId="0" fontId="6" fillId="2" borderId="6" xfId="0" applyFont="1" applyFill="1" applyBorder="1" applyAlignment="1">
      <alignment wrapText="1"/>
    </xf>
    <xf numFmtId="167" fontId="6" fillId="2" borderId="12" xfId="3" applyNumberFormat="1" applyFont="1" applyFill="1" applyBorder="1" applyAlignment="1">
      <alignment horizontal="center" vertical="center"/>
    </xf>
    <xf numFmtId="167" fontId="6" fillId="2" borderId="11" xfId="3" applyNumberFormat="1" applyFont="1" applyFill="1" applyBorder="1" applyAlignment="1">
      <alignment horizontal="center" vertical="center"/>
    </xf>
    <xf numFmtId="0" fontId="6" fillId="2" borderId="11" xfId="0" applyFont="1" applyFill="1" applyBorder="1" applyAlignment="1">
      <alignment horizontal="center" vertical="center"/>
    </xf>
    <xf numFmtId="0" fontId="6" fillId="2" borderId="11" xfId="0" applyFont="1" applyFill="1" applyBorder="1" applyAlignment="1">
      <alignment horizontal="center" wrapText="1"/>
    </xf>
    <xf numFmtId="168" fontId="6" fillId="2" borderId="12" xfId="0" applyNumberFormat="1" applyFont="1" applyFill="1" applyBorder="1" applyAlignment="1">
      <alignment horizontal="center" vertical="center"/>
    </xf>
    <xf numFmtId="0" fontId="3" fillId="2" borderId="11" xfId="0" applyFont="1" applyFill="1" applyBorder="1" applyAlignment="1">
      <alignment vertical="center" wrapText="1"/>
    </xf>
    <xf numFmtId="167" fontId="6" fillId="2" borderId="6" xfId="3" applyNumberFormat="1" applyFont="1" applyFill="1" applyBorder="1" applyAlignment="1">
      <alignment horizontal="center" vertical="center"/>
    </xf>
    <xf numFmtId="167" fontId="6" fillId="2" borderId="0" xfId="3" applyNumberFormat="1" applyFont="1" applyFill="1" applyBorder="1" applyAlignment="1">
      <alignment horizontal="center" vertical="center"/>
    </xf>
    <xf numFmtId="167" fontId="6" fillId="2" borderId="0" xfId="3" applyNumberFormat="1" applyFont="1" applyFill="1" applyBorder="1" applyAlignment="1">
      <alignment horizontal="center" wrapText="1"/>
    </xf>
    <xf numFmtId="168" fontId="6" fillId="2" borderId="6" xfId="0" applyNumberFormat="1" applyFont="1" applyFill="1" applyBorder="1" applyAlignment="1">
      <alignment horizontal="center" vertical="center"/>
    </xf>
    <xf numFmtId="0" fontId="6" fillId="2" borderId="0" xfId="0" applyFont="1" applyFill="1" applyBorder="1" applyAlignment="1">
      <alignment horizontal="left" vertical="center" wrapText="1"/>
    </xf>
    <xf numFmtId="44" fontId="6" fillId="2" borderId="0" xfId="3" applyFont="1" applyFill="1" applyBorder="1" applyAlignment="1">
      <alignment horizontal="center" vertical="center"/>
    </xf>
    <xf numFmtId="0" fontId="6" fillId="2" borderId="7" xfId="0" applyFont="1" applyFill="1" applyBorder="1" applyAlignment="1">
      <alignment horizontal="left" vertical="center"/>
    </xf>
    <xf numFmtId="9" fontId="6" fillId="2" borderId="7" xfId="0" applyNumberFormat="1" applyFont="1" applyFill="1" applyBorder="1" applyAlignment="1">
      <alignment horizontal="left" vertical="center"/>
    </xf>
    <xf numFmtId="171" fontId="6" fillId="2" borderId="0" xfId="3" applyNumberFormat="1" applyFont="1" applyFill="1" applyBorder="1" applyAlignment="1">
      <alignment horizontal="center" vertical="center"/>
    </xf>
    <xf numFmtId="0" fontId="3" fillId="2" borderId="6" xfId="0" applyFont="1" applyFill="1" applyBorder="1" applyAlignment="1">
      <alignment horizontal="left" indent="4"/>
    </xf>
    <xf numFmtId="44" fontId="3" fillId="2" borderId="0" xfId="3" applyFont="1" applyFill="1" applyBorder="1" applyAlignment="1">
      <alignment horizontal="center" vertical="center"/>
    </xf>
    <xf numFmtId="168" fontId="6" fillId="2" borderId="0" xfId="0" applyNumberFormat="1" applyFont="1" applyFill="1" applyBorder="1" applyAlignment="1">
      <alignment horizontal="center" vertical="center"/>
    </xf>
    <xf numFmtId="167" fontId="6" fillId="2" borderId="7" xfId="3" applyNumberFormat="1" applyFont="1" applyFill="1" applyBorder="1" applyAlignment="1">
      <alignment horizontal="center" vertical="center"/>
    </xf>
    <xf numFmtId="167" fontId="5" fillId="2" borderId="0" xfId="0" applyNumberFormat="1"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16" fillId="2" borderId="7" xfId="0" applyFont="1" applyFill="1" applyBorder="1" applyAlignment="1">
      <alignment horizontal="center" vertical="center" wrapText="1"/>
    </xf>
    <xf numFmtId="0" fontId="3" fillId="2" borderId="6" xfId="0" applyFont="1" applyFill="1" applyBorder="1" applyAlignment="1">
      <alignment horizontal="left" vertical="center" indent="2"/>
    </xf>
    <xf numFmtId="167" fontId="3" fillId="2" borderId="0" xfId="3" applyNumberFormat="1" applyFont="1" applyFill="1" applyBorder="1" applyAlignment="1">
      <alignment horizontal="center" vertical="center"/>
    </xf>
    <xf numFmtId="168" fontId="3" fillId="2" borderId="6" xfId="0" applyNumberFormat="1" applyFont="1" applyFill="1" applyBorder="1" applyAlignment="1">
      <alignment horizontal="center" vertical="center"/>
    </xf>
    <xf numFmtId="9" fontId="6" fillId="2" borderId="7" xfId="0" applyNumberFormat="1" applyFont="1" applyFill="1" applyBorder="1" applyAlignment="1">
      <alignment horizontal="center" vertical="center"/>
    </xf>
    <xf numFmtId="0" fontId="3" fillId="2" borderId="6" xfId="0" applyFont="1" applyFill="1" applyBorder="1" applyAlignment="1">
      <alignment horizontal="left" vertical="center" indent="4"/>
    </xf>
    <xf numFmtId="167" fontId="6" fillId="2" borderId="0" xfId="3" applyNumberFormat="1" applyFont="1" applyFill="1" applyBorder="1" applyAlignment="1">
      <alignment horizontal="left" vertical="center"/>
    </xf>
    <xf numFmtId="167" fontId="3" fillId="2" borderId="6" xfId="3" applyNumberFormat="1" applyFont="1" applyFill="1" applyBorder="1" applyAlignment="1">
      <alignment horizontal="center" vertical="center"/>
    </xf>
    <xf numFmtId="0" fontId="6" fillId="2" borderId="6" xfId="0" applyFont="1" applyFill="1" applyBorder="1" applyAlignment="1">
      <alignment horizontal="center"/>
    </xf>
    <xf numFmtId="0" fontId="6" fillId="2" borderId="7" xfId="0" applyFont="1" applyFill="1" applyBorder="1" applyAlignment="1">
      <alignment horizontal="center"/>
    </xf>
    <xf numFmtId="41" fontId="6" fillId="2" borderId="0" xfId="6" applyFont="1" applyFill="1" applyBorder="1" applyAlignment="1">
      <alignment horizontal="center" vertical="center"/>
    </xf>
    <xf numFmtId="9" fontId="6" fillId="2" borderId="7" xfId="0" applyNumberFormat="1" applyFont="1" applyFill="1" applyBorder="1" applyAlignment="1">
      <alignment horizontal="center"/>
    </xf>
    <xf numFmtId="0" fontId="6" fillId="2" borderId="6" xfId="0" applyFont="1" applyFill="1" applyBorder="1" applyAlignment="1">
      <alignment horizontal="left" indent="2"/>
    </xf>
    <xf numFmtId="6" fontId="6" fillId="2" borderId="0" xfId="0" applyNumberFormat="1" applyFont="1" applyFill="1" applyBorder="1" applyAlignment="1">
      <alignment horizontal="center"/>
    </xf>
    <xf numFmtId="0" fontId="6" fillId="2" borderId="6" xfId="0" applyFont="1" applyFill="1" applyBorder="1" applyAlignment="1">
      <alignment horizontal="left" indent="4"/>
    </xf>
    <xf numFmtId="0" fontId="24" fillId="2" borderId="6" xfId="0" applyFont="1" applyFill="1" applyBorder="1" applyAlignment="1"/>
    <xf numFmtId="6" fontId="6" fillId="2" borderId="5" xfId="0" applyNumberFormat="1" applyFont="1" applyFill="1" applyBorder="1" applyAlignment="1">
      <alignment horizontal="center"/>
    </xf>
    <xf numFmtId="0" fontId="6" fillId="2" borderId="5" xfId="0" applyFont="1" applyFill="1" applyBorder="1" applyAlignment="1">
      <alignment horizontal="center"/>
    </xf>
    <xf numFmtId="0" fontId="6" fillId="2" borderId="5" xfId="0" applyFont="1" applyFill="1" applyBorder="1" applyAlignment="1">
      <alignment horizontal="left" vertical="center"/>
    </xf>
    <xf numFmtId="0" fontId="6" fillId="2" borderId="0" xfId="0" applyFont="1" applyFill="1" applyBorder="1" applyAlignment="1">
      <alignment horizontal="center" vertical="center"/>
    </xf>
    <xf numFmtId="0" fontId="3" fillId="2" borderId="9" xfId="0" applyFont="1" applyFill="1" applyBorder="1" applyAlignment="1">
      <alignment horizontal="left" indent="2"/>
    </xf>
    <xf numFmtId="168" fontId="3" fillId="2" borderId="9" xfId="0" applyNumberFormat="1" applyFont="1" applyFill="1" applyBorder="1" applyAlignment="1">
      <alignment horizontal="center" vertical="center"/>
    </xf>
    <xf numFmtId="167" fontId="16" fillId="2" borderId="0" xfId="0" applyNumberFormat="1" applyFont="1" applyFill="1" applyBorder="1" applyAlignment="1">
      <alignment horizontal="center" vertical="center"/>
    </xf>
    <xf numFmtId="0" fontId="16" fillId="2" borderId="0" xfId="0" applyFont="1" applyFill="1" applyBorder="1" applyAlignment="1">
      <alignment horizontal="center" vertical="center"/>
    </xf>
    <xf numFmtId="0" fontId="6" fillId="2" borderId="0" xfId="0" applyFont="1" applyFill="1" applyAlignment="1"/>
    <xf numFmtId="3" fontId="3" fillId="2" borderId="0" xfId="0" applyNumberFormat="1" applyFont="1" applyFill="1" applyBorder="1" applyAlignment="1">
      <alignment horizontal="center" vertical="center" wrapText="1"/>
    </xf>
    <xf numFmtId="1" fontId="3" fillId="2" borderId="0" xfId="0" applyNumberFormat="1" applyFont="1" applyFill="1" applyBorder="1" applyAlignment="1">
      <alignment horizontal="center" vertical="center" wrapText="1"/>
    </xf>
    <xf numFmtId="165" fontId="3" fillId="2" borderId="6" xfId="2" applyNumberFormat="1" applyFont="1" applyFill="1" applyBorder="1" applyAlignment="1">
      <alignment horizontal="center" vertical="center"/>
    </xf>
    <xf numFmtId="165" fontId="3" fillId="2" borderId="0" xfId="2" applyNumberFormat="1" applyFont="1" applyFill="1" applyBorder="1" applyAlignment="1">
      <alignment horizontal="center" wrapText="1"/>
    </xf>
    <xf numFmtId="165" fontId="3" fillId="3" borderId="0" xfId="2" applyNumberFormat="1" applyFont="1" applyFill="1" applyBorder="1" applyAlignment="1">
      <alignment horizontal="center"/>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165" fontId="3" fillId="3" borderId="15" xfId="2" applyNumberFormat="1" applyFont="1" applyFill="1" applyBorder="1" applyAlignment="1">
      <alignment horizontal="center" vertical="center"/>
    </xf>
    <xf numFmtId="0" fontId="6"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Border="1" applyAlignment="1"/>
    <xf numFmtId="0" fontId="3" fillId="2" borderId="0" xfId="0" applyFont="1" applyFill="1" applyBorder="1" applyAlignment="1">
      <alignment horizontal="left" wrapText="1"/>
    </xf>
    <xf numFmtId="0" fontId="3" fillId="2" borderId="0" xfId="0" applyFont="1" applyFill="1" applyBorder="1" applyAlignment="1">
      <alignment wrapText="1"/>
    </xf>
    <xf numFmtId="0" fontId="3" fillId="2" borderId="0" xfId="0" applyFont="1" applyFill="1" applyBorder="1" applyAlignment="1">
      <alignment horizontal="center" vertical="center" wrapText="1"/>
    </xf>
    <xf numFmtId="165" fontId="6" fillId="3" borderId="0" xfId="2" applyNumberFormat="1" applyFont="1" applyFill="1" applyBorder="1" applyAlignment="1">
      <alignment horizontal="center"/>
    </xf>
    <xf numFmtId="0" fontId="6" fillId="2" borderId="7" xfId="0" applyFont="1" applyFill="1" applyBorder="1" applyAlignment="1">
      <alignment vertical="center"/>
    </xf>
    <xf numFmtId="0" fontId="3" fillId="2" borderId="0" xfId="0" applyFont="1" applyFill="1" applyBorder="1" applyAlignment="1">
      <alignment horizontal="left"/>
    </xf>
    <xf numFmtId="0" fontId="3" fillId="2" borderId="0" xfId="0" applyFont="1" applyFill="1" applyBorder="1" applyAlignment="1">
      <alignment horizontal="center"/>
    </xf>
    <xf numFmtId="0" fontId="3" fillId="2" borderId="7" xfId="0" applyFont="1" applyFill="1" applyBorder="1" applyAlignment="1">
      <alignment horizontal="center"/>
    </xf>
    <xf numFmtId="0" fontId="6" fillId="2" borderId="0" xfId="0" applyFont="1" applyFill="1" applyBorder="1" applyAlignment="1">
      <alignment horizontal="left"/>
    </xf>
    <xf numFmtId="165" fontId="6" fillId="3" borderId="15" xfId="2" applyNumberFormat="1" applyFont="1" applyFill="1" applyBorder="1" applyAlignment="1">
      <alignment horizontal="center"/>
    </xf>
    <xf numFmtId="0" fontId="6" fillId="2" borderId="0" xfId="0" applyFont="1" applyFill="1" applyBorder="1" applyAlignment="1">
      <alignment horizontal="center" vertical="center"/>
    </xf>
    <xf numFmtId="6" fontId="6" fillId="2" borderId="0" xfId="0" applyNumberFormat="1" applyFont="1" applyFill="1" applyAlignment="1">
      <alignment vertical="center"/>
    </xf>
    <xf numFmtId="0" fontId="3" fillId="2" borderId="7" xfId="0" applyFont="1" applyFill="1" applyBorder="1" applyAlignment="1">
      <alignment horizontal="left" vertical="center" wrapText="1"/>
    </xf>
    <xf numFmtId="0" fontId="6" fillId="2" borderId="0" xfId="0" applyFont="1" applyFill="1" applyBorder="1" applyAlignment="1">
      <alignment horizontal="center" vertical="center"/>
    </xf>
    <xf numFmtId="10" fontId="3" fillId="3" borderId="15" xfId="2" applyNumberFormat="1"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lignment horizontal="left" wrapText="1"/>
    </xf>
    <xf numFmtId="166" fontId="16" fillId="2" borderId="0" xfId="1" applyNumberFormat="1" applyFont="1" applyFill="1" applyBorder="1" applyAlignment="1">
      <alignment horizontal="center" vertical="center"/>
    </xf>
    <xf numFmtId="178" fontId="1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3" fillId="0" borderId="6" xfId="0" applyFont="1" applyFill="1" applyBorder="1" applyAlignment="1">
      <alignment horizontal="left" indent="2"/>
    </xf>
    <xf numFmtId="167" fontId="6" fillId="2" borderId="5" xfId="3" applyNumberFormat="1" applyFont="1" applyFill="1" applyBorder="1" applyAlignment="1">
      <alignment horizontal="center" vertical="center"/>
    </xf>
    <xf numFmtId="165" fontId="3" fillId="2" borderId="0" xfId="0" applyNumberFormat="1" applyFont="1" applyFill="1" applyBorder="1" applyAlignment="1">
      <alignment horizontal="center"/>
    </xf>
    <xf numFmtId="0" fontId="6" fillId="2" borderId="0" xfId="0" applyFont="1" applyFill="1" applyBorder="1" applyAlignment="1">
      <alignment horizontal="center" vertical="center"/>
    </xf>
    <xf numFmtId="170" fontId="6" fillId="2" borderId="0" xfId="0" applyNumberFormat="1" applyFont="1" applyFill="1" applyBorder="1" applyAlignment="1">
      <alignment horizontal="center" vertical="center"/>
    </xf>
    <xf numFmtId="0" fontId="16" fillId="3" borderId="21" xfId="0" applyFont="1" applyFill="1" applyBorder="1"/>
    <xf numFmtId="0" fontId="6" fillId="3" borderId="19" xfId="0" applyFont="1" applyFill="1" applyBorder="1" applyAlignment="1"/>
    <xf numFmtId="0" fontId="16" fillId="3" borderId="19" xfId="0" applyFont="1" applyFill="1" applyBorder="1"/>
    <xf numFmtId="0" fontId="6" fillId="3" borderId="20" xfId="0" applyFont="1" applyFill="1" applyBorder="1" applyAlignment="1"/>
    <xf numFmtId="0" fontId="17" fillId="2" borderId="0" xfId="0" applyFont="1" applyFill="1"/>
    <xf numFmtId="0" fontId="4" fillId="2" borderId="0" xfId="0" applyFont="1" applyFill="1" applyAlignment="1"/>
    <xf numFmtId="0" fontId="6" fillId="2" borderId="12" xfId="0" applyFont="1" applyFill="1" applyBorder="1" applyAlignment="1">
      <alignment horizontal="left" vertical="center"/>
    </xf>
    <xf numFmtId="0" fontId="6" fillId="2" borderId="11" xfId="0" applyFont="1" applyFill="1" applyBorder="1" applyAlignment="1">
      <alignment horizontal="left" vertical="center"/>
    </xf>
    <xf numFmtId="0" fontId="24" fillId="2" borderId="11" xfId="0" applyFont="1" applyFill="1" applyBorder="1" applyAlignment="1">
      <alignment horizontal="left" vertical="center"/>
    </xf>
    <xf numFmtId="0" fontId="6" fillId="2" borderId="13" xfId="0" applyFont="1" applyFill="1" applyBorder="1" applyAlignment="1">
      <alignment horizontal="left" vertical="center"/>
    </xf>
    <xf numFmtId="0" fontId="6" fillId="2" borderId="9" xfId="0" applyFont="1" applyFill="1" applyBorder="1" applyAlignment="1">
      <alignment horizontal="left" vertical="center"/>
    </xf>
    <xf numFmtId="0" fontId="6" fillId="2" borderId="5"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6" xfId="0" applyFont="1" applyFill="1" applyBorder="1" applyAlignment="1">
      <alignment horizontal="left" vertical="center" indent="1"/>
    </xf>
    <xf numFmtId="166" fontId="6" fillId="2" borderId="0" xfId="1" applyNumberFormat="1" applyFont="1" applyFill="1" applyBorder="1" applyAlignment="1">
      <alignment horizontal="center" vertical="center"/>
    </xf>
    <xf numFmtId="166" fontId="4" fillId="2" borderId="0" xfId="1" applyNumberFormat="1" applyFont="1" applyFill="1" applyBorder="1" applyAlignment="1">
      <alignment horizontal="center" vertical="center"/>
    </xf>
    <xf numFmtId="0" fontId="6" fillId="2" borderId="9" xfId="0" applyFont="1" applyFill="1" applyBorder="1" applyAlignment="1">
      <alignment horizontal="left" vertical="center" indent="1"/>
    </xf>
    <xf numFmtId="166" fontId="6" fillId="2" borderId="5" xfId="1" applyNumberFormat="1" applyFont="1" applyFill="1" applyBorder="1" applyAlignment="1">
      <alignment horizontal="center" vertical="center"/>
    </xf>
    <xf numFmtId="167" fontId="6" fillId="2" borderId="5" xfId="1" applyNumberFormat="1" applyFont="1" applyFill="1" applyBorder="1" applyAlignment="1">
      <alignment horizontal="center" vertical="center"/>
    </xf>
    <xf numFmtId="167" fontId="6" fillId="2" borderId="5" xfId="0" applyNumberFormat="1" applyFont="1" applyFill="1" applyBorder="1" applyAlignment="1">
      <alignment horizontal="center" vertical="center"/>
    </xf>
    <xf numFmtId="0" fontId="6" fillId="2" borderId="10" xfId="0" applyFont="1" applyFill="1" applyBorder="1" applyAlignment="1">
      <alignment horizontal="left" vertical="center"/>
    </xf>
    <xf numFmtId="165" fontId="6" fillId="2" borderId="0" xfId="2" applyNumberFormat="1" applyFont="1" applyFill="1" applyBorder="1" applyAlignment="1">
      <alignment horizontal="center" vertical="center"/>
    </xf>
    <xf numFmtId="9" fontId="6" fillId="2" borderId="0" xfId="2" applyFont="1" applyFill="1" applyBorder="1" applyAlignment="1"/>
    <xf numFmtId="3" fontId="6" fillId="2" borderId="0" xfId="0" applyNumberFormat="1" applyFont="1" applyFill="1" applyBorder="1" applyAlignment="1"/>
    <xf numFmtId="0" fontId="6" fillId="2" borderId="9" xfId="0" applyFont="1" applyFill="1" applyBorder="1" applyAlignment="1">
      <alignment horizontal="left" indent="4"/>
    </xf>
    <xf numFmtId="9" fontId="6" fillId="2" borderId="5" xfId="2" applyFont="1" applyFill="1" applyBorder="1" applyAlignment="1"/>
    <xf numFmtId="0" fontId="6" fillId="2" borderId="5" xfId="0" applyFont="1" applyFill="1" applyBorder="1" applyAlignment="1"/>
    <xf numFmtId="167" fontId="4" fillId="2" borderId="0" xfId="0" applyNumberFormat="1" applyFont="1" applyFill="1" applyBorder="1" applyAlignment="1">
      <alignment horizontal="center" vertical="center"/>
    </xf>
    <xf numFmtId="3" fontId="6" fillId="2" borderId="0" xfId="1" applyNumberFormat="1" applyFont="1" applyFill="1" applyBorder="1" applyAlignment="1">
      <alignment horizontal="center" vertical="center"/>
    </xf>
    <xf numFmtId="0" fontId="6" fillId="2" borderId="6" xfId="0" applyFont="1" applyFill="1" applyBorder="1" applyAlignment="1">
      <alignment horizontal="left" vertical="center" indent="2"/>
    </xf>
    <xf numFmtId="0" fontId="24" fillId="2" borderId="6" xfId="0" applyFont="1" applyFill="1" applyBorder="1" applyAlignment="1">
      <alignment horizontal="left" vertical="center" indent="3"/>
    </xf>
    <xf numFmtId="0" fontId="6" fillId="2" borderId="6" xfId="0" applyFont="1" applyFill="1" applyBorder="1" applyAlignment="1">
      <alignment horizontal="left" vertical="center" indent="4"/>
    </xf>
    <xf numFmtId="174" fontId="6" fillId="2" borderId="0" xfId="0" applyNumberFormat="1" applyFont="1" applyFill="1" applyBorder="1" applyAlignment="1">
      <alignment horizontal="center" vertical="center"/>
    </xf>
    <xf numFmtId="10" fontId="6" fillId="2" borderId="0" xfId="2" applyNumberFormat="1" applyFont="1" applyFill="1" applyBorder="1" applyAlignment="1">
      <alignment horizontal="center" vertical="center"/>
    </xf>
    <xf numFmtId="0" fontId="6" fillId="2" borderId="6" xfId="0" applyFont="1" applyFill="1" applyBorder="1" applyAlignment="1">
      <alignment horizontal="left" vertical="center" indent="6"/>
    </xf>
    <xf numFmtId="0" fontId="6" fillId="2" borderId="6" xfId="0" applyFont="1" applyFill="1" applyBorder="1" applyAlignment="1">
      <alignment horizontal="left" vertical="center" indent="7"/>
    </xf>
    <xf numFmtId="0" fontId="6" fillId="2" borderId="6" xfId="0" applyFont="1" applyFill="1" applyBorder="1" applyAlignment="1">
      <alignment horizontal="left" vertical="center" indent="3"/>
    </xf>
    <xf numFmtId="9" fontId="6" fillId="2" borderId="0" xfId="2" applyNumberFormat="1" applyFont="1" applyFill="1" applyBorder="1" applyAlignment="1">
      <alignment horizontal="center" vertical="center"/>
    </xf>
    <xf numFmtId="174" fontId="6" fillId="2" borderId="0" xfId="1" applyNumberFormat="1" applyFont="1" applyFill="1" applyBorder="1" applyAlignment="1">
      <alignment horizontal="center" vertical="center"/>
    </xf>
    <xf numFmtId="0" fontId="6" fillId="2" borderId="6" xfId="0" applyFont="1" applyFill="1" applyBorder="1" applyAlignment="1">
      <alignment horizontal="left" vertical="center" indent="5"/>
    </xf>
    <xf numFmtId="0" fontId="6" fillId="2" borderId="9" xfId="0" applyFont="1" applyFill="1" applyBorder="1" applyAlignment="1">
      <alignment horizontal="left" vertical="center" indent="3"/>
    </xf>
    <xf numFmtId="170" fontId="6" fillId="2" borderId="5" xfId="0" applyNumberFormat="1" applyFont="1" applyFill="1" applyBorder="1" applyAlignment="1">
      <alignment horizontal="center" vertical="center"/>
    </xf>
    <xf numFmtId="171" fontId="6" fillId="2" borderId="5" xfId="3" applyNumberFormat="1" applyFont="1" applyFill="1" applyBorder="1" applyAlignment="1">
      <alignment horizontal="center" vertical="center"/>
    </xf>
    <xf numFmtId="0" fontId="6" fillId="2" borderId="21" xfId="0" applyFont="1" applyFill="1" applyBorder="1" applyAlignment="1"/>
    <xf numFmtId="0" fontId="6" fillId="2" borderId="19" xfId="0" applyFont="1" applyFill="1" applyBorder="1" applyAlignment="1"/>
    <xf numFmtId="0" fontId="6" fillId="2" borderId="20" xfId="0" applyFont="1" applyFill="1" applyBorder="1" applyAlignment="1"/>
    <xf numFmtId="3" fontId="6" fillId="2" borderId="0" xfId="0" applyNumberFormat="1" applyFont="1" applyFill="1" applyAlignment="1"/>
    <xf numFmtId="0" fontId="0" fillId="2" borderId="0" xfId="0" applyFill="1"/>
    <xf numFmtId="166" fontId="0" fillId="2" borderId="0" xfId="0" applyNumberFormat="1" applyFill="1"/>
    <xf numFmtId="0" fontId="6" fillId="2" borderId="0" xfId="0" applyFont="1" applyFill="1"/>
    <xf numFmtId="9" fontId="6" fillId="2" borderId="0" xfId="2" applyFont="1" applyFill="1"/>
    <xf numFmtId="0" fontId="6" fillId="2" borderId="11" xfId="0" applyFont="1" applyFill="1" applyBorder="1" applyAlignment="1"/>
    <xf numFmtId="0" fontId="6" fillId="2" borderId="11" xfId="0" applyFont="1" applyFill="1" applyBorder="1"/>
    <xf numFmtId="0" fontId="6" fillId="2" borderId="13" xfId="0" applyFont="1" applyFill="1" applyBorder="1"/>
    <xf numFmtId="0" fontId="6" fillId="2" borderId="12" xfId="0" applyFont="1" applyFill="1" applyBorder="1" applyAlignment="1"/>
    <xf numFmtId="0" fontId="6" fillId="2" borderId="13" xfId="0" applyFont="1" applyFill="1" applyBorder="1" applyAlignment="1"/>
    <xf numFmtId="0" fontId="3" fillId="2" borderId="6" xfId="0" applyFont="1" applyFill="1" applyBorder="1" applyAlignment="1"/>
    <xf numFmtId="0" fontId="6" fillId="2" borderId="12" xfId="0" applyFont="1" applyFill="1" applyBorder="1"/>
    <xf numFmtId="0" fontId="6" fillId="2" borderId="11" xfId="0" applyFont="1" applyFill="1" applyBorder="1" applyAlignment="1">
      <alignment horizontal="right"/>
    </xf>
    <xf numFmtId="171" fontId="6" fillId="2" borderId="13" xfId="0" applyNumberFormat="1" applyFont="1" applyFill="1" applyBorder="1" applyAlignment="1"/>
    <xf numFmtId="0" fontId="6" fillId="2" borderId="6" xfId="0" applyFont="1" applyFill="1" applyBorder="1"/>
    <xf numFmtId="3" fontId="6" fillId="2" borderId="0" xfId="0" applyNumberFormat="1" applyFont="1" applyFill="1" applyBorder="1"/>
    <xf numFmtId="166" fontId="3" fillId="2" borderId="0" xfId="0" applyNumberFormat="1" applyFont="1" applyFill="1" applyBorder="1"/>
    <xf numFmtId="9" fontId="6" fillId="2" borderId="7" xfId="2" applyFont="1" applyFill="1" applyBorder="1"/>
    <xf numFmtId="0" fontId="3" fillId="2" borderId="9" xfId="0" applyFont="1" applyFill="1" applyBorder="1" applyAlignment="1"/>
    <xf numFmtId="0" fontId="3" fillId="2" borderId="10" xfId="0" applyFont="1" applyFill="1" applyBorder="1" applyAlignment="1">
      <alignment horizontal="left"/>
    </xf>
    <xf numFmtId="3" fontId="15" fillId="2" borderId="6" xfId="0" applyNumberFormat="1" applyFont="1" applyFill="1" applyBorder="1" applyAlignment="1" applyProtection="1">
      <alignment horizontal="left"/>
    </xf>
    <xf numFmtId="175" fontId="3" fillId="2" borderId="0" xfId="0" applyNumberFormat="1" applyFont="1" applyFill="1" applyBorder="1" applyAlignment="1">
      <alignment horizontal="left"/>
    </xf>
    <xf numFmtId="176" fontId="3" fillId="2" borderId="7" xfId="0" applyNumberFormat="1" applyFont="1" applyFill="1" applyBorder="1" applyAlignment="1">
      <alignment horizontal="left"/>
    </xf>
    <xf numFmtId="0" fontId="6" fillId="2" borderId="0" xfId="0" applyFont="1" applyFill="1" applyBorder="1" applyAlignment="1">
      <alignment horizontal="right"/>
    </xf>
    <xf numFmtId="0" fontId="3" fillId="2" borderId="0" xfId="0" applyFont="1" applyFill="1" applyBorder="1"/>
    <xf numFmtId="3" fontId="3" fillId="2" borderId="7" xfId="0" applyNumberFormat="1" applyFont="1" applyFill="1" applyBorder="1" applyAlignment="1">
      <alignment horizontal="right"/>
    </xf>
    <xf numFmtId="172" fontId="6" fillId="2" borderId="7" xfId="0" applyNumberFormat="1" applyFont="1" applyFill="1" applyBorder="1" applyAlignment="1"/>
    <xf numFmtId="3" fontId="3" fillId="2" borderId="7" xfId="0" applyNumberFormat="1" applyFont="1" applyFill="1" applyBorder="1" applyAlignment="1"/>
    <xf numFmtId="171" fontId="6" fillId="2" borderId="7" xfId="0" applyNumberFormat="1" applyFont="1" applyFill="1" applyBorder="1" applyAlignment="1"/>
    <xf numFmtId="0" fontId="6" fillId="2" borderId="5" xfId="0" applyFont="1" applyFill="1" applyBorder="1" applyAlignment="1">
      <alignment horizontal="right"/>
    </xf>
    <xf numFmtId="6" fontId="6" fillId="2" borderId="10" xfId="0" applyNumberFormat="1" applyFont="1" applyFill="1" applyBorder="1" applyAlignment="1"/>
    <xf numFmtId="0" fontId="4" fillId="2" borderId="5" xfId="0" applyFont="1" applyFill="1" applyBorder="1" applyAlignment="1"/>
    <xf numFmtId="9" fontId="6" fillId="2" borderId="0" xfId="2" applyFont="1" applyFill="1" applyAlignment="1"/>
    <xf numFmtId="0" fontId="6" fillId="2" borderId="9" xfId="0" applyFont="1" applyFill="1" applyBorder="1"/>
    <xf numFmtId="0" fontId="6" fillId="2" borderId="5" xfId="0" applyFont="1" applyFill="1" applyBorder="1"/>
    <xf numFmtId="0" fontId="6" fillId="2" borderId="10" xfId="0" applyFont="1" applyFill="1" applyBorder="1"/>
    <xf numFmtId="0" fontId="3" fillId="2" borderId="6" xfId="0" applyFont="1" applyFill="1" applyBorder="1" applyAlignment="1">
      <alignment horizontal="left"/>
    </xf>
    <xf numFmtId="3" fontId="15" fillId="2" borderId="9" xfId="0" applyNumberFormat="1" applyFont="1" applyFill="1" applyBorder="1" applyAlignment="1" applyProtection="1">
      <alignment horizontal="left"/>
    </xf>
    <xf numFmtId="175" fontId="3" fillId="2" borderId="5" xfId="0" applyNumberFormat="1" applyFont="1" applyFill="1" applyBorder="1" applyAlignment="1">
      <alignment horizontal="left"/>
    </xf>
    <xf numFmtId="176" fontId="3" fillId="2" borderId="10" xfId="0" applyNumberFormat="1" applyFont="1" applyFill="1" applyBorder="1" applyAlignment="1">
      <alignment horizontal="left"/>
    </xf>
    <xf numFmtId="171" fontId="6" fillId="2" borderId="0" xfId="3" applyNumberFormat="1" applyFont="1" applyFill="1" applyBorder="1" applyAlignment="1"/>
    <xf numFmtId="3" fontId="6" fillId="2" borderId="19" xfId="0" applyNumberFormat="1" applyFont="1" applyFill="1" applyBorder="1" applyAlignment="1"/>
    <xf numFmtId="174" fontId="6" fillId="2" borderId="20" xfId="0" applyNumberFormat="1" applyFont="1" applyFill="1" applyBorder="1" applyAlignment="1">
      <alignment horizontal="left"/>
    </xf>
    <xf numFmtId="8" fontId="6" fillId="2" borderId="0" xfId="0" applyNumberFormat="1" applyFont="1" applyFill="1" applyAlignment="1"/>
    <xf numFmtId="3" fontId="3" fillId="2" borderId="10" xfId="0" applyNumberFormat="1" applyFont="1" applyFill="1" applyBorder="1" applyAlignment="1"/>
    <xf numFmtId="0" fontId="25" fillId="2" borderId="12" xfId="0" applyFont="1" applyFill="1" applyBorder="1" applyAlignment="1"/>
    <xf numFmtId="0" fontId="3" fillId="2" borderId="13" xfId="0" applyFont="1" applyFill="1" applyBorder="1" applyAlignment="1">
      <alignment horizontal="left"/>
    </xf>
    <xf numFmtId="0" fontId="25" fillId="2" borderId="6" xfId="0" applyFont="1" applyFill="1" applyBorder="1" applyAlignment="1">
      <alignment horizontal="left"/>
    </xf>
    <xf numFmtId="0" fontId="25" fillId="2" borderId="9" xfId="0" applyFont="1" applyFill="1" applyBorder="1" applyAlignment="1">
      <alignment horizontal="left"/>
    </xf>
    <xf numFmtId="0" fontId="6" fillId="2" borderId="20" xfId="0" applyFont="1" applyFill="1" applyBorder="1" applyAlignment="1">
      <alignment horizontal="left"/>
    </xf>
    <xf numFmtId="0" fontId="25" fillId="2" borderId="0" xfId="0" applyFont="1" applyFill="1" applyBorder="1" applyAlignment="1">
      <alignment horizontal="left"/>
    </xf>
    <xf numFmtId="171" fontId="6" fillId="2" borderId="0" xfId="0" applyNumberFormat="1" applyFont="1" applyFill="1" applyAlignment="1"/>
    <xf numFmtId="3" fontId="6" fillId="2" borderId="5" xfId="0" applyNumberFormat="1" applyFont="1" applyFill="1" applyBorder="1"/>
    <xf numFmtId="0" fontId="3" fillId="2" borderId="5" xfId="0" applyFont="1" applyFill="1" applyBorder="1"/>
    <xf numFmtId="0" fontId="4" fillId="2" borderId="19" xfId="0" applyFont="1" applyFill="1" applyBorder="1" applyAlignment="1"/>
    <xf numFmtId="0" fontId="4" fillId="2" borderId="20" xfId="0" applyFont="1" applyFill="1" applyBorder="1" applyAlignment="1"/>
    <xf numFmtId="0" fontId="3" fillId="2" borderId="0" xfId="0" applyFont="1" applyFill="1" applyAlignment="1"/>
    <xf numFmtId="3" fontId="6" fillId="2" borderId="0" xfId="0" applyNumberFormat="1" applyFont="1" applyFill="1"/>
    <xf numFmtId="166" fontId="3" fillId="2" borderId="0" xfId="0" applyNumberFormat="1" applyFont="1" applyFill="1"/>
    <xf numFmtId="0" fontId="3" fillId="2" borderId="0" xfId="0" applyFont="1" applyFill="1"/>
    <xf numFmtId="3" fontId="6" fillId="2" borderId="11" xfId="0" applyNumberFormat="1" applyFont="1" applyFill="1" applyBorder="1"/>
    <xf numFmtId="166" fontId="3" fillId="2" borderId="11" xfId="0" applyNumberFormat="1" applyFont="1" applyFill="1" applyBorder="1"/>
    <xf numFmtId="9" fontId="6" fillId="2" borderId="13" xfId="2" applyFont="1" applyFill="1" applyBorder="1"/>
    <xf numFmtId="0" fontId="3" fillId="2" borderId="21" xfId="0" applyFont="1" applyFill="1" applyBorder="1" applyAlignment="1"/>
    <xf numFmtId="0" fontId="6" fillId="2" borderId="19" xfId="0" applyFont="1" applyFill="1" applyBorder="1"/>
    <xf numFmtId="0" fontId="3" fillId="2" borderId="19" xfId="0" applyFont="1" applyFill="1" applyBorder="1" applyAlignment="1"/>
    <xf numFmtId="0" fontId="6" fillId="2" borderId="20" xfId="0" applyFont="1" applyFill="1" applyBorder="1"/>
    <xf numFmtId="0" fontId="3" fillId="0" borderId="0" xfId="0" applyFont="1" applyFill="1" applyBorder="1" applyAlignment="1"/>
    <xf numFmtId="3" fontId="3" fillId="2" borderId="7" xfId="0" applyNumberFormat="1" applyFont="1" applyFill="1" applyBorder="1" applyAlignment="1">
      <alignment horizontal="center" wrapText="1"/>
    </xf>
    <xf numFmtId="3" fontId="6" fillId="2" borderId="7" xfId="0" applyNumberFormat="1" applyFont="1" applyFill="1" applyBorder="1" applyAlignment="1">
      <alignment horizontal="center" vertical="center"/>
    </xf>
    <xf numFmtId="0" fontId="5" fillId="2" borderId="6" xfId="0" applyFont="1" applyFill="1" applyBorder="1" applyAlignment="1">
      <alignment horizontal="center" vertical="center" wrapText="1"/>
    </xf>
    <xf numFmtId="3" fontId="6" fillId="2" borderId="7" xfId="0" applyNumberFormat="1" applyFont="1" applyFill="1" applyBorder="1" applyAlignment="1">
      <alignment horizontal="center"/>
    </xf>
    <xf numFmtId="0" fontId="3" fillId="0" borderId="0" xfId="0" applyFont="1" applyFill="1" applyBorder="1" applyAlignment="1">
      <alignment horizontal="center"/>
    </xf>
    <xf numFmtId="0" fontId="10" fillId="2" borderId="0" xfId="0" applyFont="1" applyFill="1"/>
    <xf numFmtId="0" fontId="16" fillId="2" borderId="12" xfId="0" applyFont="1" applyFill="1" applyBorder="1" applyAlignment="1">
      <alignment wrapText="1"/>
    </xf>
    <xf numFmtId="0" fontId="16" fillId="2" borderId="11" xfId="0" applyFont="1" applyFill="1" applyBorder="1" applyAlignment="1">
      <alignment wrapText="1"/>
    </xf>
    <xf numFmtId="0" fontId="16" fillId="2" borderId="13" xfId="0" applyFont="1" applyFill="1" applyBorder="1" applyAlignment="1">
      <alignment wrapText="1"/>
    </xf>
    <xf numFmtId="44" fontId="6" fillId="2" borderId="6" xfId="3" applyFont="1" applyFill="1" applyBorder="1"/>
    <xf numFmtId="44" fontId="6" fillId="2" borderId="12" xfId="0" applyNumberFormat="1" applyFont="1" applyFill="1" applyBorder="1"/>
    <xf numFmtId="44" fontId="6" fillId="2" borderId="6" xfId="0" applyNumberFormat="1" applyFont="1" applyFill="1" applyBorder="1"/>
    <xf numFmtId="171" fontId="6" fillId="2" borderId="0" xfId="3" applyNumberFormat="1" applyFont="1" applyFill="1" applyBorder="1"/>
    <xf numFmtId="171" fontId="6" fillId="2" borderId="5" xfId="3" applyNumberFormat="1" applyFont="1" applyFill="1" applyBorder="1"/>
    <xf numFmtId="0" fontId="6" fillId="2" borderId="0" xfId="0" applyFont="1" applyFill="1" applyAlignment="1">
      <alignment horizontal="left"/>
    </xf>
    <xf numFmtId="0" fontId="5" fillId="2" borderId="0" xfId="0" applyFont="1" applyFill="1" applyAlignment="1"/>
    <xf numFmtId="1" fontId="6" fillId="2" borderId="0" xfId="0" applyNumberFormat="1" applyFont="1" applyFill="1" applyAlignment="1"/>
    <xf numFmtId="0" fontId="5" fillId="2" borderId="0" xfId="0" applyFont="1" applyFill="1" applyAlignment="1">
      <alignment horizontal="left"/>
    </xf>
    <xf numFmtId="0" fontId="3" fillId="2" borderId="0" xfId="8" applyFont="1" applyFill="1"/>
    <xf numFmtId="2" fontId="6" fillId="2" borderId="0" xfId="0" applyNumberFormat="1" applyFont="1" applyFill="1"/>
    <xf numFmtId="0" fontId="19" fillId="2" borderId="0" xfId="0" applyFont="1" applyFill="1" applyAlignment="1">
      <alignment wrapText="1"/>
    </xf>
    <xf numFmtId="0" fontId="20" fillId="2" borderId="0" xfId="0" applyFont="1" applyFill="1" applyAlignment="1">
      <alignment wrapText="1"/>
    </xf>
    <xf numFmtId="0" fontId="18" fillId="4" borderId="14" xfId="0" applyFont="1" applyFill="1" applyBorder="1" applyAlignment="1">
      <alignment horizontal="center"/>
    </xf>
    <xf numFmtId="0" fontId="18" fillId="4" borderId="14" xfId="0" applyFont="1" applyFill="1" applyBorder="1" applyAlignment="1">
      <alignment horizontal="left"/>
    </xf>
    <xf numFmtId="0" fontId="18" fillId="4" borderId="14" xfId="8" applyFont="1" applyFill="1" applyBorder="1" applyAlignment="1">
      <alignment horizontal="center"/>
    </xf>
    <xf numFmtId="0" fontId="3" fillId="2" borderId="0" xfId="4" applyFont="1" applyFill="1" applyAlignment="1"/>
    <xf numFmtId="171" fontId="3" fillId="2" borderId="0" xfId="3" applyNumberFormat="1" applyFont="1" applyFill="1" applyAlignment="1"/>
    <xf numFmtId="3" fontId="3" fillId="2" borderId="0" xfId="4" applyNumberFormat="1" applyFont="1" applyFill="1" applyAlignment="1"/>
    <xf numFmtId="0" fontId="5" fillId="2" borderId="0" xfId="0" applyFont="1" applyFill="1"/>
    <xf numFmtId="0" fontId="3" fillId="2" borderId="0" xfId="4" applyFont="1" applyFill="1"/>
    <xf numFmtId="0" fontId="18" fillId="4" borderId="14" xfId="0" applyFont="1" applyFill="1" applyBorder="1" applyAlignment="1"/>
    <xf numFmtId="0" fontId="18" fillId="4" borderId="14" xfId="4" applyFont="1" applyFill="1" applyBorder="1" applyAlignment="1"/>
    <xf numFmtId="0" fontId="3" fillId="2" borderId="0" xfId="0" applyFont="1" applyFill="1" applyAlignment="1">
      <alignment horizontal="center" vertical="center"/>
    </xf>
    <xf numFmtId="169" fontId="3" fillId="2" borderId="0" xfId="0" applyNumberFormat="1" applyFont="1" applyFill="1" applyAlignment="1">
      <alignment horizontal="center" vertical="center"/>
    </xf>
    <xf numFmtId="167" fontId="3" fillId="2" borderId="0" xfId="1" applyNumberFormat="1" applyFont="1" applyFill="1" applyAlignment="1">
      <alignment horizontal="center" vertical="center"/>
    </xf>
    <xf numFmtId="167" fontId="3" fillId="2" borderId="0" xfId="1" applyNumberFormat="1" applyFont="1" applyFill="1" applyBorder="1" applyAlignment="1">
      <alignment horizontal="center" vertical="center"/>
    </xf>
    <xf numFmtId="167" fontId="3" fillId="2" borderId="11" xfId="1" applyNumberFormat="1" applyFont="1" applyFill="1" applyBorder="1" applyAlignment="1">
      <alignment horizontal="center" vertical="center"/>
    </xf>
    <xf numFmtId="0" fontId="3" fillId="2" borderId="11" xfId="0" applyFont="1" applyFill="1" applyBorder="1"/>
    <xf numFmtId="0" fontId="3" fillId="2" borderId="13" xfId="0" applyFont="1" applyFill="1" applyBorder="1"/>
    <xf numFmtId="0" fontId="3" fillId="2" borderId="6" xfId="0" applyFont="1" applyFill="1" applyBorder="1" applyAlignment="1">
      <alignment horizontal="left" indent="1"/>
    </xf>
    <xf numFmtId="0" fontId="5" fillId="2" borderId="0" xfId="0" applyFont="1" applyFill="1" applyBorder="1"/>
    <xf numFmtId="0" fontId="3" fillId="2" borderId="7" xfId="0" applyFont="1" applyFill="1" applyBorder="1"/>
    <xf numFmtId="0" fontId="21" fillId="2" borderId="6" xfId="0" applyFont="1" applyFill="1" applyBorder="1" applyAlignment="1">
      <alignment horizontal="left"/>
    </xf>
    <xf numFmtId="0" fontId="21" fillId="2" borderId="6" xfId="0" applyFont="1" applyFill="1" applyBorder="1" applyAlignment="1"/>
    <xf numFmtId="167" fontId="3" fillId="2" borderId="5" xfId="1" applyNumberFormat="1" applyFont="1" applyFill="1" applyBorder="1" applyAlignment="1">
      <alignment horizontal="center" vertical="center"/>
    </xf>
    <xf numFmtId="0" fontId="3" fillId="2" borderId="10" xfId="0" applyFont="1" applyFill="1" applyBorder="1"/>
    <xf numFmtId="0" fontId="3" fillId="2" borderId="12" xfId="0" applyFont="1" applyFill="1" applyBorder="1"/>
    <xf numFmtId="0" fontId="3" fillId="2" borderId="11" xfId="0" applyFont="1" applyFill="1" applyBorder="1" applyAlignment="1">
      <alignment horizontal="left" vertical="center"/>
    </xf>
    <xf numFmtId="0" fontId="3" fillId="2" borderId="6" xfId="0" applyFont="1" applyFill="1" applyBorder="1"/>
    <xf numFmtId="0" fontId="3" fillId="2" borderId="6" xfId="0" applyFont="1" applyFill="1" applyBorder="1" applyAlignment="1">
      <alignment horizontal="left" wrapText="1"/>
    </xf>
    <xf numFmtId="166" fontId="3" fillId="2" borderId="12" xfId="0" applyNumberFormat="1" applyFont="1" applyFill="1" applyBorder="1" applyAlignment="1">
      <alignment horizontal="center" vertical="center"/>
    </xf>
    <xf numFmtId="0" fontId="3" fillId="2" borderId="13" xfId="0" applyFont="1" applyFill="1" applyBorder="1" applyAlignment="1">
      <alignment horizontal="center" vertical="center"/>
    </xf>
    <xf numFmtId="166" fontId="5" fillId="2" borderId="6" xfId="1" applyNumberFormat="1" applyFont="1" applyFill="1" applyBorder="1" applyAlignment="1">
      <alignment horizontal="center" vertical="center"/>
    </xf>
    <xf numFmtId="166" fontId="5" fillId="2" borderId="7" xfId="1" applyNumberFormat="1" applyFont="1" applyFill="1" applyBorder="1" applyAlignment="1">
      <alignment horizontal="center" vertical="center"/>
    </xf>
    <xf numFmtId="166" fontId="3" fillId="2" borderId="6" xfId="1" applyNumberFormat="1" applyFont="1" applyFill="1" applyBorder="1" applyAlignment="1">
      <alignment horizontal="center" vertical="center"/>
    </xf>
    <xf numFmtId="165" fontId="3" fillId="2" borderId="7" xfId="2" applyNumberFormat="1" applyFont="1" applyFill="1" applyBorder="1" applyAlignment="1">
      <alignment horizontal="center" vertical="center"/>
    </xf>
    <xf numFmtId="173" fontId="3" fillId="2" borderId="6" xfId="2" applyNumberFormat="1" applyFont="1" applyFill="1" applyBorder="1" applyAlignment="1">
      <alignment vertical="center"/>
    </xf>
    <xf numFmtId="173" fontId="3" fillId="2" borderId="7" xfId="2" applyNumberFormat="1" applyFont="1" applyFill="1" applyBorder="1" applyAlignment="1">
      <alignment vertical="center"/>
    </xf>
    <xf numFmtId="10" fontId="3" fillId="2" borderId="7" xfId="2" applyNumberFormat="1" applyFont="1" applyFill="1" applyBorder="1" applyAlignment="1">
      <alignment horizontal="center" vertical="center"/>
    </xf>
    <xf numFmtId="10" fontId="3" fillId="2" borderId="6" xfId="2" applyNumberFormat="1" applyFont="1" applyFill="1" applyBorder="1" applyAlignment="1">
      <alignment horizontal="center" vertical="center"/>
    </xf>
    <xf numFmtId="44" fontId="3" fillId="2" borderId="7" xfId="3" applyFont="1" applyFill="1" applyBorder="1" applyAlignment="1">
      <alignment horizontal="center" vertical="center"/>
    </xf>
    <xf numFmtId="167" fontId="3" fillId="2" borderId="13" xfId="1" applyNumberFormat="1" applyFont="1" applyFill="1" applyBorder="1" applyAlignment="1">
      <alignment horizontal="center"/>
    </xf>
    <xf numFmtId="167" fontId="3" fillId="2" borderId="7" xfId="1" applyNumberFormat="1" applyFont="1" applyFill="1" applyBorder="1" applyAlignment="1">
      <alignment horizontal="center" vertical="center"/>
    </xf>
    <xf numFmtId="167" fontId="3" fillId="2" borderId="7" xfId="3" applyNumberFormat="1" applyFont="1" applyFill="1" applyBorder="1" applyAlignment="1">
      <alignment horizontal="center" vertical="center"/>
    </xf>
    <xf numFmtId="167" fontId="3" fillId="2" borderId="10" xfId="3" applyNumberFormat="1" applyFont="1" applyFill="1" applyBorder="1" applyAlignment="1">
      <alignment horizontal="center" vertical="center"/>
    </xf>
    <xf numFmtId="169" fontId="3" fillId="2" borderId="7" xfId="1" applyNumberFormat="1" applyFont="1" applyFill="1" applyBorder="1" applyAlignment="1">
      <alignment horizontal="center" vertical="center"/>
    </xf>
    <xf numFmtId="167" fontId="3" fillId="2" borderId="10" xfId="1" applyNumberFormat="1" applyFont="1" applyFill="1" applyBorder="1" applyAlignment="1">
      <alignment horizontal="center" vertical="center"/>
    </xf>
    <xf numFmtId="43" fontId="3" fillId="2" borderId="13" xfId="1" applyFont="1" applyFill="1" applyBorder="1" applyAlignment="1">
      <alignment horizontal="center" vertical="center"/>
    </xf>
    <xf numFmtId="172" fontId="3" fillId="2" borderId="7" xfId="1" applyNumberFormat="1" applyFont="1" applyFill="1" applyBorder="1" applyAlignment="1">
      <alignment horizontal="center" vertical="center"/>
    </xf>
    <xf numFmtId="172" fontId="3" fillId="2" borderId="10" xfId="1" applyNumberFormat="1" applyFont="1" applyFill="1" applyBorder="1" applyAlignment="1">
      <alignment horizontal="center" vertical="center"/>
    </xf>
    <xf numFmtId="0" fontId="3" fillId="2" borderId="19" xfId="0" applyFont="1" applyFill="1" applyBorder="1" applyAlignment="1">
      <alignment horizontal="left"/>
    </xf>
    <xf numFmtId="0" fontId="3" fillId="2" borderId="20" xfId="0" applyFont="1" applyFill="1" applyBorder="1"/>
    <xf numFmtId="0" fontId="3" fillId="2" borderId="21" xfId="0" applyFont="1" applyFill="1" applyBorder="1"/>
    <xf numFmtId="0" fontId="3" fillId="2" borderId="9" xfId="0" applyFont="1" applyFill="1" applyBorder="1" applyAlignment="1">
      <alignment horizontal="left" indent="1"/>
    </xf>
    <xf numFmtId="166" fontId="3" fillId="2" borderId="9" xfId="1" applyNumberFormat="1" applyFont="1" applyFill="1" applyBorder="1" applyAlignment="1">
      <alignment horizontal="center" vertical="center"/>
    </xf>
    <xf numFmtId="166" fontId="3" fillId="2" borderId="10" xfId="1" applyNumberFormat="1" applyFont="1" applyFill="1" applyBorder="1" applyAlignment="1">
      <alignment horizontal="center" vertical="center"/>
    </xf>
    <xf numFmtId="0" fontId="3" fillId="2" borderId="9" xfId="0" applyFont="1" applyFill="1" applyBorder="1" applyAlignment="1">
      <alignment horizontal="left" indent="4"/>
    </xf>
    <xf numFmtId="165" fontId="3" fillId="2" borderId="9" xfId="2" applyNumberFormat="1" applyFont="1" applyFill="1" applyBorder="1" applyAlignment="1">
      <alignment horizontal="center" vertical="center"/>
    </xf>
    <xf numFmtId="10" fontId="3" fillId="2" borderId="10" xfId="2" applyNumberFormat="1" applyFont="1" applyFill="1" applyBorder="1" applyAlignment="1">
      <alignment horizontal="center" vertical="center"/>
    </xf>
    <xf numFmtId="165" fontId="3" fillId="2" borderId="10" xfId="2" applyNumberFormat="1" applyFont="1" applyFill="1" applyBorder="1" applyAlignment="1">
      <alignment horizontal="center" vertical="center"/>
    </xf>
    <xf numFmtId="167" fontId="6" fillId="2" borderId="10" xfId="3" applyNumberFormat="1" applyFont="1" applyFill="1" applyBorder="1" applyAlignment="1">
      <alignment horizontal="center" vertical="center"/>
    </xf>
    <xf numFmtId="165" fontId="3" fillId="2" borderId="6" xfId="2" applyNumberFormat="1" applyFont="1" applyFill="1" applyBorder="1" applyAlignment="1">
      <alignment horizontal="center" vertical="center"/>
    </xf>
    <xf numFmtId="165" fontId="3" fillId="2" borderId="7" xfId="2" applyNumberFormat="1"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6" fillId="2" borderId="0" xfId="0" applyFont="1" applyFill="1" applyBorder="1" applyAlignment="1">
      <alignment horizontal="center" vertical="center"/>
    </xf>
    <xf numFmtId="177" fontId="3" fillId="2" borderId="21" xfId="0" applyNumberFormat="1" applyFont="1" applyFill="1" applyBorder="1" applyAlignment="1">
      <alignment horizontal="center" vertical="center" wrapText="1"/>
    </xf>
    <xf numFmtId="177" fontId="3" fillId="2" borderId="19" xfId="0" applyNumberFormat="1" applyFont="1" applyFill="1" applyBorder="1" applyAlignment="1">
      <alignment horizontal="center" vertical="center"/>
    </xf>
    <xf numFmtId="177" fontId="3" fillId="2" borderId="20" xfId="0" applyNumberFormat="1" applyFont="1" applyFill="1" applyBorder="1" applyAlignment="1">
      <alignment horizontal="center" vertical="center"/>
    </xf>
    <xf numFmtId="0" fontId="3" fillId="2" borderId="19" xfId="0" applyNumberFormat="1" applyFont="1" applyFill="1" applyBorder="1" applyAlignment="1">
      <alignment horizontal="center" vertical="center" wrapText="1"/>
    </xf>
    <xf numFmtId="0" fontId="3" fillId="2" borderId="20" xfId="0" applyNumberFormat="1"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2" xfId="0" applyFont="1" applyFill="1" applyBorder="1" applyAlignment="1">
      <alignment horizontal="center" vertical="center" wrapText="1"/>
    </xf>
    <xf numFmtId="165" fontId="3" fillId="3" borderId="5" xfId="2" applyNumberFormat="1" applyFont="1" applyFill="1" applyBorder="1" applyAlignment="1">
      <alignment horizontal="center"/>
    </xf>
    <xf numFmtId="165" fontId="3" fillId="3" borderId="17" xfId="2" applyNumberFormat="1" applyFont="1" applyFill="1" applyBorder="1" applyAlignment="1">
      <alignment horizontal="center" vertical="center"/>
    </xf>
    <xf numFmtId="0" fontId="3" fillId="2" borderId="10" xfId="0" applyFont="1" applyFill="1" applyBorder="1" applyAlignment="1">
      <alignment horizontal="center"/>
    </xf>
    <xf numFmtId="0" fontId="3" fillId="2" borderId="4" xfId="0" applyFont="1" applyFill="1" applyBorder="1" applyAlignment="1">
      <alignment horizontal="left" indent="2"/>
    </xf>
    <xf numFmtId="0" fontId="3" fillId="2" borderId="4" xfId="0" applyFont="1" applyFill="1" applyBorder="1" applyAlignment="1">
      <alignment horizontal="left" indent="3"/>
    </xf>
    <xf numFmtId="0" fontId="3" fillId="2" borderId="4" xfId="0" applyFont="1" applyFill="1" applyBorder="1" applyAlignment="1">
      <alignment horizontal="left" vertical="center" indent="2"/>
    </xf>
    <xf numFmtId="0" fontId="3" fillId="2" borderId="4" xfId="0" applyFont="1" applyFill="1" applyBorder="1" applyAlignment="1">
      <alignment horizontal="left" vertical="center" indent="3"/>
    </xf>
    <xf numFmtId="0" fontId="3" fillId="2" borderId="8" xfId="0" applyFont="1" applyFill="1" applyBorder="1" applyAlignment="1">
      <alignment horizontal="left" indent="3"/>
    </xf>
    <xf numFmtId="3" fontId="3" fillId="2" borderId="0" xfId="0" applyNumberFormat="1" applyFont="1" applyFill="1" applyBorder="1" applyAlignment="1">
      <alignment horizontal="left" vertical="center"/>
    </xf>
    <xf numFmtId="3" fontId="3" fillId="2" borderId="5" xfId="0" applyNumberFormat="1" applyFont="1" applyFill="1" applyBorder="1" applyAlignment="1">
      <alignment horizontal="center"/>
    </xf>
    <xf numFmtId="0" fontId="3" fillId="2" borderId="1" xfId="0" applyFont="1" applyFill="1" applyBorder="1" applyAlignment="1">
      <alignment vertical="center" wrapText="1"/>
    </xf>
    <xf numFmtId="0" fontId="3" fillId="2" borderId="4" xfId="0" applyFont="1" applyFill="1" applyBorder="1" applyAlignment="1">
      <alignment vertical="center" wrapText="1"/>
    </xf>
    <xf numFmtId="167" fontId="6" fillId="3" borderId="17" xfId="3" applyNumberFormat="1" applyFont="1" applyFill="1" applyBorder="1" applyAlignment="1">
      <alignment horizontal="center" vertical="center"/>
    </xf>
    <xf numFmtId="0" fontId="21" fillId="2" borderId="6" xfId="0" applyFont="1" applyFill="1" applyBorder="1" applyAlignment="1">
      <alignment horizontal="left" indent="2"/>
    </xf>
    <xf numFmtId="0" fontId="24" fillId="2" borderId="6" xfId="0" applyFont="1" applyFill="1" applyBorder="1" applyAlignment="1">
      <alignment horizontal="left" vertical="center"/>
    </xf>
    <xf numFmtId="0" fontId="24" fillId="2" borderId="12" xfId="0" applyFont="1" applyFill="1" applyBorder="1" applyAlignment="1">
      <alignment horizontal="left" vertical="center"/>
    </xf>
    <xf numFmtId="0" fontId="21" fillId="2" borderId="1" xfId="0" applyFont="1" applyFill="1" applyBorder="1" applyAlignment="1">
      <alignment horizontal="left"/>
    </xf>
    <xf numFmtId="0" fontId="21" fillId="2" borderId="4" xfId="0" applyFont="1" applyFill="1" applyBorder="1" applyAlignment="1">
      <alignment horizontal="left"/>
    </xf>
    <xf numFmtId="0" fontId="2" fillId="2" borderId="9" xfId="0" applyFont="1" applyFill="1" applyBorder="1" applyAlignment="1">
      <alignment horizontal="left" wrapText="1"/>
    </xf>
    <xf numFmtId="3" fontId="3" fillId="2" borderId="7" xfId="3" applyNumberFormat="1" applyFont="1" applyFill="1" applyBorder="1" applyAlignment="1">
      <alignment horizontal="center" vertical="center"/>
    </xf>
    <xf numFmtId="3" fontId="3" fillId="2" borderId="0" xfId="3" applyNumberFormat="1" applyFont="1" applyFill="1" applyBorder="1" applyAlignment="1">
      <alignment horizontal="center" vertical="center"/>
    </xf>
    <xf numFmtId="0" fontId="3" fillId="2" borderId="21" xfId="0" applyFont="1" applyFill="1" applyBorder="1" applyAlignment="1">
      <alignment horizontal="center" vertical="center"/>
    </xf>
    <xf numFmtId="0" fontId="3" fillId="2" borderId="20" xfId="0" applyFont="1" applyFill="1" applyBorder="1" applyAlignment="1">
      <alignment horizontal="center" vertical="center"/>
    </xf>
    <xf numFmtId="165" fontId="3" fillId="2" borderId="9" xfId="2" applyNumberFormat="1" applyFont="1" applyFill="1" applyBorder="1" applyAlignment="1">
      <alignment horizontal="center" vertical="center"/>
    </xf>
    <xf numFmtId="165" fontId="3" fillId="2" borderId="6" xfId="2" applyNumberFormat="1" applyFont="1" applyFill="1" applyBorder="1" applyAlignment="1">
      <alignment horizontal="center" vertical="center"/>
    </xf>
    <xf numFmtId="3" fontId="3" fillId="2" borderId="7" xfId="0" applyNumberFormat="1" applyFont="1" applyFill="1" applyBorder="1" applyAlignment="1">
      <alignment horizontal="center" vertical="center" wrapText="1"/>
    </xf>
    <xf numFmtId="0" fontId="16" fillId="3" borderId="6" xfId="0" applyFont="1" applyFill="1" applyBorder="1" applyAlignment="1"/>
    <xf numFmtId="0" fontId="16" fillId="3" borderId="0" xfId="0" applyFont="1" applyFill="1" applyBorder="1" applyAlignment="1"/>
    <xf numFmtId="0" fontId="16" fillId="3" borderId="7" xfId="0" applyFont="1" applyFill="1" applyBorder="1" applyAlignment="1"/>
    <xf numFmtId="0" fontId="6" fillId="3" borderId="0" xfId="0" applyFont="1" applyFill="1" applyBorder="1" applyAlignment="1"/>
    <xf numFmtId="0" fontId="6" fillId="3" borderId="7" xfId="0" applyFont="1" applyFill="1" applyBorder="1" applyAlignment="1"/>
    <xf numFmtId="44" fontId="6" fillId="2" borderId="11" xfId="3" applyFont="1" applyFill="1" applyBorder="1"/>
    <xf numFmtId="44" fontId="6" fillId="2" borderId="0" xfId="3" applyFont="1" applyFill="1" applyBorder="1"/>
    <xf numFmtId="44" fontId="6" fillId="2" borderId="9" xfId="0" applyNumberFormat="1" applyFont="1" applyFill="1" applyBorder="1"/>
    <xf numFmtId="44" fontId="6" fillId="2" borderId="5" xfId="0" applyNumberFormat="1" applyFont="1" applyFill="1" applyBorder="1"/>
    <xf numFmtId="165" fontId="3" fillId="2" borderId="6" xfId="2" applyNumberFormat="1" applyFont="1" applyFill="1" applyBorder="1" applyAlignment="1">
      <alignment horizontal="center" vertical="center"/>
    </xf>
    <xf numFmtId="165" fontId="3" fillId="2" borderId="7" xfId="2" applyNumberFormat="1" applyFont="1" applyFill="1" applyBorder="1" applyAlignment="1">
      <alignment horizontal="center" vertical="center"/>
    </xf>
    <xf numFmtId="0" fontId="3" fillId="2" borderId="10" xfId="0" applyFont="1" applyFill="1" applyBorder="1" applyAlignment="1">
      <alignment horizontal="center" vertical="center" wrapText="1"/>
    </xf>
    <xf numFmtId="0" fontId="6" fillId="2" borderId="0" xfId="0" applyFont="1" applyFill="1" applyBorder="1" applyAlignment="1">
      <alignment horizontal="center" vertical="center"/>
    </xf>
    <xf numFmtId="170" fontId="6" fillId="2" borderId="0" xfId="0" applyNumberFormat="1" applyFont="1" applyFill="1" applyBorder="1" applyAlignment="1">
      <alignment horizontal="center" vertical="center"/>
    </xf>
    <xf numFmtId="0" fontId="3" fillId="2" borderId="7" xfId="0" applyFont="1" applyFill="1" applyBorder="1" applyAlignment="1">
      <alignment vertical="center" wrapText="1"/>
    </xf>
    <xf numFmtId="0" fontId="3" fillId="2" borderId="7" xfId="0" applyFont="1" applyFill="1" applyBorder="1" applyAlignment="1">
      <alignment wrapText="1"/>
    </xf>
    <xf numFmtId="0" fontId="3" fillId="2" borderId="10" xfId="0" applyFont="1" applyFill="1" applyBorder="1" applyAlignment="1">
      <alignment wrapText="1"/>
    </xf>
    <xf numFmtId="0" fontId="3" fillId="2" borderId="0" xfId="0" applyFont="1" applyFill="1" applyBorder="1" applyAlignment="1">
      <alignment vertical="center" wrapText="1"/>
    </xf>
    <xf numFmtId="0" fontId="6" fillId="2" borderId="0" xfId="0" applyFont="1" applyFill="1" applyBorder="1" applyAlignment="1">
      <alignment horizontal="center" vertical="center"/>
    </xf>
    <xf numFmtId="16" fontId="3" fillId="2" borderId="0" xfId="0" applyNumberFormat="1" applyFont="1" applyFill="1" applyBorder="1" applyAlignment="1">
      <alignment horizontal="left" vertical="center"/>
    </xf>
    <xf numFmtId="0" fontId="3" fillId="2" borderId="5" xfId="0" applyFont="1" applyFill="1" applyBorder="1" applyAlignment="1">
      <alignment horizontal="left" vertical="center" wrapText="1"/>
    </xf>
    <xf numFmtId="0" fontId="6" fillId="2" borderId="0" xfId="0" applyFont="1" applyFill="1" applyBorder="1" applyAlignment="1">
      <alignment vertical="center" wrapText="1"/>
    </xf>
    <xf numFmtId="0" fontId="3" fillId="2" borderId="5" xfId="0" applyFont="1" applyFill="1" applyBorder="1" applyAlignment="1">
      <alignment wrapText="1"/>
    </xf>
    <xf numFmtId="177" fontId="3" fillId="2" borderId="0" xfId="0" applyNumberFormat="1" applyFont="1" applyFill="1" applyBorder="1" applyAlignment="1">
      <alignment horizontal="left"/>
    </xf>
    <xf numFmtId="9" fontId="3" fillId="2" borderId="7" xfId="2" applyFont="1" applyFill="1" applyBorder="1" applyAlignment="1">
      <alignment horizontal="center" vertical="center"/>
    </xf>
    <xf numFmtId="0" fontId="6" fillId="2" borderId="6" xfId="0" applyFont="1" applyFill="1" applyBorder="1" applyAlignment="1">
      <alignment horizontal="left" vertical="center"/>
    </xf>
    <xf numFmtId="0" fontId="3" fillId="2" borderId="5" xfId="0" applyFont="1" applyFill="1" applyBorder="1" applyAlignment="1">
      <alignment horizontal="left" wrapText="1"/>
    </xf>
    <xf numFmtId="0" fontId="6" fillId="2" borderId="0" xfId="0" applyFont="1" applyFill="1" applyBorder="1" applyAlignment="1">
      <alignment horizontal="center" vertical="center"/>
    </xf>
    <xf numFmtId="0" fontId="3" fillId="2" borderId="4" xfId="0" applyFont="1" applyFill="1" applyBorder="1" applyAlignment="1">
      <alignment horizontal="left" indent="1"/>
    </xf>
    <xf numFmtId="167" fontId="3" fillId="2" borderId="4" xfId="1" applyNumberFormat="1" applyFont="1" applyFill="1" applyBorder="1" applyAlignment="1">
      <alignment horizontal="center" vertical="center"/>
    </xf>
    <xf numFmtId="3" fontId="3" fillId="2" borderId="0" xfId="0" applyNumberFormat="1" applyFont="1" applyFill="1" applyAlignment="1">
      <alignment horizontal="center" vertical="center"/>
    </xf>
    <xf numFmtId="0" fontId="3" fillId="2" borderId="11" xfId="0" applyFont="1" applyFill="1" applyBorder="1" applyAlignment="1">
      <alignment horizontal="center" vertical="center"/>
    </xf>
    <xf numFmtId="0" fontId="3" fillId="2" borderId="0" xfId="0" applyFont="1" applyFill="1" applyBorder="1" applyAlignment="1">
      <alignment horizontal="center" wrapText="1"/>
    </xf>
    <xf numFmtId="165" fontId="3" fillId="2" borderId="6" xfId="2" applyNumberFormat="1" applyFont="1" applyFill="1" applyBorder="1" applyAlignment="1">
      <alignment horizontal="center" vertical="center"/>
    </xf>
    <xf numFmtId="165" fontId="3" fillId="2" borderId="7" xfId="2" applyNumberFormat="1"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0" xfId="0" applyFont="1" applyFill="1" applyBorder="1" applyAlignment="1">
      <alignment horizontal="center" vertical="center"/>
    </xf>
    <xf numFmtId="165" fontId="3" fillId="2" borderId="5" xfId="2" applyNumberFormat="1" applyFont="1" applyFill="1" applyBorder="1" applyAlignment="1">
      <alignment horizontal="center" vertical="center"/>
    </xf>
    <xf numFmtId="165" fontId="3" fillId="2" borderId="0" xfId="2" applyNumberFormat="1" applyFont="1" applyFill="1" applyBorder="1" applyAlignment="1">
      <alignment horizontal="center"/>
    </xf>
    <xf numFmtId="167" fontId="3" fillId="2" borderId="19" xfId="1" applyNumberFormat="1" applyFont="1" applyFill="1" applyBorder="1" applyAlignment="1">
      <alignment horizontal="right"/>
    </xf>
    <xf numFmtId="0" fontId="3" fillId="2" borderId="4" xfId="0" applyFont="1" applyFill="1" applyBorder="1" applyAlignment="1">
      <alignment horizontal="center" vertical="center"/>
    </xf>
    <xf numFmtId="167" fontId="3" fillId="2" borderId="1" xfId="1" applyNumberFormat="1" applyFont="1" applyFill="1" applyBorder="1" applyAlignment="1">
      <alignment horizontal="center" vertical="center"/>
    </xf>
    <xf numFmtId="167" fontId="3" fillId="2" borderId="8" xfId="1" applyNumberFormat="1" applyFont="1" applyFill="1" applyBorder="1" applyAlignment="1">
      <alignment horizontal="center" vertical="center"/>
    </xf>
    <xf numFmtId="0" fontId="6" fillId="2" borderId="0" xfId="0" applyFont="1" applyFill="1" applyBorder="1" applyAlignment="1">
      <alignment horizontal="center" vertical="center"/>
    </xf>
    <xf numFmtId="3" fontId="6" fillId="2" borderId="5" xfId="0" applyNumberFormat="1" applyFont="1" applyFill="1" applyBorder="1" applyAlignment="1">
      <alignment horizontal="center" vertical="center"/>
    </xf>
    <xf numFmtId="9" fontId="6" fillId="2" borderId="10" xfId="0" applyNumberFormat="1" applyFont="1" applyFill="1" applyBorder="1" applyAlignment="1">
      <alignment horizontal="left" vertical="center"/>
    </xf>
    <xf numFmtId="0" fontId="6" fillId="0" borderId="13" xfId="0" applyFont="1" applyFill="1" applyBorder="1" applyAlignment="1">
      <alignment vertical="center"/>
    </xf>
    <xf numFmtId="167" fontId="3" fillId="0" borderId="7" xfId="3" applyNumberFormat="1" applyFont="1" applyFill="1" applyBorder="1" applyAlignment="1">
      <alignment horizontal="center" vertical="center"/>
    </xf>
    <xf numFmtId="0" fontId="6" fillId="0" borderId="6" xfId="0" applyFont="1" applyFill="1" applyBorder="1" applyAlignment="1">
      <alignment horizontal="left" indent="1"/>
    </xf>
    <xf numFmtId="167" fontId="3" fillId="2" borderId="6" xfId="1" applyNumberFormat="1" applyFont="1" applyFill="1" applyBorder="1" applyAlignment="1">
      <alignment horizontal="center" vertical="center"/>
    </xf>
    <xf numFmtId="3" fontId="6" fillId="2" borderId="7" xfId="0" applyNumberFormat="1" applyFont="1" applyFill="1" applyBorder="1" applyAlignment="1">
      <alignment horizontal="center" vertical="center" wrapText="1"/>
    </xf>
    <xf numFmtId="0" fontId="6" fillId="3" borderId="21" xfId="0" applyFont="1" applyFill="1" applyBorder="1" applyAlignment="1">
      <alignment horizontal="left"/>
    </xf>
    <xf numFmtId="0" fontId="6" fillId="3" borderId="19" xfId="0" applyFont="1" applyFill="1" applyBorder="1" applyAlignment="1">
      <alignment horizontal="left"/>
    </xf>
    <xf numFmtId="0" fontId="6" fillId="3" borderId="19" xfId="0" applyFont="1" applyFill="1" applyBorder="1" applyAlignment="1">
      <alignment horizontal="left" wrapText="1"/>
    </xf>
    <xf numFmtId="0" fontId="6" fillId="3" borderId="19" xfId="0" applyFont="1" applyFill="1" applyBorder="1" applyAlignment="1">
      <alignment horizontal="center" wrapText="1"/>
    </xf>
    <xf numFmtId="0" fontId="6" fillId="3" borderId="20" xfId="0" applyFont="1" applyFill="1" applyBorder="1" applyAlignment="1">
      <alignment horizontal="left"/>
    </xf>
    <xf numFmtId="0" fontId="6" fillId="2" borderId="7" xfId="0" applyFont="1" applyFill="1" applyBorder="1" applyAlignment="1">
      <alignment horizontal="left" vertical="center" wrapText="1"/>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6" fillId="2" borderId="0" xfId="0" applyFont="1" applyFill="1" applyBorder="1" applyAlignment="1">
      <alignment horizontal="center" vertical="center"/>
    </xf>
    <xf numFmtId="167" fontId="3" fillId="2" borderId="1" xfId="3" applyNumberFormat="1" applyFont="1" applyFill="1" applyBorder="1" applyAlignment="1">
      <alignment horizontal="center" vertical="center"/>
    </xf>
    <xf numFmtId="0" fontId="6" fillId="2" borderId="7" xfId="0" applyFont="1" applyFill="1" applyBorder="1" applyAlignment="1">
      <alignment horizontal="center" wrapText="1"/>
    </xf>
    <xf numFmtId="0" fontId="6" fillId="2" borderId="7" xfId="0" applyFont="1" applyFill="1" applyBorder="1" applyAlignment="1">
      <alignment wrapText="1"/>
    </xf>
    <xf numFmtId="0" fontId="3" fillId="3" borderId="2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6" xfId="0" applyFont="1" applyFill="1" applyBorder="1" applyAlignment="1">
      <alignment horizontal="center"/>
    </xf>
    <xf numFmtId="2" fontId="6" fillId="3" borderId="6" xfId="0" applyNumberFormat="1" applyFont="1" applyFill="1" applyBorder="1" applyAlignment="1">
      <alignment horizontal="center"/>
    </xf>
    <xf numFmtId="2" fontId="6" fillId="3" borderId="9" xfId="0" applyNumberFormat="1" applyFont="1" applyFill="1" applyBorder="1" applyAlignment="1">
      <alignment horizontal="center"/>
    </xf>
    <xf numFmtId="0" fontId="3" fillId="3" borderId="9" xfId="0" applyFont="1" applyFill="1" applyBorder="1" applyAlignment="1">
      <alignment horizontal="center"/>
    </xf>
    <xf numFmtId="3" fontId="6" fillId="2" borderId="7" xfId="0" applyNumberFormat="1" applyFont="1" applyFill="1" applyBorder="1" applyAlignment="1">
      <alignment horizontal="center" wrapText="1"/>
    </xf>
    <xf numFmtId="167" fontId="6" fillId="2" borderId="11" xfId="1" applyNumberFormat="1" applyFont="1" applyFill="1" applyBorder="1" applyAlignment="1">
      <alignment horizontal="center" vertical="center"/>
    </xf>
    <xf numFmtId="167" fontId="27" fillId="2" borderId="7" xfId="1" applyNumberFormat="1" applyFont="1" applyFill="1" applyBorder="1" applyAlignment="1">
      <alignment horizontal="center" vertical="center"/>
    </xf>
    <xf numFmtId="167" fontId="27" fillId="2" borderId="0" xfId="1" applyNumberFormat="1" applyFont="1" applyFill="1" applyBorder="1" applyAlignment="1">
      <alignment horizontal="center" vertical="center"/>
    </xf>
    <xf numFmtId="172" fontId="27" fillId="2" borderId="7" xfId="1" applyNumberFormat="1" applyFont="1" applyFill="1" applyBorder="1" applyAlignment="1">
      <alignment horizontal="center" vertical="center"/>
    </xf>
    <xf numFmtId="166" fontId="27" fillId="2" borderId="0" xfId="1" applyNumberFormat="1" applyFont="1" applyFill="1" applyBorder="1"/>
    <xf numFmtId="166" fontId="27" fillId="2" borderId="1" xfId="1" applyNumberFormat="1" applyFont="1" applyFill="1" applyBorder="1"/>
    <xf numFmtId="167" fontId="27" fillId="2" borderId="4" xfId="1" applyNumberFormat="1" applyFont="1" applyFill="1" applyBorder="1" applyAlignment="1">
      <alignment horizontal="center" vertical="center"/>
    </xf>
    <xf numFmtId="167" fontId="3" fillId="2" borderId="0" xfId="0" applyNumberFormat="1" applyFont="1" applyFill="1"/>
    <xf numFmtId="165" fontId="3" fillId="2" borderId="0" xfId="2" applyNumberFormat="1" applyFont="1" applyFill="1"/>
    <xf numFmtId="177" fontId="3" fillId="2" borderId="0" xfId="0" applyNumberFormat="1" applyFont="1" applyFill="1"/>
    <xf numFmtId="10" fontId="3" fillId="2" borderId="0" xfId="2" applyNumberFormat="1" applyFont="1" applyFill="1" applyBorder="1" applyAlignment="1">
      <alignment horizontal="center" vertical="center"/>
    </xf>
    <xf numFmtId="167" fontId="3" fillId="2" borderId="0" xfId="0" applyNumberFormat="1" applyFont="1" applyFill="1" applyAlignment="1">
      <alignment horizontal="center" vertical="center"/>
    </xf>
    <xf numFmtId="0" fontId="6" fillId="3" borderId="0" xfId="0" applyFont="1" applyFill="1" applyBorder="1" applyAlignment="1">
      <alignment vertical="center"/>
    </xf>
    <xf numFmtId="0" fontId="6" fillId="2" borderId="1" xfId="0" applyFont="1" applyFill="1" applyBorder="1" applyAlignment="1">
      <alignment vertical="center"/>
    </xf>
    <xf numFmtId="0" fontId="6" fillId="2" borderId="0" xfId="0" applyFont="1" applyFill="1" applyBorder="1" applyAlignment="1">
      <alignment horizontal="right" vertical="center"/>
    </xf>
    <xf numFmtId="0" fontId="6" fillId="2" borderId="9" xfId="0" applyFont="1" applyFill="1" applyBorder="1" applyAlignment="1">
      <alignment horizontal="right" vertical="center"/>
    </xf>
    <xf numFmtId="0" fontId="6" fillId="2" borderId="0" xfId="0" applyFont="1" applyFill="1" applyBorder="1" applyAlignment="1">
      <alignment horizontal="center" vertical="center"/>
    </xf>
    <xf numFmtId="171" fontId="6" fillId="2" borderId="11" xfId="3" applyNumberFormat="1" applyFont="1" applyFill="1" applyBorder="1"/>
    <xf numFmtId="0" fontId="6" fillId="2" borderId="12" xfId="0" applyFont="1" applyFill="1" applyBorder="1" applyAlignment="1">
      <alignment horizontal="right"/>
    </xf>
    <xf numFmtId="0" fontId="3" fillId="2" borderId="6" xfId="0" applyFont="1" applyFill="1" applyBorder="1" applyAlignment="1">
      <alignment horizontal="left" indent="5"/>
    </xf>
    <xf numFmtId="171" fontId="4" fillId="2" borderId="0" xfId="3" applyNumberFormat="1" applyFont="1" applyFill="1" applyAlignment="1">
      <alignment horizontal="center" vertical="center"/>
    </xf>
    <xf numFmtId="0" fontId="4" fillId="2" borderId="0" xfId="0" applyFont="1" applyFill="1" applyBorder="1" applyAlignment="1">
      <alignment horizontal="left" vertical="center"/>
    </xf>
    <xf numFmtId="165" fontId="3" fillId="2" borderId="9" xfId="2" applyNumberFormat="1" applyFont="1" applyFill="1" applyBorder="1" applyAlignment="1">
      <alignment horizontal="center" vertical="center"/>
    </xf>
    <xf numFmtId="165" fontId="3" fillId="2" borderId="10" xfId="2" applyNumberFormat="1" applyFont="1" applyFill="1" applyBorder="1" applyAlignment="1">
      <alignment horizontal="center" vertical="center"/>
    </xf>
    <xf numFmtId="165" fontId="3" fillId="2" borderId="6" xfId="2" applyNumberFormat="1" applyFont="1" applyFill="1" applyBorder="1" applyAlignment="1">
      <alignment horizontal="center" vertical="center"/>
    </xf>
    <xf numFmtId="165" fontId="3" fillId="2" borderId="7" xfId="2" applyNumberFormat="1" applyFont="1" applyFill="1" applyBorder="1" applyAlignment="1">
      <alignment horizontal="center" vertical="center"/>
    </xf>
    <xf numFmtId="0" fontId="3" fillId="2" borderId="9"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21" xfId="0" applyFont="1" applyFill="1" applyBorder="1" applyAlignment="1">
      <alignment horizontal="left" wrapText="1"/>
    </xf>
    <xf numFmtId="0" fontId="2" fillId="2" borderId="19" xfId="0" applyFont="1" applyFill="1" applyBorder="1" applyAlignment="1">
      <alignment horizontal="left" wrapText="1"/>
    </xf>
    <xf numFmtId="0" fontId="2" fillId="2" borderId="20" xfId="0" applyFont="1" applyFill="1" applyBorder="1" applyAlignment="1">
      <alignment horizontal="left" wrapText="1"/>
    </xf>
    <xf numFmtId="0" fontId="3" fillId="2" borderId="21" xfId="0" applyFont="1" applyFill="1" applyBorder="1" applyAlignment="1">
      <alignment horizontal="center" wrapText="1"/>
    </xf>
    <xf numFmtId="0" fontId="3" fillId="2" borderId="19" xfId="0" applyFont="1" applyFill="1" applyBorder="1" applyAlignment="1">
      <alignment horizontal="center" wrapText="1"/>
    </xf>
    <xf numFmtId="0" fontId="3" fillId="2" borderId="11" xfId="0" applyFont="1" applyFill="1" applyBorder="1" applyAlignment="1">
      <alignment horizontal="center" wrapText="1"/>
    </xf>
    <xf numFmtId="0" fontId="3" fillId="2" borderId="13" xfId="0" applyFont="1" applyFill="1" applyBorder="1" applyAlignment="1">
      <alignment horizontal="center" wrapText="1"/>
    </xf>
    <xf numFmtId="0" fontId="3" fillId="2" borderId="20" xfId="0" applyFont="1" applyFill="1" applyBorder="1" applyAlignment="1">
      <alignment horizontal="center" wrapText="1"/>
    </xf>
    <xf numFmtId="0" fontId="2" fillId="2" borderId="21"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6" fillId="2" borderId="1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5" xfId="0" applyFont="1" applyFill="1" applyBorder="1" applyAlignment="1">
      <alignment horizontal="center" vertical="center"/>
    </xf>
    <xf numFmtId="167" fontId="3" fillId="3" borderId="16" xfId="0" applyNumberFormat="1" applyFont="1" applyFill="1" applyBorder="1" applyAlignment="1">
      <alignment horizontal="center" vertical="center" wrapText="1"/>
    </xf>
    <xf numFmtId="167" fontId="3" fillId="3" borderId="15" xfId="0" applyNumberFormat="1" applyFont="1" applyFill="1" applyBorder="1" applyAlignment="1">
      <alignment horizontal="center" vertical="center" wrapText="1"/>
    </xf>
    <xf numFmtId="0" fontId="6" fillId="2" borderId="19"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6" fillId="2" borderId="19" xfId="0" applyFont="1" applyFill="1" applyBorder="1" applyAlignment="1">
      <alignment horizontal="center" vertical="center" wrapText="1"/>
    </xf>
    <xf numFmtId="170"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cellXfs>
  <cellStyles count="9">
    <cellStyle name="Comma" xfId="1" builtinId="3"/>
    <cellStyle name="Comma [0]" xfId="6" builtinId="6"/>
    <cellStyle name="Currency" xfId="3" builtinId="4"/>
    <cellStyle name="Normal" xfId="0" builtinId="0"/>
    <cellStyle name="Normal 2" xfId="4"/>
    <cellStyle name="Normal 3" xfId="5"/>
    <cellStyle name="Normal 3 2" xfId="8"/>
    <cellStyle name="Normal 4" xfId="7"/>
    <cellStyle name="Percent" xfId="2" builtinId="5"/>
  </cellStyles>
  <dxfs count="0"/>
  <tableStyles count="0" defaultTableStyle="TableStyleMedium2"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5"/>
  <sheetViews>
    <sheetView tabSelected="1" workbookViewId="0">
      <pane xSplit="1" ySplit="6" topLeftCell="B7" activePane="bottomRight" state="frozen"/>
      <selection pane="topRight" activeCell="B1" sqref="B1"/>
      <selection pane="bottomLeft" activeCell="A7" sqref="A7"/>
      <selection pane="bottomRight"/>
    </sheetView>
  </sheetViews>
  <sheetFormatPr defaultColWidth="9.140625" defaultRowHeight="12" x14ac:dyDescent="0.2"/>
  <cols>
    <col min="1" max="1" width="25.7109375" style="322" customWidth="1"/>
    <col min="2" max="6" width="15.7109375" style="363" customWidth="1"/>
    <col min="7" max="7" width="15.7109375" style="186" customWidth="1"/>
    <col min="8" max="8" width="15.7109375" style="363" customWidth="1"/>
    <col min="9" max="10" width="15.7109375" style="322" customWidth="1"/>
    <col min="11" max="11" width="14.85546875" style="322" bestFit="1" customWidth="1"/>
    <col min="12" max="16384" width="9.140625" style="322"/>
  </cols>
  <sheetData>
    <row r="1" spans="1:15" x14ac:dyDescent="0.2">
      <c r="F1" s="545"/>
      <c r="G1" s="546"/>
    </row>
    <row r="2" spans="1:15" ht="18.75" x14ac:dyDescent="0.3">
      <c r="A2" s="221" t="s">
        <v>895</v>
      </c>
      <c r="D2" s="365"/>
    </row>
    <row r="3" spans="1:15" x14ac:dyDescent="0.2">
      <c r="A3" s="363"/>
      <c r="C3" s="483"/>
      <c r="E3" s="536"/>
    </row>
    <row r="4" spans="1:15" x14ac:dyDescent="0.2">
      <c r="A4" s="377"/>
      <c r="B4" s="381"/>
      <c r="C4" s="382"/>
      <c r="D4" s="382"/>
      <c r="E4" s="378"/>
      <c r="F4" s="484"/>
      <c r="G4" s="530" t="s">
        <v>503</v>
      </c>
      <c r="H4" s="492">
        <f>(E7*'Table 2 Criminal justice'!B8)+('Table 2 Criminal justice'!B9*F7)</f>
        <v>594492633032.29297</v>
      </c>
      <c r="I4" s="401" t="s">
        <v>504</v>
      </c>
      <c r="J4" s="402"/>
      <c r="K4" s="322" t="s">
        <v>50</v>
      </c>
    </row>
    <row r="5" spans="1:15" ht="24" x14ac:dyDescent="0.2">
      <c r="A5" s="379"/>
      <c r="B5" s="551" t="s">
        <v>505</v>
      </c>
      <c r="C5" s="553"/>
      <c r="D5" s="464" t="s">
        <v>506</v>
      </c>
      <c r="E5" s="551" t="s">
        <v>808</v>
      </c>
      <c r="F5" s="552"/>
      <c r="G5" s="531">
        <f>(E7*B7)+(F7*C7)</f>
        <v>3554379074198.3267</v>
      </c>
      <c r="H5" s="87"/>
      <c r="I5" s="403" t="s">
        <v>507</v>
      </c>
      <c r="J5" s="402"/>
      <c r="K5" s="322" t="s">
        <v>50</v>
      </c>
    </row>
    <row r="6" spans="1:15" x14ac:dyDescent="0.2">
      <c r="A6" s="380" t="s">
        <v>508</v>
      </c>
      <c r="B6" s="448" t="s">
        <v>4</v>
      </c>
      <c r="C6" s="449" t="s">
        <v>5</v>
      </c>
      <c r="D6" s="87" t="s">
        <v>47</v>
      </c>
      <c r="E6" s="186" t="s">
        <v>4</v>
      </c>
      <c r="F6" s="186" t="s">
        <v>5</v>
      </c>
      <c r="G6" s="493" t="s">
        <v>36</v>
      </c>
      <c r="H6" s="87" t="s">
        <v>509</v>
      </c>
      <c r="I6" s="287" t="s">
        <v>3</v>
      </c>
      <c r="J6" s="372" t="s">
        <v>128</v>
      </c>
      <c r="K6" s="322" t="s">
        <v>50</v>
      </c>
    </row>
    <row r="7" spans="1:15" x14ac:dyDescent="0.2">
      <c r="A7" s="443" t="s">
        <v>510</v>
      </c>
      <c r="B7" s="447">
        <v>31598000</v>
      </c>
      <c r="C7" s="446">
        <v>11769000</v>
      </c>
      <c r="D7" s="392">
        <f>((E7*$B$7)+(F7*$C$7))/($B$7+$C$7)</f>
        <v>81960.455512217275</v>
      </c>
      <c r="E7" s="367">
        <f>E14+E16+E24+E15+E32+E39+E52+E80</f>
        <v>103766.61365268887</v>
      </c>
      <c r="F7" s="367">
        <f>F14+F16+F24+F15+F32+F39+F52+F80</f>
        <v>23414.191180275604</v>
      </c>
      <c r="G7" s="494">
        <f>G14+G16+G24+G15+G32+G39+G52+G80</f>
        <v>3554379074198.3257</v>
      </c>
      <c r="H7" s="398">
        <f>(G7/$G$7)*100</f>
        <v>100</v>
      </c>
      <c r="I7" s="368" t="s">
        <v>1178</v>
      </c>
      <c r="J7" s="369" t="s">
        <v>138</v>
      </c>
      <c r="K7" s="532"/>
    </row>
    <row r="8" spans="1:15" x14ac:dyDescent="0.2">
      <c r="A8" s="370" t="s">
        <v>74</v>
      </c>
      <c r="B8" s="383"/>
      <c r="C8" s="384"/>
      <c r="D8" s="393">
        <f t="shared" ref="D8:D11" si="0">((E8*$B$7)+(F8*$C$7))/($B$7+$C$7)</f>
        <v>48690.14908196147</v>
      </c>
      <c r="E8" s="366">
        <f>E7-E9-E10-E11</f>
        <v>65165.007405238175</v>
      </c>
      <c r="F8" s="366">
        <f t="shared" ref="F8" si="1">F7-F9-F10-F11</f>
        <v>4457.6252227638124</v>
      </c>
      <c r="G8" s="482">
        <f>G7-G9-G10-G11</f>
        <v>2091167801519.6743</v>
      </c>
      <c r="H8" s="399">
        <f t="shared" ref="H8:H12" si="2">(G8/$G$7)*100</f>
        <v>58.8335615832233</v>
      </c>
      <c r="I8" s="371"/>
      <c r="J8" s="372" t="s">
        <v>138</v>
      </c>
      <c r="K8" s="532"/>
      <c r="N8" s="534"/>
      <c r="O8" s="533"/>
    </row>
    <row r="9" spans="1:15" x14ac:dyDescent="0.2">
      <c r="A9" s="370" t="s">
        <v>80</v>
      </c>
      <c r="B9" s="385"/>
      <c r="C9" s="103"/>
      <c r="D9" s="393">
        <f>((E9*$B$7)+(F9*$C$7))/($B$7+$C$7)</f>
        <v>30156.089014929588</v>
      </c>
      <c r="E9" s="366">
        <f>E26+E15+E35+E38+E42+E46+E50+E55+E70+E73+E82</f>
        <v>36065.09768219589</v>
      </c>
      <c r="F9" s="366">
        <f>F26+F15+F35+F38+F42+F46+F50+F55+F70+F73+F82</f>
        <v>14291.286918890788</v>
      </c>
      <c r="G9" s="482">
        <f>G26+G15+G20+G23+G35+G38+G42+G46+G50+G55+G70+G73+G82</f>
        <v>1328157006028.2</v>
      </c>
      <c r="H9" s="399">
        <f t="shared" si="2"/>
        <v>37.366779915779233</v>
      </c>
      <c r="I9" s="287"/>
      <c r="J9" s="372" t="s">
        <v>138</v>
      </c>
      <c r="K9" s="532"/>
      <c r="N9" s="534"/>
      <c r="O9" s="533"/>
    </row>
    <row r="10" spans="1:15" x14ac:dyDescent="0.2">
      <c r="A10" s="370" t="s">
        <v>511</v>
      </c>
      <c r="B10" s="383"/>
      <c r="C10" s="384"/>
      <c r="D10" s="393">
        <f>((E10*$B$7)+(F10*$C$7))/($B$7+$C$7)</f>
        <v>1679.9629039122431</v>
      </c>
      <c r="E10" s="366">
        <f>E81+E47</f>
        <v>1375.6599235806311</v>
      </c>
      <c r="F10" s="366">
        <f>F81+F47</f>
        <v>2496.9707697052818</v>
      </c>
      <c r="G10" s="482">
        <f>G81+G47</f>
        <v>72854951253.96225</v>
      </c>
      <c r="H10" s="399">
        <f t="shared" si="2"/>
        <v>2.0497237276357292</v>
      </c>
      <c r="I10" s="371"/>
      <c r="J10" s="372" t="s">
        <v>138</v>
      </c>
      <c r="K10" s="532"/>
      <c r="N10" s="534"/>
      <c r="O10" s="533"/>
    </row>
    <row r="11" spans="1:15" x14ac:dyDescent="0.2">
      <c r="A11" s="370" t="s">
        <v>108</v>
      </c>
      <c r="B11" s="385"/>
      <c r="C11" s="103"/>
      <c r="D11" s="393">
        <f t="shared" si="0"/>
        <v>1434.2545114139689</v>
      </c>
      <c r="E11" s="366">
        <f>E14+E43+E51</f>
        <v>1160.8486416741712</v>
      </c>
      <c r="F11" s="366">
        <f>F14+F43+F51</f>
        <v>2168.3082689157213</v>
      </c>
      <c r="G11" s="482">
        <f>G14+G43+G51</f>
        <v>62199315396.489578</v>
      </c>
      <c r="H11" s="399">
        <f t="shared" si="2"/>
        <v>1.7499347733617399</v>
      </c>
      <c r="I11" s="287"/>
      <c r="J11" s="372" t="s">
        <v>138</v>
      </c>
    </row>
    <row r="12" spans="1:15" x14ac:dyDescent="0.2">
      <c r="A12" s="404" t="s">
        <v>512</v>
      </c>
      <c r="B12" s="405"/>
      <c r="C12" s="406"/>
      <c r="D12" s="397">
        <f>((E12*$B$7)+(F12*$C$7))/($B$7+$C$7)</f>
        <v>30864.699830244674</v>
      </c>
      <c r="E12" s="375">
        <f>E81+E45+E47+((E8-E45)*0.598)</f>
        <v>40388.785545485691</v>
      </c>
      <c r="F12" s="375">
        <f>F81+F45+F47+((F8-F45)*0.598)</f>
        <v>5293.9580144416468</v>
      </c>
      <c r="G12" s="495">
        <f>G81+G45+G47+((G8-G45)*0.598)</f>
        <v>1326323457095.0068</v>
      </c>
      <c r="H12" s="400">
        <f t="shared" si="2"/>
        <v>37.31519428310142</v>
      </c>
      <c r="I12" s="316"/>
      <c r="J12" s="376" t="s">
        <v>138</v>
      </c>
    </row>
    <row r="13" spans="1:15" x14ac:dyDescent="0.2">
      <c r="A13" s="373" t="s">
        <v>513</v>
      </c>
      <c r="B13" s="385"/>
      <c r="C13" s="103"/>
      <c r="D13" s="526">
        <f>SUM(D8:D11)</f>
        <v>81960.455512217261</v>
      </c>
      <c r="E13" s="527">
        <f>SUM(E8:E11)</f>
        <v>103766.61365268886</v>
      </c>
      <c r="F13" s="526">
        <f>SUM(F8:F11)</f>
        <v>23414.191180275604</v>
      </c>
      <c r="G13" s="526">
        <f>SUM(G8:G11)</f>
        <v>3554379074198.3262</v>
      </c>
      <c r="H13" s="528">
        <f>SUM(H8:H11)</f>
        <v>100</v>
      </c>
      <c r="I13" s="529" t="s">
        <v>503</v>
      </c>
      <c r="J13" s="372"/>
      <c r="K13" s="532"/>
    </row>
    <row r="14" spans="1:15" x14ac:dyDescent="0.2">
      <c r="A14" s="81" t="s">
        <v>514</v>
      </c>
      <c r="B14" s="549">
        <f>'Table 3 Outcomes'!P9</f>
        <v>0.15275817075139192</v>
      </c>
      <c r="C14" s="550"/>
      <c r="D14" s="394">
        <f>'Table 4 Costs'!K9</f>
        <v>1180.7245422154176</v>
      </c>
      <c r="E14" s="366">
        <f>IF(OR(D14="NA",D14="NR",B14="NA", B14="NR"),0,B14*D14)</f>
        <v>180.36532123010181</v>
      </c>
      <c r="F14" s="393">
        <f>IF(OR(D14="NA",D14="NR",B14="NA", B14="NR"),0,B14*D14)</f>
        <v>180.36532123010181</v>
      </c>
      <c r="G14" s="393">
        <f>(E14*$B$7)+(F14*$C$7)</f>
        <v>7821902885.7858257</v>
      </c>
      <c r="H14" s="399">
        <f>(G14/$G$7)*100</f>
        <v>0.22006383456863055</v>
      </c>
      <c r="I14" s="287" t="str">
        <f>'Table 3 Outcomes'!AF9</f>
        <v>US DOJ (2017)(unpublished)</v>
      </c>
      <c r="J14" s="372" t="str">
        <f>'Table 4 Costs'!L9</f>
        <v>US DOJ (2017)(unpublished)</v>
      </c>
      <c r="K14" s="532" t="s">
        <v>50</v>
      </c>
      <c r="O14" s="533"/>
    </row>
    <row r="15" spans="1:15" x14ac:dyDescent="0.2">
      <c r="A15" s="81" t="s">
        <v>810</v>
      </c>
      <c r="B15" s="549">
        <f>'Table 3 Outcomes'!P10</f>
        <v>1</v>
      </c>
      <c r="C15" s="550"/>
      <c r="D15" s="500">
        <f>'Table 4 Costs'!K10</f>
        <v>730.01</v>
      </c>
      <c r="E15" s="366">
        <v>1063</v>
      </c>
      <c r="F15" s="393">
        <v>356.79</v>
      </c>
      <c r="G15" s="393">
        <f>(E15*$B$7)+(F15*$C$7)</f>
        <v>37787735510</v>
      </c>
      <c r="H15" s="399">
        <f>(G15/$G$7)*100</f>
        <v>1.0631318360021251</v>
      </c>
      <c r="I15" s="287" t="str">
        <f>'Table 3 Outcomes'!AF10</f>
        <v>Peterson (2018; in press)</v>
      </c>
      <c r="J15" s="372" t="str">
        <f>'Table 4 Costs'!L10</f>
        <v>Peterson (2018; in press)</v>
      </c>
      <c r="K15" s="532"/>
    </row>
    <row r="16" spans="1:15" x14ac:dyDescent="0.2">
      <c r="A16" s="111" t="s">
        <v>515</v>
      </c>
      <c r="B16" s="385"/>
      <c r="C16" s="103"/>
      <c r="D16" s="366"/>
      <c r="E16" s="502">
        <f>SUM(E17:E23)</f>
        <v>1553.4773232234779</v>
      </c>
      <c r="F16" s="393">
        <f>SUM(F17:F23)</f>
        <v>1026.0114634017473</v>
      </c>
      <c r="G16" s="393">
        <f>SUM(G17:G23)</f>
        <v>61161905371.990623</v>
      </c>
      <c r="H16" s="399">
        <f t="shared" ref="H16:H24" si="3">(G16/$G$7)*100</f>
        <v>1.7207479589324732</v>
      </c>
      <c r="I16" s="190"/>
      <c r="J16" s="63" t="s">
        <v>516</v>
      </c>
      <c r="K16" s="532"/>
      <c r="O16" s="533"/>
    </row>
    <row r="17" spans="1:11" x14ac:dyDescent="0.2">
      <c r="A17" s="112" t="s">
        <v>1075</v>
      </c>
      <c r="B17" s="412">
        <f>'Table 3 Outcomes'!P12</f>
        <v>1.8875363481453546E-2</v>
      </c>
      <c r="C17" s="413">
        <f>'Table 3 Outcomes'!AE12</f>
        <v>0</v>
      </c>
      <c r="D17" s="394">
        <f>'Table 4 Costs'!K12</f>
        <v>168.38076404162123</v>
      </c>
      <c r="E17" s="366">
        <f>IF(OR(D17="NA",D17="NR",B17="NA", B17="NR"),0,B17*D17)</f>
        <v>3.1782481245704637</v>
      </c>
      <c r="F17" s="393">
        <f>IF(OR(D17="NA",D17="NR",C17="NA", C17="NR"),0,C17*D17)</f>
        <v>0</v>
      </c>
      <c r="G17" s="393">
        <f t="shared" ref="G17:G23" si="4">(E17*$B$7)+(F17*$C$7)</f>
        <v>100426284.24017751</v>
      </c>
      <c r="H17" s="399">
        <f t="shared" si="3"/>
        <v>2.82542413579869E-3</v>
      </c>
      <c r="I17" s="287" t="str">
        <f>'Table 3 Outcomes'!AF12</f>
        <v>US DOJ (2017)(unpublished)</v>
      </c>
      <c r="J17" s="372" t="str">
        <f>'Table 4 Costs'!L12</f>
        <v>Machlin (2015)</v>
      </c>
    </row>
    <row r="18" spans="1:11" x14ac:dyDescent="0.2">
      <c r="A18" s="112" t="s">
        <v>518</v>
      </c>
      <c r="B18" s="412">
        <f>'Table 3 Outcomes'!P13</f>
        <v>6.6480960616580903E-2</v>
      </c>
      <c r="C18" s="413">
        <f>'Table 3 Outcomes'!AE13</f>
        <v>4.5834466133499042E-2</v>
      </c>
      <c r="D18" s="393">
        <f>SUM(D19:D20)</f>
        <v>7052.5038020270476</v>
      </c>
      <c r="E18" s="366">
        <f>SUM(E19:E20)</f>
        <v>468.85722751084722</v>
      </c>
      <c r="F18" s="393">
        <f>SUM(F19:F20)</f>
        <v>323.24774667038196</v>
      </c>
      <c r="G18" s="393">
        <f t="shared" si="4"/>
        <v>18619253405.451477</v>
      </c>
      <c r="H18" s="399">
        <f t="shared" si="3"/>
        <v>0.52383983297141612</v>
      </c>
      <c r="I18" s="287" t="str">
        <f>'Table 3 Outcomes'!AF13</f>
        <v>US DOJ (2017)(unpublished)</v>
      </c>
      <c r="J18" s="63" t="s">
        <v>516</v>
      </c>
      <c r="K18" s="322" t="s">
        <v>50</v>
      </c>
    </row>
    <row r="19" spans="1:11" x14ac:dyDescent="0.2">
      <c r="A19" s="147" t="s">
        <v>74</v>
      </c>
      <c r="C19" s="87"/>
      <c r="D19" s="394">
        <f>'Table 4 Costs'!K14</f>
        <v>2860.4842023194619</v>
      </c>
      <c r="E19" s="366">
        <f>IF(OR(D19="NA",D19="NR",B18="NA", B18="NR"),0,B18*D19)</f>
        <v>190.16773759875198</v>
      </c>
      <c r="F19" s="393">
        <f>IF(OR(D19="NA",D19="NR",C18="NA", C18="NR"),0,C18*D19)</f>
        <v>131.10876629662039</v>
      </c>
      <c r="G19" s="393">
        <f t="shared" si="4"/>
        <v>7551939243.1902905</v>
      </c>
      <c r="H19" s="399">
        <f t="shared" si="3"/>
        <v>0.21246859396654524</v>
      </c>
      <c r="J19" s="372" t="str">
        <f>'Table 4 Costs'!L14</f>
        <v>CDC WISQARS (2010)</v>
      </c>
      <c r="K19" s="322" t="s">
        <v>50</v>
      </c>
    </row>
    <row r="20" spans="1:11" x14ac:dyDescent="0.2">
      <c r="A20" s="147" t="s">
        <v>80</v>
      </c>
      <c r="B20" s="486"/>
      <c r="C20" s="487"/>
      <c r="D20" s="394">
        <f>'Table 4 Costs'!K15</f>
        <v>4192.0195997075853</v>
      </c>
      <c r="E20" s="366">
        <f>IF(OR(D20="NA",D20="NR",B18="NA", B18="NR"),0,B18*D20)</f>
        <v>278.68948991209521</v>
      </c>
      <c r="F20" s="366">
        <f>IF(OR(D20="NA",D20="NR",C18="NA", C18="NR"),0,C18*D20)</f>
        <v>192.13898037376154</v>
      </c>
      <c r="G20" s="482">
        <f t="shared" si="4"/>
        <v>11067314162.261185</v>
      </c>
      <c r="H20" s="399">
        <f t="shared" si="3"/>
        <v>0.31137123900487085</v>
      </c>
      <c r="I20" s="287"/>
      <c r="J20" s="372" t="str">
        <f>'Table 4 Costs'!L15</f>
        <v>CDC WISQARS (2010)</v>
      </c>
      <c r="K20" s="322" t="s">
        <v>50</v>
      </c>
    </row>
    <row r="21" spans="1:11" x14ac:dyDescent="0.2">
      <c r="A21" s="112" t="s">
        <v>519</v>
      </c>
      <c r="B21" s="412">
        <f>'Table 3 Outcomes'!P14</f>
        <v>1.9427682356052899E-3</v>
      </c>
      <c r="C21" s="413">
        <f>'Table 3 Outcomes'!AE14</f>
        <v>1.0236344354573803E-3</v>
      </c>
      <c r="D21" s="393">
        <f>SUM(D22:D23)</f>
        <v>157657.66828238164</v>
      </c>
      <c r="E21" s="366">
        <f>SUM(E22:E23)</f>
        <v>306.29231003860662</v>
      </c>
      <c r="F21" s="393">
        <f>SUM(F22:F23)</f>
        <v>189.75798503049171</v>
      </c>
      <c r="G21" s="393">
        <f t="shared" si="4"/>
        <v>11911486138.423748</v>
      </c>
      <c r="H21" s="399">
        <f t="shared" si="3"/>
        <v>0.33512143442692111</v>
      </c>
      <c r="I21" s="287" t="str">
        <f>'Table 3 Outcomes'!AF14</f>
        <v>US DOJ (2017)(unpublished)</v>
      </c>
      <c r="J21" s="63" t="s">
        <v>516</v>
      </c>
      <c r="K21" s="322" t="s">
        <v>50</v>
      </c>
    </row>
    <row r="22" spans="1:11" x14ac:dyDescent="0.2">
      <c r="A22" s="147" t="s">
        <v>74</v>
      </c>
      <c r="C22" s="87"/>
      <c r="D22" s="394">
        <f>'Table 4 Costs'!K17</f>
        <v>30870.55090147159</v>
      </c>
      <c r="E22" s="366">
        <f>IF(OR(D22="NA",D22="NR",B21="NA", B21="NR"),0,B21*D22)</f>
        <v>59.974325707015254</v>
      </c>
      <c r="F22" s="393">
        <f>IF(OR(D22="NA",D22="NR",B21="NA", B21="NR"),0,B21*D22)</f>
        <v>59.974325707015254</v>
      </c>
      <c r="G22" s="393">
        <f t="shared" si="4"/>
        <v>2600906582.9361305</v>
      </c>
      <c r="H22" s="399">
        <f t="shared" si="3"/>
        <v>7.3174710086958111E-2</v>
      </c>
      <c r="J22" s="372" t="str">
        <f>'Table 4 Costs'!L17</f>
        <v>CDC WISQARS (2010)</v>
      </c>
      <c r="K22" s="322" t="s">
        <v>50</v>
      </c>
    </row>
    <row r="23" spans="1:11" x14ac:dyDescent="0.2">
      <c r="A23" s="147" t="s">
        <v>80</v>
      </c>
      <c r="B23" s="486"/>
      <c r="C23" s="487"/>
      <c r="D23" s="394">
        <f>'Table 4 Costs'!K18</f>
        <v>126787.11738091004</v>
      </c>
      <c r="E23" s="366">
        <f>IF(OR(D23="NA",D23="NR",B21="NA", B21="NR"),0,B21*D23)</f>
        <v>246.31798433159139</v>
      </c>
      <c r="F23" s="366">
        <f>IF(OR(D23="NA",D23="NR",C21="NA", C21="NR"),0,C21*D23)</f>
        <v>129.78365932347646</v>
      </c>
      <c r="G23" s="482">
        <f t="shared" si="4"/>
        <v>9310579555.4876194</v>
      </c>
      <c r="H23" s="399">
        <f t="shared" si="3"/>
        <v>0.26194672433996308</v>
      </c>
      <c r="I23" s="287"/>
      <c r="J23" s="372" t="str">
        <f>'Table 4 Costs'!L18</f>
        <v>CDC WISQARS (2010)</v>
      </c>
      <c r="K23" s="322" t="s">
        <v>50</v>
      </c>
    </row>
    <row r="24" spans="1:11" x14ac:dyDescent="0.2">
      <c r="A24" s="81" t="s">
        <v>520</v>
      </c>
      <c r="B24" s="390">
        <f>'Table 3 Outcomes'!P15</f>
        <v>1.8916857360793288E-4</v>
      </c>
      <c r="C24" s="389">
        <f>'Table 3 Outcomes'!AE15</f>
        <v>1.227906976744186E-4</v>
      </c>
      <c r="D24" s="393">
        <f>SUM(D25:D26)</f>
        <v>1671227</v>
      </c>
      <c r="E24" s="366">
        <f>SUM(E25:E26)</f>
        <v>316.14362776506482</v>
      </c>
      <c r="F24" s="393">
        <f>SUM(F25:F26)</f>
        <v>205.21112930232556</v>
      </c>
      <c r="G24" s="393">
        <f>SUM(G25:G26)</f>
        <v>12404636130.879587</v>
      </c>
      <c r="H24" s="399">
        <f t="shared" si="3"/>
        <v>0.34899586881225936</v>
      </c>
      <c r="I24" s="190" t="str">
        <f>'Table 3 Outcomes'!AF15</f>
        <v>FBI (2012)</v>
      </c>
      <c r="J24" s="63" t="s">
        <v>516</v>
      </c>
      <c r="K24" s="322" t="s">
        <v>50</v>
      </c>
    </row>
    <row r="25" spans="1:11" x14ac:dyDescent="0.2">
      <c r="A25" s="147" t="s">
        <v>74</v>
      </c>
      <c r="B25" s="387"/>
      <c r="C25" s="388"/>
      <c r="D25" s="394">
        <f>'Table 4 Costs'!K20</f>
        <v>11707</v>
      </c>
      <c r="E25" s="366">
        <f>IF(OR(D25="NA",D25="NR",B24="NA", B24="NR"),0,B24*D25)</f>
        <v>2.2145964912280705</v>
      </c>
      <c r="F25" s="396">
        <f>IF(OR(D25="NA",D25="NR",C24="NA", C24="NR"),0,C24*D25)</f>
        <v>1.4375106976744185</v>
      </c>
      <c r="G25" s="393">
        <f>(E25*$B$7)+(F25*$C$7)</f>
        <v>86894883.330754817</v>
      </c>
      <c r="H25" s="399">
        <f t="shared" ref="H25:H28" si="5">(G25/$G$7)*100</f>
        <v>2.4447275182755673E-3</v>
      </c>
      <c r="I25" s="287"/>
      <c r="J25" s="372" t="str">
        <f>'Table 4 Costs'!L20</f>
        <v>CDC WISQARS (2010)</v>
      </c>
      <c r="K25" s="322" t="s">
        <v>50</v>
      </c>
    </row>
    <row r="26" spans="1:11" x14ac:dyDescent="0.2">
      <c r="A26" s="147" t="s">
        <v>80</v>
      </c>
      <c r="B26" s="387"/>
      <c r="C26" s="388"/>
      <c r="D26" s="394">
        <f>'Table 4 Costs'!K21</f>
        <v>1659520</v>
      </c>
      <c r="E26" s="366">
        <f>IF(OR(D26="NA",D26="NR",B24="NA", B24="NR"),0,B24*D26)</f>
        <v>313.92903127383676</v>
      </c>
      <c r="F26" s="150">
        <f>IF(OR(D26="NA",D26="NR",C24="NA", C24="NR"),0,C24*D26)</f>
        <v>203.77361860465115</v>
      </c>
      <c r="G26" s="393">
        <f>(E26*$B$7)+(F26*$C$7)</f>
        <v>12317741247.548832</v>
      </c>
      <c r="H26" s="399">
        <f t="shared" si="5"/>
        <v>0.34655114129398379</v>
      </c>
      <c r="I26" s="287"/>
      <c r="J26" s="372" t="str">
        <f>'Table 4 Costs'!L21</f>
        <v>CDC WISQARS (2010)</v>
      </c>
      <c r="K26" s="322" t="s">
        <v>50</v>
      </c>
    </row>
    <row r="27" spans="1:11" x14ac:dyDescent="0.2">
      <c r="A27" s="440" t="s">
        <v>785</v>
      </c>
      <c r="B27" s="412"/>
      <c r="C27" s="389"/>
      <c r="D27" s="477"/>
      <c r="E27" s="366">
        <f>SUM(E28:E30)</f>
        <v>769.54846254142228</v>
      </c>
      <c r="F27" s="393">
        <f>SUM(F28:F30)</f>
        <v>0</v>
      </c>
      <c r="G27" s="393">
        <f>SUM(G28:G30)</f>
        <v>24316192319.383858</v>
      </c>
      <c r="H27" s="399">
        <f t="shared" si="5"/>
        <v>0.68411927404980766</v>
      </c>
      <c r="I27" s="190"/>
      <c r="J27" s="63" t="s">
        <v>516</v>
      </c>
      <c r="K27" s="322" t="s">
        <v>50</v>
      </c>
    </row>
    <row r="28" spans="1:11" x14ac:dyDescent="0.2">
      <c r="A28" s="147" t="s">
        <v>786</v>
      </c>
      <c r="B28" s="451">
        <f>'Table 3 Outcomes'!P17</f>
        <v>4.6290312452946916E-2</v>
      </c>
      <c r="C28" s="389" t="str">
        <f>'Table 3 Outcomes'!AE17</f>
        <v>NA</v>
      </c>
      <c r="D28" s="394">
        <f>'Table 4 Costs'!K23</f>
        <v>15867.059871455025</v>
      </c>
      <c r="E28" s="366">
        <f>IF(OR(D28="NA",D28="NR",B28="NA", B28="NR"),0,B28*D28)</f>
        <v>734.49115915926882</v>
      </c>
      <c r="F28" s="393">
        <f>IF(OR(D28="NA",D28="NR",C28="NA", C28="NR"),0,C28*D28)</f>
        <v>0</v>
      </c>
      <c r="G28" s="393">
        <f>(E28*$B$7)+(F28*$C$7)</f>
        <v>23208451647.114574</v>
      </c>
      <c r="H28" s="399">
        <f t="shared" si="5"/>
        <v>0.65295375542770817</v>
      </c>
      <c r="I28" s="287" t="str">
        <f>'Table 3 Outcomes'!AF17</f>
        <v>Basile (2018 unpublished data), Mcfarlane (2005), Brieding (2014), Smith (2017)</v>
      </c>
      <c r="J28" s="372" t="str">
        <f>'Table 4 Costs'!L23</f>
        <v>Truven (2013)</v>
      </c>
      <c r="K28" s="322" t="s">
        <v>50</v>
      </c>
    </row>
    <row r="29" spans="1:11" x14ac:dyDescent="0.2">
      <c r="A29" s="147" t="s">
        <v>787</v>
      </c>
      <c r="B29" s="451">
        <f>'Table 3 Outcomes'!P18</f>
        <v>9.1437654228043296E-3</v>
      </c>
      <c r="C29" s="389" t="str">
        <f>'Table 3 Outcomes'!AE18</f>
        <v>NA</v>
      </c>
      <c r="D29" s="394">
        <f>'Table 4 Costs'!K24</f>
        <v>517.70600786075238</v>
      </c>
      <c r="E29" s="366">
        <f>IF(OR(D29="NA",D29="NR",B29="NA", B29="NR"),0,B29*D29)</f>
        <v>4.7337822938552137</v>
      </c>
      <c r="F29" s="393">
        <f>IF(OR(D29="NA",D29="NR",C29="NA", C29="NR"),0,C29*D29)</f>
        <v>0</v>
      </c>
      <c r="G29" s="393">
        <f>(E29*$B$7)+(F29*$C$7)</f>
        <v>149578052.92123705</v>
      </c>
      <c r="H29" s="399">
        <f t="shared" ref="H29:H30" si="6">(G29/$G$7)*100</f>
        <v>4.2082751951541273E-3</v>
      </c>
      <c r="I29" s="287" t="str">
        <f>'Table 3 Outcomes'!AF18</f>
        <v>Basile (2018 unpublished data), Mcfarlane (2005), Brieding (2014), Smith (2017)</v>
      </c>
      <c r="J29" s="372" t="str">
        <f>'Table 4 Costs'!L24</f>
        <v>Jerman (2014)</v>
      </c>
      <c r="K29" s="322" t="s">
        <v>50</v>
      </c>
    </row>
    <row r="30" spans="1:11" x14ac:dyDescent="0.2">
      <c r="A30" s="407" t="s">
        <v>953</v>
      </c>
      <c r="B30" s="450">
        <f>'Table 3 Outcomes'!P19</f>
        <v>1.7144560167758115E-3</v>
      </c>
      <c r="C30" s="409" t="str">
        <f>'Table 3 Outcomes'!AE19</f>
        <v>NA</v>
      </c>
      <c r="D30" s="395">
        <f>'Table 4 Costs'!K25</f>
        <v>17686.963556711307</v>
      </c>
      <c r="E30" s="375">
        <f>IF(OR(D30="NA",D30="NR",B30="NA", B30="NR"),0,B30*D30)</f>
        <v>30.323521088298207</v>
      </c>
      <c r="F30" s="397">
        <f>IF(OR(D30="NA",D30="NR",C30="NA", C30="NR"),0,C30*D30)</f>
        <v>0</v>
      </c>
      <c r="G30" s="397">
        <f>(E30*$B$7)+(F30*$C$7)</f>
        <v>958162619.34804678</v>
      </c>
      <c r="H30" s="400">
        <f t="shared" si="6"/>
        <v>2.6957243426945283E-2</v>
      </c>
      <c r="I30" s="316" t="str">
        <f>'Table 3 Outcomes'!AF19</f>
        <v>Basile (2018 unpublished data), Mcfarlane (2005), Brieding (2014), Smith (2017)</v>
      </c>
      <c r="J30" s="376" t="str">
        <f>'Table 4 Costs'!L25</f>
        <v>Gold (2013), Truven (2013)</v>
      </c>
      <c r="K30" s="322" t="s">
        <v>50</v>
      </c>
    </row>
    <row r="31" spans="1:11" x14ac:dyDescent="0.2">
      <c r="A31" s="374" t="s">
        <v>521</v>
      </c>
      <c r="B31" s="390"/>
      <c r="C31" s="389"/>
      <c r="D31" s="394"/>
      <c r="E31" s="366"/>
      <c r="F31" s="393"/>
      <c r="G31" s="393"/>
      <c r="H31" s="399"/>
      <c r="I31" s="287"/>
      <c r="J31" s="372"/>
      <c r="K31" s="322" t="s">
        <v>50</v>
      </c>
    </row>
    <row r="32" spans="1:11" x14ac:dyDescent="0.2">
      <c r="A32" s="111" t="s">
        <v>124</v>
      </c>
      <c r="B32" s="412"/>
      <c r="C32" s="413"/>
      <c r="D32" s="157"/>
      <c r="E32" s="162">
        <f>E33+E36</f>
        <v>56837.27878521254</v>
      </c>
      <c r="F32" s="394">
        <f>F33+F36</f>
        <v>0</v>
      </c>
      <c r="G32" s="394">
        <f>G33+G36</f>
        <v>1795944335055.1458</v>
      </c>
      <c r="H32" s="399">
        <f t="shared" ref="H32:H82" si="7">(G32/$G$7)*100</f>
        <v>50.527653285270738</v>
      </c>
      <c r="I32" s="190"/>
      <c r="J32" s="63" t="s">
        <v>516</v>
      </c>
      <c r="K32" s="322" t="s">
        <v>50</v>
      </c>
    </row>
    <row r="33" spans="1:11" x14ac:dyDescent="0.2">
      <c r="A33" s="112" t="str">
        <f>'Table 3 Outcomes'!A22</f>
        <v>Anxiety disorder (incl. PTSD)</v>
      </c>
      <c r="B33" s="182">
        <f>'Table 3 Outcomes'!P22</f>
        <v>9.0889759851777913E-2</v>
      </c>
      <c r="C33" s="386">
        <f>'Table 3 Outcomes'!AE22</f>
        <v>0</v>
      </c>
      <c r="D33" s="394">
        <f>SUM(D34:D35)</f>
        <v>70283.271787139907</v>
      </c>
      <c r="E33" s="366">
        <f>SUM(E34:E35)</f>
        <v>6388.0296943303838</v>
      </c>
      <c r="F33" s="393">
        <f>SUM(F34:F35)</f>
        <v>0</v>
      </c>
      <c r="G33" s="393">
        <f>(E33*$B$7)+(F33*$C$7)</f>
        <v>201848962281.45148</v>
      </c>
      <c r="H33" s="399">
        <f>(G33/$G$7)*100</f>
        <v>5.6788811229139258</v>
      </c>
      <c r="I33" s="287" t="str">
        <f>'Table 3 Outcomes'!AF22</f>
        <v>Affifi (2009)</v>
      </c>
      <c r="J33" s="372" t="s">
        <v>522</v>
      </c>
      <c r="K33" s="322" t="s">
        <v>50</v>
      </c>
    </row>
    <row r="34" spans="1:11" x14ac:dyDescent="0.2">
      <c r="A34" s="147" t="s">
        <v>74</v>
      </c>
      <c r="B34" s="182"/>
      <c r="C34" s="386"/>
      <c r="D34" s="394">
        <f>'Table 4 Costs'!K29</f>
        <v>62295.188274036962</v>
      </c>
      <c r="E34" s="366">
        <f>IF(OR(D34="NA",D34="NR",B33="NA", B33="NR"),0,B33*D34)</f>
        <v>5661.9947021485104</v>
      </c>
      <c r="F34" s="393">
        <f>IF(OR(D34="NA",D34="NR",C33="NA", C33="NR"),0,C33*D34)</f>
        <v>0</v>
      </c>
      <c r="G34" s="393">
        <f t="shared" ref="G34:G38" si="8">(E34*$B$7)+(F34*$C$7)</f>
        <v>178907708598.48865</v>
      </c>
      <c r="H34" s="399">
        <f>(G34/$G$7)*100</f>
        <v>5.0334447976357302</v>
      </c>
      <c r="I34" s="287"/>
      <c r="J34" s="372" t="str">
        <f>'Table 4 Costs'!L29</f>
        <v>Greenberg (1999)</v>
      </c>
      <c r="K34" s="322" t="s">
        <v>50</v>
      </c>
    </row>
    <row r="35" spans="1:11" x14ac:dyDescent="0.2">
      <c r="A35" s="147" t="s">
        <v>80</v>
      </c>
      <c r="B35" s="182"/>
      <c r="C35" s="386"/>
      <c r="D35" s="394">
        <f>'Table 4 Costs'!K30</f>
        <v>7988.0835131029462</v>
      </c>
      <c r="E35" s="366">
        <f>IF(OR(D35="NA",D35="NR",B33="NA", B33="NR"),0,B33*D35)</f>
        <v>726.03499218187324</v>
      </c>
      <c r="F35" s="150">
        <f>IF(OR(D35="NA",D35="NR",C33="NA", C33="NR"),0,C33*D35)</f>
        <v>0</v>
      </c>
      <c r="G35" s="393">
        <f>(E35*$B$7)+(F35*$C$7)</f>
        <v>22941253682.96283</v>
      </c>
      <c r="H35" s="399">
        <f t="shared" si="7"/>
        <v>0.64543632527819583</v>
      </c>
      <c r="I35" s="287"/>
      <c r="J35" s="372" t="str">
        <f>'Table 4 Costs'!L30</f>
        <v>Greenberg (1999)</v>
      </c>
      <c r="K35" s="322" t="s">
        <v>50</v>
      </c>
    </row>
    <row r="36" spans="1:11" x14ac:dyDescent="0.2">
      <c r="A36" s="112" t="s">
        <v>88</v>
      </c>
      <c r="B36" s="182">
        <f>'Table 3 Outcomes'!P23</f>
        <v>0.15344007956240674</v>
      </c>
      <c r="C36" s="386">
        <f>'Table 3 Outcomes'!AE23</f>
        <v>0</v>
      </c>
      <c r="D36" s="394">
        <f>SUM(D37:D38)</f>
        <v>328787.94924218988</v>
      </c>
      <c r="E36" s="366">
        <f>SUM(E37:E38)</f>
        <v>50449.249090882156</v>
      </c>
      <c r="F36" s="393">
        <f>SUM(F37:F38)</f>
        <v>0</v>
      </c>
      <c r="G36" s="393">
        <f>(E36*$B$7)+(F36*$C$7)</f>
        <v>1594095372773.6943</v>
      </c>
      <c r="H36" s="399">
        <f t="shared" si="7"/>
        <v>44.848772162356809</v>
      </c>
      <c r="I36" s="287" t="str">
        <f>'Table 3 Outcomes'!AF23</f>
        <v>Ackard (2007)</v>
      </c>
      <c r="J36" s="372" t="s">
        <v>522</v>
      </c>
      <c r="K36" s="322" t="s">
        <v>50</v>
      </c>
    </row>
    <row r="37" spans="1:11" x14ac:dyDescent="0.2">
      <c r="A37" s="147" t="s">
        <v>74</v>
      </c>
      <c r="B37" s="182"/>
      <c r="C37" s="386"/>
      <c r="D37" s="394">
        <f>'Table 4 Costs'!K32</f>
        <v>153905.85519274851</v>
      </c>
      <c r="E37" s="366">
        <f>IF(OR(D37="NA",D37="NR",B36="NA", B36="NR"),0,B36*D37)</f>
        <v>23615.32666589558</v>
      </c>
      <c r="F37" s="393">
        <f>IF(OR(D37="NA",D37="NR",C36="NA", C36="NR"),0,C36*D37)</f>
        <v>0</v>
      </c>
      <c r="G37" s="393">
        <f t="shared" si="8"/>
        <v>746197091988.96851</v>
      </c>
      <c r="H37" s="399">
        <f>(G37/$G$7)*100</f>
        <v>20.9937397337753</v>
      </c>
      <c r="I37" s="287"/>
      <c r="J37" s="372" t="str">
        <f>'Table 4 Costs'!L32</f>
        <v>Greenberg (2015)</v>
      </c>
      <c r="K37" s="322" t="s">
        <v>50</v>
      </c>
    </row>
    <row r="38" spans="1:11" x14ac:dyDescent="0.2">
      <c r="A38" s="147" t="s">
        <v>80</v>
      </c>
      <c r="B38" s="182"/>
      <c r="C38" s="386"/>
      <c r="D38" s="394">
        <f>'Table 4 Costs'!K33</f>
        <v>174882.09404944134</v>
      </c>
      <c r="E38" s="366">
        <f>IF(OR(D38="NA",D38="NR",B36="NA", B36="NR"),0,B36*D38)</f>
        <v>26833.922424986577</v>
      </c>
      <c r="F38" s="150">
        <f>IF(OR(D38="NA",D38="NR",C36="NA", C36="NR"),0,C36*D38)</f>
        <v>0</v>
      </c>
      <c r="G38" s="393">
        <f t="shared" si="8"/>
        <v>847898280784.72583</v>
      </c>
      <c r="H38" s="399">
        <f t="shared" si="7"/>
        <v>23.855032428581509</v>
      </c>
      <c r="I38" s="287"/>
      <c r="J38" s="372" t="str">
        <f>'Table 4 Costs'!L33</f>
        <v>Greenberg (2015)</v>
      </c>
      <c r="K38" s="322" t="s">
        <v>50</v>
      </c>
    </row>
    <row r="39" spans="1:11" x14ac:dyDescent="0.2">
      <c r="A39" s="111" t="s">
        <v>106</v>
      </c>
      <c r="B39" s="412"/>
      <c r="C39" s="413"/>
      <c r="D39" s="394"/>
      <c r="E39" s="157">
        <f>E40+E44+E48</f>
        <v>7682.9281033684492</v>
      </c>
      <c r="F39" s="394">
        <f>F40+F44+F48</f>
        <v>17253.62366971494</v>
      </c>
      <c r="G39" s="394">
        <f>G40+G44+G48</f>
        <v>445823059179.11133</v>
      </c>
      <c r="H39" s="399">
        <f t="shared" si="7"/>
        <v>12.542923809545123</v>
      </c>
      <c r="I39" s="190"/>
      <c r="J39" s="63" t="s">
        <v>516</v>
      </c>
      <c r="K39" s="322" t="s">
        <v>50</v>
      </c>
    </row>
    <row r="40" spans="1:11" x14ac:dyDescent="0.2">
      <c r="A40" s="112" t="s">
        <v>57</v>
      </c>
      <c r="B40" s="182">
        <f>'Table 3 Outcomes'!P25</f>
        <v>2.9056276385607469E-2</v>
      </c>
      <c r="C40" s="386">
        <f>'Table 3 Outcomes'!AE25</f>
        <v>7.3281587140684973E-2</v>
      </c>
      <c r="D40" s="394">
        <f>SUM(D41:D43)</f>
        <v>18317.466380489408</v>
      </c>
      <c r="E40" s="366">
        <f>SUM(E41:E43)</f>
        <v>532.23736583557309</v>
      </c>
      <c r="F40" s="393">
        <f>SUM(F41:F43)</f>
        <v>1342.3330087584018</v>
      </c>
      <c r="G40" s="393">
        <f t="shared" ref="G40:G51" si="9">(E40*$B$7)+(F40*$C$7)</f>
        <v>32615553465.750069</v>
      </c>
      <c r="H40" s="399">
        <f t="shared" si="7"/>
        <v>0.91761606696681219</v>
      </c>
      <c r="I40" s="287" t="str">
        <f>'Table 3 Outcomes'!AF25</f>
        <v>Breiding (2008)</v>
      </c>
      <c r="J40" s="372" t="s">
        <v>522</v>
      </c>
      <c r="K40" s="322" t="s">
        <v>50</v>
      </c>
    </row>
    <row r="41" spans="1:11" x14ac:dyDescent="0.2">
      <c r="A41" s="147" t="s">
        <v>74</v>
      </c>
      <c r="B41" s="182"/>
      <c r="C41" s="386"/>
      <c r="D41" s="394">
        <f>'Table 4 Costs'!K36</f>
        <v>2081.2345565204487</v>
      </c>
      <c r="E41" s="139">
        <f>IF(OR(D41="NA",D41="NR",B40="NA", B40="NR"),0,B40*D41)</f>
        <v>60.472926497535347</v>
      </c>
      <c r="F41" s="150">
        <f>IF(OR(D41="NA",D41="NR",C40="NA", C40="NR"),0,C40*D41)</f>
        <v>152.5161715138581</v>
      </c>
      <c r="G41" s="393">
        <f t="shared" si="9"/>
        <v>3705786354.015718</v>
      </c>
      <c r="H41" s="399">
        <f t="shared" si="7"/>
        <v>0.10425973923030542</v>
      </c>
      <c r="I41" s="287"/>
      <c r="J41" s="372" t="str">
        <f>'Table 4 Costs'!L36</f>
        <v>Sacks (2015) and Bouchery (2011)</v>
      </c>
      <c r="K41" s="322" t="s">
        <v>50</v>
      </c>
    </row>
    <row r="42" spans="1:11" x14ac:dyDescent="0.2">
      <c r="A42" s="147" t="s">
        <v>80</v>
      </c>
      <c r="B42" s="182"/>
      <c r="C42" s="386"/>
      <c r="D42" s="394">
        <f>'Table 4 Costs'!K37</f>
        <v>13175.903703649754</v>
      </c>
      <c r="E42" s="139">
        <f>IF(OR(D42="NA",D42="NR",B40="NA", B40="NR"),0,B40*D42)</f>
        <v>382.84269964339632</v>
      </c>
      <c r="F42" s="150">
        <f>IF(OR(D42="NA",D42="NR",C40="NA", C40="NR"),0,C40*D42)</f>
        <v>965.55113541628327</v>
      </c>
      <c r="G42" s="393">
        <f t="shared" si="9"/>
        <v>23460634936.046272</v>
      </c>
      <c r="H42" s="399">
        <f t="shared" si="7"/>
        <v>0.66004875806156704</v>
      </c>
      <c r="I42" s="287"/>
      <c r="J42" s="372" t="str">
        <f>'Table 4 Costs'!L37</f>
        <v>Sacks (2015) and Bouchery (2011)</v>
      </c>
      <c r="K42" s="322" t="s">
        <v>50</v>
      </c>
    </row>
    <row r="43" spans="1:11" x14ac:dyDescent="0.2">
      <c r="A43" s="147" t="s">
        <v>108</v>
      </c>
      <c r="B43" s="182"/>
      <c r="C43" s="386"/>
      <c r="D43" s="394">
        <f>'Table 4 Costs'!K38</f>
        <v>3060.3281203192064</v>
      </c>
      <c r="E43" s="139">
        <f>IF(OR(D43="NA",D43="NR",B40="NA", B40="NR"),0,B40*D43)</f>
        <v>88.921739694641445</v>
      </c>
      <c r="F43" s="150">
        <f>IF(OR(D43="NA",D43="NR",C40="NA", C40="NR"),0,C40*D43)</f>
        <v>224.26570182826057</v>
      </c>
      <c r="G43" s="393">
        <f t="shared" si="9"/>
        <v>5449132175.6880789</v>
      </c>
      <c r="H43" s="399">
        <f t="shared" si="7"/>
        <v>0.1533075696749398</v>
      </c>
      <c r="I43" s="287"/>
      <c r="J43" s="372" t="str">
        <f>'Table 4 Costs'!L38</f>
        <v>Sacks (2015) and Bouchery (2011)</v>
      </c>
      <c r="K43" s="322" t="s">
        <v>50</v>
      </c>
    </row>
    <row r="44" spans="1:11" x14ac:dyDescent="0.2">
      <c r="A44" s="112" t="s">
        <v>109</v>
      </c>
      <c r="B44" s="182">
        <f>'Table 3 Outcomes'!P26</f>
        <v>8.6816875161079277E-3</v>
      </c>
      <c r="C44" s="386">
        <f>'Table 3 Outcomes'!AE26</f>
        <v>2.5649325100796632E-2</v>
      </c>
      <c r="D44" s="394">
        <f>SUM(D45:D47)</f>
        <v>208355.09928086062</v>
      </c>
      <c r="E44" s="366">
        <f>SUM(E45:E47)</f>
        <v>1808.8738643440756</v>
      </c>
      <c r="F44" s="393">
        <f>SUM(F45:F47)</f>
        <v>5344.1676778635529</v>
      </c>
      <c r="G44" s="393">
        <f t="shared" si="9"/>
        <v>120052305766.32025</v>
      </c>
      <c r="H44" s="399">
        <f t="shared" si="7"/>
        <v>3.3775886944022004</v>
      </c>
      <c r="I44" s="287" t="str">
        <f>'Table 3 Outcomes'!AF26</f>
        <v>Affifi (2012)</v>
      </c>
      <c r="J44" s="372" t="s">
        <v>522</v>
      </c>
      <c r="K44" s="322" t="s">
        <v>50</v>
      </c>
    </row>
    <row r="45" spans="1:11" x14ac:dyDescent="0.2">
      <c r="A45" s="147" t="s">
        <v>74</v>
      </c>
      <c r="B45" s="182"/>
      <c r="C45" s="386"/>
      <c r="D45" s="394">
        <f>'Table 4 Costs'!K40</f>
        <v>12736.591611305019</v>
      </c>
      <c r="E45" s="139">
        <f>IF(OR(D45="NA",D45="NR",B44="NA", B44="NR"),0,B44*D45)</f>
        <v>110.57510838963174</v>
      </c>
      <c r="F45" s="150">
        <f>IF(OR(D45="NA",D45="NR",C44="NA", C44="NR"),0,C44*D45)</f>
        <v>326.68497891444161</v>
      </c>
      <c r="G45" s="393">
        <f t="shared" si="9"/>
        <v>7338707791.7396469</v>
      </c>
      <c r="H45" s="399">
        <f t="shared" si="7"/>
        <v>0.20646947437351937</v>
      </c>
      <c r="I45" s="287"/>
      <c r="J45" s="372" t="str">
        <f>'Table 4 Costs'!L40</f>
        <v>US DOJ (2011) and US SAMHSA (2009)</v>
      </c>
      <c r="K45" s="322" t="s">
        <v>50</v>
      </c>
    </row>
    <row r="46" spans="1:11" x14ac:dyDescent="0.2">
      <c r="A46" s="147" t="s">
        <v>80</v>
      </c>
      <c r="B46" s="182"/>
      <c r="C46" s="386"/>
      <c r="D46" s="394">
        <f>'Table 4 Costs'!K41</f>
        <v>129533.24149576004</v>
      </c>
      <c r="E46" s="139">
        <f>IF(OR(D46="NA",D46="NR",B44="NA", B44="NR"),0,B44*D46)</f>
        <v>1124.5671256147334</v>
      </c>
      <c r="F46" s="150">
        <f>IF(OR(D46="NA",D46="NR",C44="NA", C44="NR"),0,C44*D46)</f>
        <v>3322.4402224847499</v>
      </c>
      <c r="G46" s="393">
        <f t="shared" si="9"/>
        <v>74635871013.597366</v>
      </c>
      <c r="H46" s="399">
        <f t="shared" si="7"/>
        <v>2.099828674870059</v>
      </c>
      <c r="I46" s="287"/>
      <c r="J46" s="372" t="str">
        <f>'Table 4 Costs'!L41</f>
        <v>US DOJ (2011) and US SAMHSA (2009)</v>
      </c>
      <c r="K46" s="322" t="s">
        <v>50</v>
      </c>
    </row>
    <row r="47" spans="1:11" x14ac:dyDescent="0.2">
      <c r="A47" s="147" t="s">
        <v>108</v>
      </c>
      <c r="B47" s="182"/>
      <c r="C47" s="386"/>
      <c r="D47" s="394">
        <f>'Table 4 Costs'!K42</f>
        <v>66085.266173795564</v>
      </c>
      <c r="E47" s="139">
        <f>IF(OR(D47="NA",D47="NR",B44="NA", B44="NR"),0,B44*D47)</f>
        <v>573.73163033971048</v>
      </c>
      <c r="F47" s="150">
        <f>IF(OR(D47="NA",D47="NR",C44="NA", C44="NR"),0,C44*D47)</f>
        <v>1695.0424764643612</v>
      </c>
      <c r="G47" s="393">
        <f t="shared" si="9"/>
        <v>38077726960.983238</v>
      </c>
      <c r="H47" s="399">
        <f t="shared" si="7"/>
        <v>1.0712905451586223</v>
      </c>
      <c r="I47" s="287"/>
      <c r="J47" s="372" t="str">
        <f>'Table 4 Costs'!L42</f>
        <v>US DOJ (2011) and US SAMHSA (2009)</v>
      </c>
      <c r="K47" s="322" t="s">
        <v>50</v>
      </c>
    </row>
    <row r="48" spans="1:11" x14ac:dyDescent="0.2">
      <c r="A48" s="112" t="s">
        <v>113</v>
      </c>
      <c r="B48" s="182">
        <f>'Table 3 Outcomes'!P27</f>
        <v>0.1064941209406495</v>
      </c>
      <c r="C48" s="386">
        <f>'Table 3 Outcomes'!AE27</f>
        <v>0.10160160486173564</v>
      </c>
      <c r="D48" s="394">
        <f>SUM(D49:D51)</f>
        <v>80781.625038915721</v>
      </c>
      <c r="E48" s="366">
        <f>SUM(E49:E51)</f>
        <v>5341.8168731887999</v>
      </c>
      <c r="F48" s="393">
        <f>SUM(F49:F51)</f>
        <v>10567.122983092984</v>
      </c>
      <c r="G48" s="393">
        <f t="shared" si="9"/>
        <v>293155199947.04102</v>
      </c>
      <c r="H48" s="399">
        <f t="shared" si="7"/>
        <v>8.2477190481761102</v>
      </c>
      <c r="I48" s="287" t="str">
        <f>'Table 3 Outcomes'!AF27</f>
        <v>Breiding (2008)</v>
      </c>
      <c r="J48" s="372" t="s">
        <v>522</v>
      </c>
      <c r="K48" s="322" t="s">
        <v>50</v>
      </c>
    </row>
    <row r="49" spans="1:11" x14ac:dyDescent="0.2">
      <c r="A49" s="147" t="s">
        <v>74</v>
      </c>
      <c r="B49" s="182"/>
      <c r="C49" s="386"/>
      <c r="D49" s="394">
        <f>'Table 4 Costs'!K44</f>
        <v>5427.3791547770443</v>
      </c>
      <c r="E49" s="139">
        <f>B48*'Table 4 Costs'!K45</f>
        <v>358.89430959348169</v>
      </c>
      <c r="F49" s="150">
        <f>C48*'Table 4 Costs'!K46</f>
        <v>709.96074883088374</v>
      </c>
      <c r="G49" s="393">
        <f t="shared" si="9"/>
        <v>19695870447.525505</v>
      </c>
      <c r="H49" s="399">
        <f t="shared" si="7"/>
        <v>0.55412970975719078</v>
      </c>
      <c r="I49" s="287"/>
      <c r="J49" s="372" t="str">
        <f>'Table 4 Costs'!L44</f>
        <v>Sloan et al (2004)</v>
      </c>
      <c r="K49" s="322" t="s">
        <v>50</v>
      </c>
    </row>
    <row r="50" spans="1:11" x14ac:dyDescent="0.2">
      <c r="A50" s="147" t="s">
        <v>80</v>
      </c>
      <c r="B50" s="182"/>
      <c r="C50" s="386"/>
      <c r="D50" s="394">
        <f>'Table 4 Costs'!K47</f>
        <v>61871.605983716596</v>
      </c>
      <c r="E50" s="139">
        <f>B48*'Table 4 Costs'!K48</f>
        <v>4091.3609828458902</v>
      </c>
      <c r="F50" s="150">
        <f>C48*'Table 4 Costs'!K49</f>
        <v>8093.4849884047417</v>
      </c>
      <c r="G50" s="393">
        <f t="shared" si="9"/>
        <v>224531049164.49985</v>
      </c>
      <c r="H50" s="399">
        <f t="shared" si="7"/>
        <v>6.3170259693007509</v>
      </c>
      <c r="I50" s="287"/>
      <c r="J50" s="372" t="str">
        <f>'Table 4 Costs'!L47</f>
        <v>Sloan et al (2004)</v>
      </c>
      <c r="K50" s="322" t="s">
        <v>50</v>
      </c>
    </row>
    <row r="51" spans="1:11" x14ac:dyDescent="0.2">
      <c r="A51" s="407" t="s">
        <v>108</v>
      </c>
      <c r="B51" s="408"/>
      <c r="C51" s="410"/>
      <c r="D51" s="395">
        <f>'Table 4 Costs'!K50</f>
        <v>13482.639900422088</v>
      </c>
      <c r="E51" s="213">
        <f>B48*'Table 4 Costs'!K51</f>
        <v>891.56158074942778</v>
      </c>
      <c r="F51" s="411">
        <f>C48*'Table 4 Costs'!K52</f>
        <v>1763.6772458573589</v>
      </c>
      <c r="G51" s="397">
        <f t="shared" si="9"/>
        <v>48928280335.015678</v>
      </c>
      <c r="H51" s="400">
        <f t="shared" si="7"/>
        <v>1.3765633691181696</v>
      </c>
      <c r="I51" s="316"/>
      <c r="J51" s="376" t="str">
        <f>'Table 4 Costs'!L50</f>
        <v>Sloan et al (2004)</v>
      </c>
      <c r="K51" s="322" t="s">
        <v>50</v>
      </c>
    </row>
    <row r="52" spans="1:11" x14ac:dyDescent="0.2">
      <c r="A52" s="111" t="s">
        <v>523</v>
      </c>
      <c r="B52" s="412"/>
      <c r="C52" s="413"/>
      <c r="D52" s="394"/>
      <c r="E52" s="157">
        <f>E77+E74+E71+E68+E65+E59+E62+E56+E53+E27</f>
        <v>34216.363231358904</v>
      </c>
      <c r="F52" s="157">
        <f>F77+F74+F71+F68+F65+F59+F62+F56+F53+F27</f>
        <v>2475.1323360961633</v>
      </c>
      <c r="G52" s="515">
        <f>G77+G74+G71+G68+G65+G59+G62+G56+G53+G27</f>
        <v>1110298477847.9944</v>
      </c>
      <c r="H52" s="399">
        <f t="shared" si="7"/>
        <v>31.23748071520529</v>
      </c>
      <c r="I52" s="190"/>
      <c r="J52" s="63" t="s">
        <v>516</v>
      </c>
      <c r="K52" s="322" t="s">
        <v>50</v>
      </c>
    </row>
    <row r="53" spans="1:11" x14ac:dyDescent="0.2">
      <c r="A53" s="112" t="s">
        <v>122</v>
      </c>
      <c r="B53" s="182">
        <f>'Table 3 Outcomes'!P29</f>
        <v>3.5197823955710167E-2</v>
      </c>
      <c r="C53" s="386">
        <f>'Table 3 Outcomes'!AE29</f>
        <v>1.8529079627106357E-2</v>
      </c>
      <c r="D53" s="394">
        <f>SUM(D54:D55)</f>
        <v>90150.010980868159</v>
      </c>
      <c r="E53" s="366">
        <f>SUM(E54:E55)</f>
        <v>3173.0842161099363</v>
      </c>
      <c r="F53" s="393">
        <f>SUM(F54:F55)</f>
        <v>1670.3967318490186</v>
      </c>
      <c r="G53" s="393">
        <f>(E53*$B$7)+(F53*$C$7)</f>
        <v>119922014197.77287</v>
      </c>
      <c r="H53" s="399">
        <f t="shared" si="7"/>
        <v>3.3739230311224118</v>
      </c>
      <c r="I53" s="287" t="str">
        <f>'Table 3 Outcomes'!AF29</f>
        <v>Breiding (2008)</v>
      </c>
      <c r="J53" s="372" t="s">
        <v>522</v>
      </c>
      <c r="K53" s="322" t="s">
        <v>50</v>
      </c>
    </row>
    <row r="54" spans="1:11" x14ac:dyDescent="0.2">
      <c r="A54" s="147" t="s">
        <v>74</v>
      </c>
      <c r="B54" s="182"/>
      <c r="C54" s="386"/>
      <c r="D54" s="394">
        <f>'Table 4 Costs'!K55</f>
        <v>82687.871412371052</v>
      </c>
      <c r="E54" s="139">
        <f>IF(OR(D54="NA",D54="NR",B53="NA", B53="NR"),0,B53*D54)</f>
        <v>2910.4331412450356</v>
      </c>
      <c r="F54" s="150">
        <f>IF(OR(D54="NA",D54="NR",C53="NA", C53="NR"),0,C53*D54)</f>
        <v>1532.1301535957546</v>
      </c>
      <c r="G54" s="393">
        <f t="shared" ref="G54:G82" si="10">(E54*$B$7)+(F54*$C$7)</f>
        <v>109995506174.72906</v>
      </c>
      <c r="H54" s="399">
        <f t="shared" si="7"/>
        <v>3.0946475848116473</v>
      </c>
      <c r="I54" s="287"/>
      <c r="J54" s="372" t="str">
        <f>'Table 4 Costs'!L55</f>
        <v>Barnett (2011)</v>
      </c>
      <c r="K54" s="322" t="s">
        <v>50</v>
      </c>
    </row>
    <row r="55" spans="1:11" x14ac:dyDescent="0.2">
      <c r="A55" s="147" t="s">
        <v>80</v>
      </c>
      <c r="B55" s="462"/>
      <c r="C55" s="463"/>
      <c r="D55" s="394">
        <f>'Table 4 Costs'!K56</f>
        <v>7462.1395684971139</v>
      </c>
      <c r="E55" s="139">
        <f>IF(OR(D55="NA",D55="NR",B53="NA", B53="NR"),0,B53*D55)</f>
        <v>262.65107486490047</v>
      </c>
      <c r="F55" s="150">
        <f>IF(OR(D55="NA",D55="NR",C53="NA", C53="NR"),0,C53*D55)</f>
        <v>138.2665782532641</v>
      </c>
      <c r="G55" s="393">
        <f t="shared" si="10"/>
        <v>9926508023.0437908</v>
      </c>
      <c r="H55" s="399">
        <f t="shared" si="7"/>
        <v>0.27927544631076445</v>
      </c>
      <c r="I55" s="287"/>
      <c r="J55" s="372" t="str">
        <f>'Table 4 Costs'!L56</f>
        <v>Barnett (2011)</v>
      </c>
      <c r="K55" s="322" t="s">
        <v>50</v>
      </c>
    </row>
    <row r="56" spans="1:11" x14ac:dyDescent="0.2">
      <c r="A56" s="112" t="s">
        <v>802</v>
      </c>
      <c r="B56" s="462">
        <f>'Table 3 Outcomes'!P30</f>
        <v>1.8800627943485082E-2</v>
      </c>
      <c r="C56" s="463" t="str">
        <f>'Table 3 Outcomes'!AE30</f>
        <v>NR</v>
      </c>
      <c r="D56" s="394">
        <f>SUM(D57:D58)</f>
        <v>495731.33865831007</v>
      </c>
      <c r="E56" s="366">
        <f>SUM(E57:E58)</f>
        <v>9320.0604580406925</v>
      </c>
      <c r="F56" s="393">
        <f>SUM(F57:F58)</f>
        <v>0</v>
      </c>
      <c r="G56" s="393">
        <f>(E56*$B$7)+(F56*$C$7)</f>
        <v>294495270353.1698</v>
      </c>
      <c r="H56" s="399">
        <f t="shared" ref="H56:H58" si="11">(G56/$G$7)*100</f>
        <v>8.2854210033743207</v>
      </c>
      <c r="I56" s="287" t="str">
        <f>'Table 3 Outcomes'!AF30</f>
        <v>Coker (2005)</v>
      </c>
      <c r="J56" s="372" t="s">
        <v>522</v>
      </c>
      <c r="K56" s="322" t="s">
        <v>50</v>
      </c>
    </row>
    <row r="57" spans="1:11" x14ac:dyDescent="0.2">
      <c r="A57" s="147" t="s">
        <v>74</v>
      </c>
      <c r="B57" s="182"/>
      <c r="C57" s="386"/>
      <c r="D57" s="394">
        <f>'Table 4 Costs'!K58</f>
        <v>30131.935524555065</v>
      </c>
      <c r="E57" s="139">
        <f>IF(OR(D57="NA",D57="NR",B56="NA", B56="NR"),0,B56*D57)</f>
        <v>566.49930901424079</v>
      </c>
      <c r="F57" s="150">
        <f>IF(OR(D57="NA",D57="NR",C56="NA", C56="NR"),0,C56*D57)</f>
        <v>0</v>
      </c>
      <c r="G57" s="393">
        <f t="shared" ref="G57:G58" si="12">(E57*$B$7)+(F57*$C$7)</f>
        <v>17900245166.231979</v>
      </c>
      <c r="H57" s="399">
        <f t="shared" si="11"/>
        <v>0.50361103282911091</v>
      </c>
      <c r="I57" s="287"/>
      <c r="J57" s="372" t="str">
        <f>'Table 4 Costs'!L58</f>
        <v>Frick (2007)</v>
      </c>
      <c r="K57" s="322" t="s">
        <v>50</v>
      </c>
    </row>
    <row r="58" spans="1:11" x14ac:dyDescent="0.2">
      <c r="A58" s="147" t="s">
        <v>80</v>
      </c>
      <c r="B58" s="182"/>
      <c r="C58" s="386"/>
      <c r="D58" s="394">
        <f>'Table 4 Costs'!K59</f>
        <v>465599.40313375503</v>
      </c>
      <c r="E58" s="139">
        <f>IF(OR(D58="NA",D58="NR",B56="NA", B56="NR"),0,B56*D58)</f>
        <v>8753.5611490264509</v>
      </c>
      <c r="F58" s="150">
        <f>IF(OR(D58="NA",D58="NR",C56="NA", C56="NR"),0,C56*D58)</f>
        <v>0</v>
      </c>
      <c r="G58" s="393">
        <f t="shared" si="12"/>
        <v>276595025186.93781</v>
      </c>
      <c r="H58" s="399">
        <f t="shared" si="11"/>
        <v>7.7818099705452086</v>
      </c>
      <c r="I58" s="287"/>
      <c r="J58" s="372" t="str">
        <f>'Table 4 Costs'!L59</f>
        <v>Rein (2006)</v>
      </c>
      <c r="K58" s="322" t="s">
        <v>50</v>
      </c>
    </row>
    <row r="59" spans="1:11" x14ac:dyDescent="0.2">
      <c r="A59" s="112" t="s">
        <v>831</v>
      </c>
      <c r="B59" s="182">
        <f>'Table 3 Outcomes'!P32</f>
        <v>4.4080000000000001E-2</v>
      </c>
      <c r="C59" s="386" t="str">
        <f>'Table 3 Outcomes'!AE32</f>
        <v>NR</v>
      </c>
      <c r="D59" s="394">
        <f>SUM(D60:D61)</f>
        <v>15886.239833238342</v>
      </c>
      <c r="E59" s="366">
        <f>SUM(E60:E61)</f>
        <v>700.26545184914607</v>
      </c>
      <c r="F59" s="393">
        <f>SUM(F60:F61)</f>
        <v>0</v>
      </c>
      <c r="G59" s="393">
        <f>(E59*$B$7)+(F59*$C$7)</f>
        <v>22126987747.529316</v>
      </c>
      <c r="H59" s="399">
        <f t="shared" ref="H59:H61" si="13">(G59/$G$7)*100</f>
        <v>0.62252751565391096</v>
      </c>
      <c r="I59" s="287" t="str">
        <f>'Table 3 Outcomes'!AF32</f>
        <v>Bonomi (2009)</v>
      </c>
      <c r="J59" s="372" t="s">
        <v>522</v>
      </c>
      <c r="K59" s="322" t="s">
        <v>50</v>
      </c>
    </row>
    <row r="60" spans="1:11" x14ac:dyDescent="0.2">
      <c r="A60" s="147" t="s">
        <v>74</v>
      </c>
      <c r="B60" s="182"/>
      <c r="C60" s="386"/>
      <c r="D60" s="150">
        <f>'Table 4 Costs'!K61</f>
        <v>15223.365012436949</v>
      </c>
      <c r="E60" s="139">
        <f>IF(OR(D60="NA",D60="NR",B59="NA", B59="NR"),0,B59*D60)</f>
        <v>671.04592974822071</v>
      </c>
      <c r="F60" s="150">
        <f>IF(OR(D60="NA",D60="NR",C59="NA", C59="NR"),0,C59*D60)</f>
        <v>0</v>
      </c>
      <c r="G60" s="393">
        <f t="shared" ref="G60:G61" si="14">(E60*$B$7)+(F60*$C$7)</f>
        <v>21203709288.184277</v>
      </c>
      <c r="H60" s="399">
        <f t="shared" si="13"/>
        <v>0.59655171397177664</v>
      </c>
      <c r="I60" s="287"/>
      <c r="J60" s="372" t="str">
        <f>'Table 4 Costs'!L61</f>
        <v>Sandler (2002)</v>
      </c>
      <c r="K60" s="322" t="s">
        <v>50</v>
      </c>
    </row>
    <row r="61" spans="1:11" x14ac:dyDescent="0.2">
      <c r="A61" s="147" t="s">
        <v>80</v>
      </c>
      <c r="B61" s="182"/>
      <c r="C61" s="386"/>
      <c r="D61" s="393">
        <f>'Table 4 Costs'!K62</f>
        <v>662.87482080139284</v>
      </c>
      <c r="E61" s="139">
        <f>IF(OR(D61="NA",D61="NR",B59="NA", B59="NR"),0,B59*D61)</f>
        <v>29.219522100925396</v>
      </c>
      <c r="F61" s="150">
        <f>IF(OR(D61="NA",D61="NR",C59="NA", C59="NR"),0,C59*D61)</f>
        <v>0</v>
      </c>
      <c r="G61" s="393">
        <f t="shared" si="14"/>
        <v>923278459.34504068</v>
      </c>
      <c r="H61" s="399">
        <f t="shared" si="13"/>
        <v>2.597580168213437E-2</v>
      </c>
      <c r="I61" s="287"/>
      <c r="J61" s="372" t="str">
        <f>'Table 4 Costs'!L62</f>
        <v>Sandler (2002)</v>
      </c>
      <c r="K61" s="322" t="s">
        <v>50</v>
      </c>
    </row>
    <row r="62" spans="1:11" x14ac:dyDescent="0.2">
      <c r="A62" s="112" t="s">
        <v>820</v>
      </c>
      <c r="B62" s="182">
        <f>'Table 3 Outcomes'!P31</f>
        <v>6.9540000000000018E-2</v>
      </c>
      <c r="C62" s="386" t="str">
        <f>'Table 3 Outcomes'!AE31</f>
        <v>NR</v>
      </c>
      <c r="D62" s="394">
        <f>SUM(D63:D64)</f>
        <v>84375.018183099281</v>
      </c>
      <c r="E62" s="366">
        <f>SUM(E63:E64)</f>
        <v>5867.4387644527251</v>
      </c>
      <c r="F62" s="393">
        <f>SUM(F63:F64)</f>
        <v>0</v>
      </c>
      <c r="G62" s="393">
        <f>(E62*$B$7)+(F62*$C$7)</f>
        <v>185399330079.17722</v>
      </c>
      <c r="H62" s="399">
        <f>(G62/$G$7)*100</f>
        <v>5.2160820837882413</v>
      </c>
      <c r="I62" s="287" t="str">
        <f>'Table 3 Outcomes'!AF31</f>
        <v>Bonomi (2009)</v>
      </c>
      <c r="J62" s="372" t="s">
        <v>522</v>
      </c>
      <c r="K62" s="322" t="s">
        <v>50</v>
      </c>
    </row>
    <row r="63" spans="1:11" x14ac:dyDescent="0.2">
      <c r="A63" s="147" t="s">
        <v>74</v>
      </c>
      <c r="B63" s="182"/>
      <c r="C63" s="386"/>
      <c r="D63" s="394">
        <f>'Table 4 Costs'!K64</f>
        <v>46016.558704113682</v>
      </c>
      <c r="E63" s="139">
        <f>IF(OR(D63="NA",D63="NR",B62="NA", B62="NR"),0,B62*D63)</f>
        <v>3199.9914922840662</v>
      </c>
      <c r="F63" s="150">
        <f>IF(OR(D63="NA",D63="NR",C62="NA", C62="NR"),0,C62*D63)</f>
        <v>0</v>
      </c>
      <c r="G63" s="393">
        <f>(E63*$B$7)+(F63*$C$7)</f>
        <v>101113331173.19193</v>
      </c>
      <c r="H63" s="399">
        <f>(G63/$G$7)*100</f>
        <v>2.8447537266687735</v>
      </c>
      <c r="I63" s="287"/>
      <c r="J63" s="372" t="str">
        <f>'Table 4 Costs'!L64</f>
        <v>Gaskin (2011)</v>
      </c>
      <c r="K63" s="322" t="s">
        <v>50</v>
      </c>
    </row>
    <row r="64" spans="1:11" x14ac:dyDescent="0.2">
      <c r="A64" s="147" t="s">
        <v>80</v>
      </c>
      <c r="B64" s="182"/>
      <c r="C64" s="386"/>
      <c r="D64" s="394">
        <f>'Table 4 Costs'!K65</f>
        <v>38358.459478985598</v>
      </c>
      <c r="E64" s="139">
        <f>IF(OR(D64="NA",D64="NR",B62="NA", B62="NR"),0,B62*D64)</f>
        <v>2667.4472721686593</v>
      </c>
      <c r="F64" s="150">
        <f>IF(OR(D64="NA",D64="NR",C62="NA", C62="NR"),0,C62*D64)</f>
        <v>0</v>
      </c>
      <c r="G64" s="393">
        <f>(E64*$B$7)+(F64*$C$7)</f>
        <v>84285998905.985291</v>
      </c>
      <c r="H64" s="399">
        <f>(G64/$G$7)*100</f>
        <v>2.3713283571194674</v>
      </c>
      <c r="I64" s="287"/>
      <c r="J64" s="372" t="str">
        <f>'Table 4 Costs'!L65</f>
        <v>Gaskin (2011)</v>
      </c>
      <c r="K64" s="322" t="s">
        <v>50</v>
      </c>
    </row>
    <row r="65" spans="1:11" x14ac:dyDescent="0.2">
      <c r="A65" s="112" t="s">
        <v>545</v>
      </c>
      <c r="B65" s="182">
        <f>'Table 3 Outcomes'!P33</f>
        <v>1.2353638068911051E-2</v>
      </c>
      <c r="C65" s="386">
        <f>'Table 3 Outcomes'!AE33</f>
        <v>0</v>
      </c>
      <c r="D65" s="394">
        <f>SUM(D66:D67)</f>
        <v>599616.7011742813</v>
      </c>
      <c r="E65" s="366">
        <f>SUM(E66:E67)</f>
        <v>7407.4477063814629</v>
      </c>
      <c r="F65" s="393">
        <f>SUM(F66:F67)</f>
        <v>0</v>
      </c>
      <c r="G65" s="393">
        <f>(E65*$B$7)+(F65*$C$7)</f>
        <v>234060532626.24146</v>
      </c>
      <c r="H65" s="399">
        <f t="shared" ref="H65:H67" si="15">(G65/$G$7)*100</f>
        <v>6.5851314038312809</v>
      </c>
      <c r="I65" s="287" t="str">
        <f>'Table 3 Outcomes'!AF34</f>
        <v>Breiding (2008)</v>
      </c>
      <c r="J65" s="372" t="s">
        <v>522</v>
      </c>
      <c r="K65" s="322" t="s">
        <v>50</v>
      </c>
    </row>
    <row r="66" spans="1:11" x14ac:dyDescent="0.2">
      <c r="A66" s="147" t="s">
        <v>74</v>
      </c>
      <c r="B66" s="182"/>
      <c r="C66" s="386"/>
      <c r="D66" s="150">
        <f>'Table 4 Costs'!K67</f>
        <v>576253.10894333164</v>
      </c>
      <c r="E66" s="139">
        <f>IF(OR(D66="NA",D66="NR",B65="NA", B65="NR"),0,B65*D66)</f>
        <v>7118.822343970689</v>
      </c>
      <c r="F66" s="150">
        <f>IF(OR(D66="NA",D66="NR",C65="NA", C65="NR"),0,C65*D66)</f>
        <v>0</v>
      </c>
      <c r="G66" s="393">
        <f t="shared" ref="G66:G67" si="16">(E66*$B$7)+(F66*$C$7)</f>
        <v>224940548424.78583</v>
      </c>
      <c r="H66" s="399">
        <f t="shared" si="15"/>
        <v>6.3285469481197687</v>
      </c>
      <c r="I66" s="287"/>
      <c r="J66" s="372" t="str">
        <f>'Table 4 Costs'!L67</f>
        <v>Birnbaum (2003)</v>
      </c>
      <c r="K66" s="322" t="s">
        <v>50</v>
      </c>
    </row>
    <row r="67" spans="1:11" x14ac:dyDescent="0.2">
      <c r="A67" s="147" t="s">
        <v>80</v>
      </c>
      <c r="B67" s="182"/>
      <c r="C67" s="386"/>
      <c r="D67" s="150">
        <f>'Table 4 Costs'!K68</f>
        <v>23363.592230949656</v>
      </c>
      <c r="E67" s="139">
        <f>IF(OR(D67="NA",D67="NR",B65="NA", B65="NR"),0,B65*D67)</f>
        <v>288.62536241077413</v>
      </c>
      <c r="F67" s="150">
        <f>IF(OR(D67="NA",D67="NR",C65="NA", C65="NR"),0,C65*D67)</f>
        <v>0</v>
      </c>
      <c r="G67" s="393">
        <f t="shared" si="16"/>
        <v>9119984201.4556408</v>
      </c>
      <c r="H67" s="399">
        <f t="shared" si="15"/>
        <v>0.25658445571151167</v>
      </c>
      <c r="I67" s="287"/>
      <c r="J67" s="372" t="str">
        <f>'Table 4 Costs'!L68</f>
        <v>Mozaffarian (2016) and Song (2015)</v>
      </c>
      <c r="K67" s="322" t="s">
        <v>50</v>
      </c>
    </row>
    <row r="68" spans="1:11" x14ac:dyDescent="0.2">
      <c r="A68" s="112" t="s">
        <v>524</v>
      </c>
      <c r="B68" s="182">
        <f>'Table 3 Outcomes'!P34</f>
        <v>6.6651048088779308E-2</v>
      </c>
      <c r="C68" s="386">
        <f>'Table 3 Outcomes'!AE34</f>
        <v>4.416883997889498E-2</v>
      </c>
      <c r="D68" s="394">
        <f>SUM(D69:D70)</f>
        <v>18219.53224562086</v>
      </c>
      <c r="E68" s="366">
        <f>SUM(E69:E70)</f>
        <v>1214.3509198579411</v>
      </c>
      <c r="F68" s="393">
        <f>SUM(F69:F70)</f>
        <v>804.73560424714469</v>
      </c>
      <c r="G68" s="393">
        <f>(E68*$B$7)+(F68*$C$7)</f>
        <v>47841993692.05587</v>
      </c>
      <c r="H68" s="399">
        <f t="shared" ref="H68:H73" si="17">(G68/$G$7)*100</f>
        <v>1.3460014447909279</v>
      </c>
      <c r="I68" s="287" t="str">
        <f>'Table 3 Outcomes'!AF34</f>
        <v>Breiding (2008)</v>
      </c>
      <c r="J68" s="372" t="s">
        <v>522</v>
      </c>
      <c r="K68" s="322" t="s">
        <v>50</v>
      </c>
    </row>
    <row r="69" spans="1:11" x14ac:dyDescent="0.2">
      <c r="A69" s="147" t="s">
        <v>74</v>
      </c>
      <c r="B69" s="182"/>
      <c r="C69" s="386"/>
      <c r="D69" s="394">
        <f>'Table 4 Costs'!K70</f>
        <v>16049.418462159627</v>
      </c>
      <c r="E69" s="139">
        <f>IF(OR(D69="NA",D69="NR",B68="NA", B68="NR"),0,B68*D69)</f>
        <v>1069.7105617183438</v>
      </c>
      <c r="F69" s="150">
        <f>IF(OR(D69="NA",D69="NR",C68="NA", C68="NR"),0,C68*D69)</f>
        <v>708.88419580945128</v>
      </c>
      <c r="G69" s="393">
        <f t="shared" ref="G69:G73" si="18">(E69*$B$7)+(F69*$C$7)</f>
        <v>42143572429.657661</v>
      </c>
      <c r="H69" s="399">
        <f t="shared" si="17"/>
        <v>1.1856802988624098</v>
      </c>
      <c r="I69" s="287"/>
      <c r="J69" s="372" t="str">
        <f>'Table 4 Costs'!L70</f>
        <v>Gaskin (2001)</v>
      </c>
      <c r="K69" s="322" t="s">
        <v>50</v>
      </c>
    </row>
    <row r="70" spans="1:11" x14ac:dyDescent="0.2">
      <c r="A70" s="147" t="s">
        <v>80</v>
      </c>
      <c r="B70" s="182"/>
      <c r="C70" s="386"/>
      <c r="D70" s="394">
        <f>'Table 4 Costs'!K71</f>
        <v>2170.1137834612309</v>
      </c>
      <c r="E70" s="139">
        <f>IF(OR(D70="NA",D70="NR",B68="NA", B68="NR"),0,B68*D70)</f>
        <v>144.64035813959731</v>
      </c>
      <c r="F70" s="150">
        <f>IF(OR(D70="NA",D70="NR",C68="NA", C68="NR"),0,C68*D70)</f>
        <v>95.851408437693465</v>
      </c>
      <c r="G70" s="393">
        <f t="shared" si="18"/>
        <v>5698421262.3982105</v>
      </c>
      <c r="H70" s="399">
        <f t="shared" si="17"/>
        <v>0.16032114592851815</v>
      </c>
      <c r="I70" s="287"/>
      <c r="J70" s="372" t="str">
        <f>'Table 4 Costs'!L71</f>
        <v>Gaskin (2001)</v>
      </c>
      <c r="K70" s="322" t="s">
        <v>50</v>
      </c>
    </row>
    <row r="71" spans="1:11" x14ac:dyDescent="0.2">
      <c r="A71" s="112" t="s">
        <v>89</v>
      </c>
      <c r="B71" s="182">
        <f>'Table 3 Outcomes'!P35</f>
        <v>2.3650000000000001E-2</v>
      </c>
      <c r="C71" s="386" t="str">
        <f>'Table 3 Outcomes'!AE35</f>
        <v>NR</v>
      </c>
      <c r="D71" s="394">
        <f>SUM(D72:D73)</f>
        <v>1116.0109207559663</v>
      </c>
      <c r="E71" s="366">
        <f>SUM(E72:E73)</f>
        <v>26.3936582758786</v>
      </c>
      <c r="F71" s="393">
        <f>SUM(F72:F73)</f>
        <v>0</v>
      </c>
      <c r="G71" s="393">
        <f>(E71*$B$7)+(F71*$C$7)</f>
        <v>833986814.20121205</v>
      </c>
      <c r="H71" s="399">
        <f t="shared" si="17"/>
        <v>2.3463642925855174E-2</v>
      </c>
      <c r="I71" s="287" t="str">
        <f>'Table 3 Outcomes'!AF35</f>
        <v>Bonomi (2009)</v>
      </c>
      <c r="J71" s="372" t="s">
        <v>522</v>
      </c>
      <c r="K71" s="322" t="s">
        <v>50</v>
      </c>
    </row>
    <row r="72" spans="1:11" x14ac:dyDescent="0.2">
      <c r="A72" s="147" t="s">
        <v>74</v>
      </c>
      <c r="B72" s="182"/>
      <c r="C72" s="391"/>
      <c r="D72" s="394">
        <f>'Table 4 Costs'!K73</f>
        <v>819.18109599173408</v>
      </c>
      <c r="E72" s="139">
        <f>IF(OR(D72="NA",D72="NR",B71="NA", B71="NR"),0,B71*D72)</f>
        <v>19.373632920204511</v>
      </c>
      <c r="F72" s="150">
        <f>IF(OR(D72="NA",D72="NR",C71="NA", C71="NR"),0,C71*D72)</f>
        <v>0</v>
      </c>
      <c r="G72" s="393">
        <f t="shared" si="18"/>
        <v>612168053.01262212</v>
      </c>
      <c r="H72" s="399">
        <f t="shared" si="17"/>
        <v>1.7222925305193957E-2</v>
      </c>
      <c r="I72" s="287"/>
      <c r="J72" s="372" t="str">
        <f>'Table 4 Costs'!L73</f>
        <v>Owusu-Edusei (2013) and Chesson (2012)</v>
      </c>
      <c r="K72" s="322" t="s">
        <v>50</v>
      </c>
    </row>
    <row r="73" spans="1:11" x14ac:dyDescent="0.2">
      <c r="A73" s="147" t="s">
        <v>80</v>
      </c>
      <c r="B73" s="182"/>
      <c r="C73" s="386"/>
      <c r="D73" s="394">
        <f>'Table 4 Costs'!K74</f>
        <v>296.82982476423211</v>
      </c>
      <c r="E73" s="139">
        <f>IF(OR(D73="NA",D73="NR",B71="NA", B71="NR"),0,B71*D73)</f>
        <v>7.0200253556740897</v>
      </c>
      <c r="F73" s="150">
        <f>IF(OR(D73="NA",D73="NR",C71="NA", C71="NR"),0,C71*D73)</f>
        <v>0</v>
      </c>
      <c r="G73" s="393">
        <f t="shared" si="18"/>
        <v>221818761.1885899</v>
      </c>
      <c r="H73" s="399">
        <f t="shared" si="17"/>
        <v>6.2407176206612158E-3</v>
      </c>
      <c r="I73" s="287"/>
      <c r="J73" s="372" t="str">
        <f>'Table 4 Costs'!L74</f>
        <v>Owusu-Edusei (2013)</v>
      </c>
      <c r="K73" s="322" t="s">
        <v>50</v>
      </c>
    </row>
    <row r="74" spans="1:11" x14ac:dyDescent="0.2">
      <c r="A74" s="112" t="s">
        <v>120</v>
      </c>
      <c r="B74" s="182">
        <f>'Table 3 Outcomes'!P36</f>
        <v>9.5107942166765685E-3</v>
      </c>
      <c r="C74" s="386">
        <f>'Table 3 Outcomes'!AE36</f>
        <v>0</v>
      </c>
      <c r="D74" s="394">
        <f>SUM(D75:D76)</f>
        <v>599193.70513550576</v>
      </c>
      <c r="E74" s="366">
        <f>SUM(E75:E76)</f>
        <v>5698.8080254717734</v>
      </c>
      <c r="F74" s="393">
        <f>SUM(F75:F76)</f>
        <v>0</v>
      </c>
      <c r="G74" s="393">
        <f>(E74*$B$7)+(F74*$C$7)</f>
        <v>180070935988.85709</v>
      </c>
      <c r="H74" s="399">
        <f t="shared" ref="H74:H76" si="19">(G74/$G$7)*100</f>
        <v>5.0661713967430808</v>
      </c>
      <c r="I74" s="287" t="str">
        <f>'Table 3 Outcomes'!AF36</f>
        <v>Breiding (2008)</v>
      </c>
      <c r="J74" s="372" t="s">
        <v>522</v>
      </c>
      <c r="K74" s="322" t="s">
        <v>50</v>
      </c>
    </row>
    <row r="75" spans="1:11" x14ac:dyDescent="0.2">
      <c r="A75" s="147" t="s">
        <v>74</v>
      </c>
      <c r="B75" s="182"/>
      <c r="C75" s="386"/>
      <c r="D75" s="394">
        <f>'Table 4 Costs'!K76</f>
        <v>576253.10894333164</v>
      </c>
      <c r="E75" s="139">
        <f>IF(OR(D75="NA",D75="NR",B74="NA", B74="NR"),0,B74*D75)</f>
        <v>5480.6247358801311</v>
      </c>
      <c r="F75" s="150">
        <f>IF(OR(D75="NA",D75="NR",C74="NA", C74="NR"),0,C74*D75)</f>
        <v>0</v>
      </c>
      <c r="G75" s="393">
        <f t="shared" ref="G75:G76" si="20">(E75*$B$7)+(F75*$C$7)</f>
        <v>173176780404.34039</v>
      </c>
      <c r="H75" s="399">
        <f t="shared" si="19"/>
        <v>4.8722090916371839</v>
      </c>
      <c r="I75" s="287"/>
      <c r="J75" s="372" t="str">
        <f>'Table 4 Costs'!L76</f>
        <v>Birnbaum (2003)</v>
      </c>
      <c r="K75" s="322" t="s">
        <v>50</v>
      </c>
    </row>
    <row r="76" spans="1:11" x14ac:dyDescent="0.2">
      <c r="A76" s="147" t="s">
        <v>80</v>
      </c>
      <c r="B76" s="182"/>
      <c r="C76" s="386"/>
      <c r="D76" s="394">
        <f>'Table 4 Costs'!K77</f>
        <v>22940.596192174147</v>
      </c>
      <c r="E76" s="139">
        <f>IF(OR(D76="NA",D76="NR",B74="NA", B74="NR"),0,B74*D76)</f>
        <v>218.18328959164239</v>
      </c>
      <c r="F76" s="150">
        <f>IF(OR(D76="NA",D76="NR",C74="NA", C74="NR"),0,C74*D76)</f>
        <v>0</v>
      </c>
      <c r="G76" s="393">
        <f t="shared" si="20"/>
        <v>6894155584.516716</v>
      </c>
      <c r="H76" s="399">
        <f t="shared" si="19"/>
        <v>0.19396230510589707</v>
      </c>
      <c r="I76" s="287"/>
      <c r="J76" s="372" t="str">
        <f>'Table 4 Costs'!L77</f>
        <v>Mozaffarian (2016) and Song (2015)</v>
      </c>
      <c r="K76" s="322" t="s">
        <v>50</v>
      </c>
    </row>
    <row r="77" spans="1:11" x14ac:dyDescent="0.2">
      <c r="A77" s="112" t="s">
        <v>813</v>
      </c>
      <c r="B77" s="182">
        <f>'Table 3 Outcomes'!P37</f>
        <v>9.2429999999999998E-2</v>
      </c>
      <c r="C77" s="386" t="str">
        <f>'Table 3 Outcomes'!AE37</f>
        <v>NR</v>
      </c>
      <c r="D77" s="394">
        <f>SUM(D78:D79)</f>
        <v>421.56841261416645</v>
      </c>
      <c r="E77" s="366">
        <f>SUM(E78:E79)</f>
        <v>38.965568377927404</v>
      </c>
      <c r="F77" s="393">
        <f>SUM(F78:F79)</f>
        <v>0</v>
      </c>
      <c r="G77" s="393">
        <f>(E77*$B$7)+(F77*$C$7)</f>
        <v>1231234029.6057501</v>
      </c>
      <c r="H77" s="399">
        <f t="shared" ref="H77:H79" si="21">(G77/$G$7)*100</f>
        <v>3.4639918925458153E-2</v>
      </c>
      <c r="I77" s="287" t="str">
        <f>'Table 3 Outcomes'!AF37</f>
        <v>Bonomi (2009)</v>
      </c>
      <c r="J77" s="372" t="s">
        <v>522</v>
      </c>
      <c r="K77" s="322" t="s">
        <v>50</v>
      </c>
    </row>
    <row r="78" spans="1:11" x14ac:dyDescent="0.2">
      <c r="A78" s="147" t="s">
        <v>74</v>
      </c>
      <c r="B78" s="182"/>
      <c r="C78" s="386"/>
      <c r="D78" s="394">
        <f>'Table 4 Costs'!K79</f>
        <v>135.52515773580575</v>
      </c>
      <c r="E78" s="139">
        <f>IF(OR(D78="NA",D78="NR",B77="NA", B77="NR"),0,B77*D78)</f>
        <v>12.526590329520525</v>
      </c>
      <c r="F78" s="150">
        <f>IF(OR(D78="NA",D78="NR",C77="NA", C77="NR"),0,C77*D78)</f>
        <v>0</v>
      </c>
      <c r="G78" s="393">
        <f t="shared" ref="G78:G79" si="22">(E78*$B$7)+(F78*$C$7)</f>
        <v>395815201.23218954</v>
      </c>
      <c r="H78" s="399">
        <f t="shared" si="21"/>
        <v>1.1135987270054021E-2</v>
      </c>
      <c r="I78" s="287"/>
      <c r="J78" s="372" t="str">
        <f>'Table 4 Costs'!L79</f>
        <v>Foxman (2000)</v>
      </c>
      <c r="K78" s="322" t="s">
        <v>50</v>
      </c>
    </row>
    <row r="79" spans="1:11" x14ac:dyDescent="0.2">
      <c r="A79" s="407" t="s">
        <v>80</v>
      </c>
      <c r="B79" s="408"/>
      <c r="C79" s="410"/>
      <c r="D79" s="395">
        <f>'Table 4 Costs'!K80</f>
        <v>286.0432548783607</v>
      </c>
      <c r="E79" s="213">
        <f>IF(OR(D79="NA",D79="NR",B77="NA", B77="NR"),0,B77*D79)</f>
        <v>26.438978048406877</v>
      </c>
      <c r="F79" s="411">
        <f>IF(OR(D79="NA",D79="NR",C77="NA", C77="NR"),0,C77*D79)</f>
        <v>0</v>
      </c>
      <c r="G79" s="397">
        <f t="shared" si="22"/>
        <v>835418828.37356055</v>
      </c>
      <c r="H79" s="400">
        <f t="shared" si="21"/>
        <v>2.3503931655404132E-2</v>
      </c>
      <c r="I79" s="316"/>
      <c r="J79" s="376" t="str">
        <f>'Table 4 Costs'!L80</f>
        <v>Foxman (2000)</v>
      </c>
      <c r="K79" s="322" t="s">
        <v>50</v>
      </c>
    </row>
    <row r="80" spans="1:11" x14ac:dyDescent="0.2">
      <c r="A80" s="111" t="s">
        <v>776</v>
      </c>
      <c r="B80" s="412"/>
      <c r="C80" s="413"/>
      <c r="D80" s="394"/>
      <c r="E80" s="157">
        <f>SUM(E81:E82)</f>
        <v>1917.0572605303262</v>
      </c>
      <c r="F80" s="394">
        <f>SUM(F81:F82)</f>
        <v>1917.0572605303262</v>
      </c>
      <c r="G80" s="394">
        <f>SUM(G81:G82)</f>
        <v>83137022217.418655</v>
      </c>
      <c r="H80" s="399">
        <f t="shared" si="7"/>
        <v>2.339002691663377</v>
      </c>
      <c r="I80" s="190" t="s">
        <v>138</v>
      </c>
      <c r="J80" s="63" t="s">
        <v>516</v>
      </c>
      <c r="K80" s="322" t="s">
        <v>50</v>
      </c>
    </row>
    <row r="81" spans="1:11" x14ac:dyDescent="0.2">
      <c r="A81" s="112" t="s">
        <v>511</v>
      </c>
      <c r="B81" s="549">
        <f>'Table 2 Criminal justice'!B34</f>
        <v>9.6276881116219674E-3</v>
      </c>
      <c r="C81" s="550"/>
      <c r="D81" s="394">
        <f>'Table 4 Costs'!K82</f>
        <v>83293.962573723285</v>
      </c>
      <c r="E81" s="366">
        <f>IF(OR(D81="NA",D81="NR",B81="NA", B81="NR"),0,B81*D81)</f>
        <v>801.92829324092077</v>
      </c>
      <c r="F81" s="393">
        <f>IF(OR(D81="NA",D81="NR",B81="NA", B81="NR"),0,B81*D81)</f>
        <v>801.92829324092077</v>
      </c>
      <c r="G81" s="393">
        <f t="shared" si="10"/>
        <v>34777224292.979012</v>
      </c>
      <c r="H81" s="399">
        <f>(G81/$G$7)*100</f>
        <v>0.97843318247710709</v>
      </c>
      <c r="I81" s="287"/>
      <c r="J81" s="372" t="s">
        <v>138</v>
      </c>
      <c r="K81" s="322" t="s">
        <v>50</v>
      </c>
    </row>
    <row r="82" spans="1:11" x14ac:dyDescent="0.2">
      <c r="A82" s="175" t="s">
        <v>777</v>
      </c>
      <c r="B82" s="547">
        <f>'Table 2 Criminal justice'!B34</f>
        <v>9.6276881116219674E-3</v>
      </c>
      <c r="C82" s="548"/>
      <c r="D82" s="395">
        <f>'Table 4 Costs'!K83</f>
        <v>115825.20687840818</v>
      </c>
      <c r="E82" s="375">
        <f>IF(OR(D82="NA",D82="NR",B82="NA", B82="NR"),0,B82*D82)</f>
        <v>1115.1289672894054</v>
      </c>
      <c r="F82" s="397">
        <f>IF(OR(D82="NA",D82="NR",B82="NA", B82="NR"),0,B82*D82)</f>
        <v>1115.1289672894054</v>
      </c>
      <c r="G82" s="397">
        <f t="shared" si="10"/>
        <v>48359797924.439644</v>
      </c>
      <c r="H82" s="400">
        <f t="shared" si="7"/>
        <v>1.36056950918627</v>
      </c>
      <c r="I82" s="316"/>
      <c r="J82" s="376" t="s">
        <v>811</v>
      </c>
      <c r="K82" s="322" t="s">
        <v>50</v>
      </c>
    </row>
    <row r="84" spans="1:11" x14ac:dyDescent="0.2">
      <c r="D84" s="364"/>
    </row>
    <row r="85" spans="1:11" x14ac:dyDescent="0.2">
      <c r="E85" s="364"/>
    </row>
  </sheetData>
  <mergeCells count="6">
    <mergeCell ref="B82:C82"/>
    <mergeCell ref="B81:C81"/>
    <mergeCell ref="E5:F5"/>
    <mergeCell ref="B5:C5"/>
    <mergeCell ref="B14:C14"/>
    <mergeCell ref="B15:C15"/>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A255"/>
  <sheetViews>
    <sheetView workbookViewId="0">
      <pane xSplit="1" ySplit="10" topLeftCell="B26" activePane="bottomRight" state="frozen"/>
      <selection pane="topRight" activeCell="B1" sqref="B1"/>
      <selection pane="bottomLeft" activeCell="A11" sqref="A11"/>
      <selection pane="bottomRight"/>
    </sheetView>
  </sheetViews>
  <sheetFormatPr defaultColWidth="9.140625" defaultRowHeight="12" x14ac:dyDescent="0.2"/>
  <cols>
    <col min="1" max="1" width="49.140625" style="179" customWidth="1"/>
    <col min="2" max="7" width="15.7109375" style="179" customWidth="1"/>
    <col min="8" max="8" width="10.7109375" style="179" customWidth="1"/>
    <col min="9" max="13" width="9.140625" style="179" customWidth="1"/>
    <col min="14" max="14" width="9.140625" style="319" customWidth="1"/>
    <col min="15" max="24" width="9.140625" style="179" customWidth="1"/>
    <col min="25" max="25" width="17.7109375" style="179" customWidth="1"/>
    <col min="26" max="26" width="9.140625" style="179" customWidth="1"/>
    <col min="27" max="39" width="9.140625" style="179"/>
    <col min="40" max="44" width="9.140625" style="179" customWidth="1"/>
    <col min="45" max="46" width="9.140625" style="179"/>
    <col min="47" max="48" width="9.140625" style="179" customWidth="1"/>
    <col min="49" max="16384" width="9.140625" style="179"/>
  </cols>
  <sheetData>
    <row r="2" spans="1:53" ht="18.75" x14ac:dyDescent="0.3">
      <c r="A2" s="221" t="s">
        <v>900</v>
      </c>
      <c r="N2" s="179"/>
    </row>
    <row r="3" spans="1:53" x14ac:dyDescent="0.2">
      <c r="N3" s="179"/>
    </row>
    <row r="4" spans="1:53" x14ac:dyDescent="0.2">
      <c r="G4" s="222"/>
      <c r="N4" s="179"/>
    </row>
    <row r="5" spans="1:53" ht="14.1" customHeight="1" x14ac:dyDescent="0.2">
      <c r="A5" s="223"/>
      <c r="B5" s="224"/>
      <c r="C5" s="224"/>
      <c r="D5" s="225" t="s">
        <v>741</v>
      </c>
      <c r="E5" s="224"/>
      <c r="F5" s="224"/>
      <c r="G5" s="226"/>
      <c r="I5" s="217" t="s">
        <v>868</v>
      </c>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9"/>
      <c r="AP5" s="218"/>
      <c r="AQ5" s="218"/>
      <c r="AR5" s="220"/>
    </row>
    <row r="6" spans="1:53" ht="24" x14ac:dyDescent="0.2">
      <c r="A6" s="227"/>
      <c r="B6" s="228" t="s">
        <v>130</v>
      </c>
      <c r="C6" s="228" t="s">
        <v>560</v>
      </c>
      <c r="D6" s="228" t="s">
        <v>561</v>
      </c>
      <c r="E6" s="228" t="s">
        <v>562</v>
      </c>
      <c r="F6" s="228" t="s">
        <v>844</v>
      </c>
      <c r="G6" s="229" t="s">
        <v>0</v>
      </c>
      <c r="H6" s="179" t="s">
        <v>50</v>
      </c>
      <c r="I6" s="453" t="s">
        <v>754</v>
      </c>
      <c r="J6" s="454"/>
      <c r="K6" s="454"/>
      <c r="L6" s="454"/>
      <c r="M6" s="454"/>
      <c r="N6" s="455"/>
      <c r="O6" s="179" t="s">
        <v>50</v>
      </c>
      <c r="P6" s="453" t="s">
        <v>564</v>
      </c>
      <c r="Q6" s="456"/>
      <c r="R6" s="456"/>
      <c r="S6" s="456"/>
      <c r="T6" s="456"/>
      <c r="U6" s="456"/>
      <c r="V6" s="456"/>
      <c r="W6" s="457"/>
      <c r="Y6" s="453" t="s">
        <v>837</v>
      </c>
      <c r="Z6" s="457"/>
      <c r="AB6" s="453" t="s">
        <v>768</v>
      </c>
      <c r="AC6" s="456"/>
      <c r="AD6" s="457"/>
      <c r="AE6" s="179" t="s">
        <v>50</v>
      </c>
      <c r="AF6" s="453" t="s">
        <v>565</v>
      </c>
      <c r="AG6" s="456"/>
      <c r="AH6" s="456"/>
      <c r="AI6" s="456"/>
      <c r="AJ6" s="456"/>
      <c r="AK6" s="456"/>
      <c r="AL6" s="456"/>
      <c r="AM6" s="457"/>
      <c r="AN6" s="179" t="s">
        <v>50</v>
      </c>
      <c r="AO6" s="453" t="s">
        <v>563</v>
      </c>
      <c r="AP6" s="454"/>
      <c r="AQ6" s="454"/>
      <c r="AR6" s="455"/>
    </row>
    <row r="7" spans="1:53" ht="14.1" customHeight="1" x14ac:dyDescent="0.2">
      <c r="A7" s="442" t="s">
        <v>845</v>
      </c>
      <c r="B7" s="268"/>
      <c r="C7" s="525"/>
      <c r="D7" s="27"/>
      <c r="E7" s="133"/>
      <c r="F7" s="133">
        <f>E10/B33</f>
        <v>80631.78042952843</v>
      </c>
      <c r="G7" s="226" t="s">
        <v>138</v>
      </c>
      <c r="H7" s="179" t="s">
        <v>50</v>
      </c>
      <c r="I7" s="326" t="s">
        <v>846</v>
      </c>
      <c r="J7" s="261" t="s">
        <v>847</v>
      </c>
      <c r="K7" s="261" t="s">
        <v>848</v>
      </c>
      <c r="L7" s="327" t="s">
        <v>849</v>
      </c>
      <c r="M7" s="328" t="s">
        <v>850</v>
      </c>
      <c r="N7" s="329"/>
      <c r="O7" s="179" t="s">
        <v>50</v>
      </c>
      <c r="P7" s="271" t="s">
        <v>858</v>
      </c>
      <c r="Q7" s="268"/>
      <c r="R7" s="268"/>
      <c r="S7" s="268"/>
      <c r="T7" s="268"/>
      <c r="U7" s="268"/>
      <c r="V7" s="268"/>
      <c r="W7" s="272"/>
      <c r="Y7" s="273" t="s">
        <v>866</v>
      </c>
      <c r="Z7" s="62"/>
      <c r="AA7" s="179" t="s">
        <v>50</v>
      </c>
      <c r="AB7" s="260" t="s">
        <v>851</v>
      </c>
      <c r="AC7" s="261"/>
      <c r="AD7" s="262"/>
      <c r="AE7" s="179" t="s">
        <v>50</v>
      </c>
      <c r="AF7" s="274" t="s">
        <v>858</v>
      </c>
      <c r="AG7" s="268"/>
      <c r="AH7" s="268"/>
      <c r="AI7" s="268"/>
      <c r="AJ7" s="268"/>
      <c r="AK7" s="268"/>
      <c r="AL7" s="268"/>
      <c r="AM7" s="272"/>
      <c r="AN7" s="179" t="s">
        <v>50</v>
      </c>
      <c r="AO7" s="271"/>
      <c r="AP7" s="268"/>
      <c r="AQ7" s="275" t="s">
        <v>562</v>
      </c>
      <c r="AR7" s="276">
        <f>C30</f>
        <v>11640.522440746345</v>
      </c>
      <c r="AW7" s="263"/>
      <c r="AX7" s="263"/>
      <c r="AY7" s="263"/>
      <c r="AZ7" s="263"/>
    </row>
    <row r="8" spans="1:53" ht="14.1" customHeight="1" x14ac:dyDescent="0.2">
      <c r="A8" s="230" t="s">
        <v>852</v>
      </c>
      <c r="B8" s="231">
        <v>5244000</v>
      </c>
      <c r="C8" s="232"/>
      <c r="D8" s="127"/>
      <c r="E8" s="139"/>
      <c r="F8" s="139"/>
      <c r="G8" s="372" t="s">
        <v>1165</v>
      </c>
      <c r="H8" s="179" t="s">
        <v>50</v>
      </c>
      <c r="I8" s="277" t="s">
        <v>853</v>
      </c>
      <c r="J8" s="67"/>
      <c r="K8" s="67"/>
      <c r="L8" s="278">
        <v>6842593</v>
      </c>
      <c r="M8" s="279">
        <f>L10+L14+L17+L21+L25+L29</f>
        <v>3019002</v>
      </c>
      <c r="N8" s="280">
        <f>L10/M8</f>
        <v>0.14308006420664843</v>
      </c>
      <c r="O8" s="179" t="s">
        <v>50</v>
      </c>
      <c r="P8" s="116" t="s">
        <v>859</v>
      </c>
      <c r="Q8" s="67"/>
      <c r="R8" s="67"/>
      <c r="S8" s="67"/>
      <c r="T8" s="67"/>
      <c r="U8" s="67"/>
      <c r="V8" s="67"/>
      <c r="W8" s="106"/>
      <c r="X8" s="179" t="s">
        <v>50</v>
      </c>
      <c r="Y8" s="281" t="s">
        <v>838</v>
      </c>
      <c r="Z8" s="282"/>
      <c r="AA8" s="179" t="s">
        <v>50</v>
      </c>
      <c r="AB8" s="283" t="s">
        <v>854</v>
      </c>
      <c r="AC8" s="284" t="s">
        <v>855</v>
      </c>
      <c r="AD8" s="285" t="s">
        <v>856</v>
      </c>
      <c r="AE8" s="179" t="s">
        <v>50</v>
      </c>
      <c r="AF8" s="277" t="s">
        <v>860</v>
      </c>
      <c r="AG8" s="67"/>
      <c r="AH8" s="67"/>
      <c r="AI8" s="67"/>
      <c r="AJ8" s="67"/>
      <c r="AK8" s="67"/>
      <c r="AL8" s="67"/>
      <c r="AM8" s="106"/>
      <c r="AN8" s="179" t="s">
        <v>50</v>
      </c>
      <c r="AO8" s="116"/>
      <c r="AP8" s="67"/>
      <c r="AQ8" s="286" t="s">
        <v>136</v>
      </c>
      <c r="AR8" s="106">
        <f>B108/100</f>
        <v>0.03</v>
      </c>
      <c r="AS8" s="179" t="s">
        <v>50</v>
      </c>
      <c r="AW8" s="263"/>
      <c r="AX8" s="263"/>
      <c r="AY8" s="263"/>
      <c r="AZ8" s="263"/>
    </row>
    <row r="9" spans="1:53" ht="14.1" customHeight="1" x14ac:dyDescent="0.2">
      <c r="A9" s="233" t="s">
        <v>566</v>
      </c>
      <c r="B9" s="234">
        <v>2150000</v>
      </c>
      <c r="C9" s="235"/>
      <c r="D9" s="236"/>
      <c r="E9" s="213"/>
      <c r="F9" s="213"/>
      <c r="G9" s="376" t="s">
        <v>1166</v>
      </c>
      <c r="H9" s="179" t="s">
        <v>50</v>
      </c>
      <c r="I9" s="277"/>
      <c r="J9" s="105" t="s">
        <v>726</v>
      </c>
      <c r="K9" s="105"/>
      <c r="L9" s="278">
        <v>810794</v>
      </c>
      <c r="M9" s="287"/>
      <c r="N9" s="120"/>
      <c r="O9" s="179" t="s">
        <v>50</v>
      </c>
      <c r="P9" s="116" t="s">
        <v>861</v>
      </c>
      <c r="Q9" s="67"/>
      <c r="R9" s="67"/>
      <c r="S9" s="67"/>
      <c r="T9" s="67"/>
      <c r="U9" s="67"/>
      <c r="V9" s="67"/>
      <c r="W9" s="106"/>
      <c r="X9" s="179" t="s">
        <v>50</v>
      </c>
      <c r="Y9" s="273" t="s">
        <v>753</v>
      </c>
      <c r="Z9" s="288">
        <v>11205833</v>
      </c>
      <c r="AB9" s="283" t="s">
        <v>742</v>
      </c>
      <c r="AC9" s="284">
        <v>1060028</v>
      </c>
      <c r="AD9" s="285">
        <v>46.8</v>
      </c>
      <c r="AF9" s="277" t="s">
        <v>569</v>
      </c>
      <c r="AG9" s="105"/>
      <c r="AH9" s="105"/>
      <c r="AI9" s="105"/>
      <c r="AJ9" s="105"/>
      <c r="AK9" s="105"/>
      <c r="AL9" s="105"/>
      <c r="AM9" s="120"/>
      <c r="AN9" s="179" t="s">
        <v>50</v>
      </c>
      <c r="AO9" s="116"/>
      <c r="AP9" s="67"/>
      <c r="AQ9" s="286" t="s">
        <v>571</v>
      </c>
      <c r="AR9" s="289">
        <f>B35</f>
        <v>2.3387752942099853</v>
      </c>
      <c r="AW9" s="263"/>
      <c r="AX9" s="263"/>
      <c r="AY9" s="263"/>
      <c r="AZ9" s="263"/>
    </row>
    <row r="10" spans="1:53" ht="14.1" customHeight="1" x14ac:dyDescent="0.2">
      <c r="A10" s="227" t="s">
        <v>567</v>
      </c>
      <c r="B10" s="236">
        <f>Q20*1000</f>
        <v>265160340000</v>
      </c>
      <c r="C10" s="236"/>
      <c r="D10" s="236"/>
      <c r="E10" s="213">
        <f>E12+E16+E30</f>
        <v>5739944704.7629366</v>
      </c>
      <c r="F10" s="236"/>
      <c r="G10" s="237" t="s">
        <v>568</v>
      </c>
      <c r="H10" s="179" t="s">
        <v>50</v>
      </c>
      <c r="I10" s="277"/>
      <c r="J10" s="105"/>
      <c r="K10" s="105" t="s">
        <v>727</v>
      </c>
      <c r="L10" s="278">
        <v>431959</v>
      </c>
      <c r="M10" s="287"/>
      <c r="N10" s="120"/>
      <c r="O10" s="179" t="s">
        <v>50</v>
      </c>
      <c r="P10" s="116" t="s">
        <v>572</v>
      </c>
      <c r="Q10" s="67"/>
      <c r="R10" s="67"/>
      <c r="S10" s="67"/>
      <c r="T10" s="67"/>
      <c r="U10" s="67"/>
      <c r="V10" s="67"/>
      <c r="W10" s="106"/>
      <c r="X10" s="179" t="s">
        <v>50</v>
      </c>
      <c r="Y10" s="273" t="s">
        <v>576</v>
      </c>
      <c r="Z10" s="290">
        <v>10571</v>
      </c>
      <c r="AA10" s="263"/>
      <c r="AB10" s="283" t="s">
        <v>576</v>
      </c>
      <c r="AC10" s="284">
        <v>13092</v>
      </c>
      <c r="AD10" s="285">
        <v>62.5</v>
      </c>
      <c r="AF10" s="277" t="s">
        <v>573</v>
      </c>
      <c r="AG10" s="105"/>
      <c r="AH10" s="105"/>
      <c r="AI10" s="105"/>
      <c r="AJ10" s="105"/>
      <c r="AK10" s="105"/>
      <c r="AL10" s="105"/>
      <c r="AM10" s="120"/>
      <c r="AN10" s="179" t="s">
        <v>50</v>
      </c>
      <c r="AO10" s="116"/>
      <c r="AP10" s="67"/>
      <c r="AQ10" s="286" t="s">
        <v>574</v>
      </c>
      <c r="AR10" s="106">
        <v>0</v>
      </c>
      <c r="AX10" s="263"/>
      <c r="AY10" s="263"/>
      <c r="AZ10" s="263"/>
    </row>
    <row r="11" spans="1:53" ht="14.1" customHeight="1" x14ac:dyDescent="0.2">
      <c r="A11" s="441" t="s">
        <v>893</v>
      </c>
      <c r="C11" s="127"/>
      <c r="D11" s="127"/>
      <c r="E11" s="127"/>
      <c r="F11" s="127"/>
      <c r="G11" s="144" t="s">
        <v>568</v>
      </c>
      <c r="H11" s="179" t="s">
        <v>50</v>
      </c>
      <c r="I11" s="277"/>
      <c r="J11" s="105"/>
      <c r="K11" s="105" t="s">
        <v>728</v>
      </c>
      <c r="L11" s="278">
        <v>350758</v>
      </c>
      <c r="M11" s="287"/>
      <c r="N11" s="120"/>
      <c r="O11" s="179" t="s">
        <v>50</v>
      </c>
      <c r="P11" s="116" t="s">
        <v>575</v>
      </c>
      <c r="Q11" s="67"/>
      <c r="R11" s="67"/>
      <c r="S11" s="67"/>
      <c r="T11" s="67"/>
      <c r="U11" s="67"/>
      <c r="V11" s="67"/>
      <c r="W11" s="106"/>
      <c r="X11" s="179" t="s">
        <v>50</v>
      </c>
      <c r="Y11" s="273" t="s">
        <v>834</v>
      </c>
      <c r="Z11" s="290">
        <v>21007</v>
      </c>
      <c r="AB11" s="283" t="s">
        <v>743</v>
      </c>
      <c r="AC11" s="284">
        <v>73574</v>
      </c>
      <c r="AD11" s="285">
        <v>40.1</v>
      </c>
      <c r="AF11" s="277" t="s">
        <v>577</v>
      </c>
      <c r="AG11" s="105"/>
      <c r="AH11" s="105"/>
      <c r="AI11" s="105"/>
      <c r="AJ11" s="105"/>
      <c r="AK11" s="105"/>
      <c r="AL11" s="105"/>
      <c r="AM11" s="120"/>
      <c r="AN11" s="179" t="s">
        <v>50</v>
      </c>
      <c r="AO11" s="116"/>
      <c r="AP11" s="67"/>
      <c r="AQ11" s="286" t="s">
        <v>578</v>
      </c>
      <c r="AR11" s="291">
        <f>AR7</f>
        <v>11640.522440746345</v>
      </c>
      <c r="AW11" s="263"/>
      <c r="AX11" s="263"/>
      <c r="AY11" s="263"/>
      <c r="AZ11" s="263"/>
    </row>
    <row r="12" spans="1:53" ht="14.1" customHeight="1" x14ac:dyDescent="0.2">
      <c r="A12" s="230" t="s">
        <v>892</v>
      </c>
      <c r="B12" s="127">
        <f>Q24*1000</f>
        <v>126434125000</v>
      </c>
      <c r="C12" s="127">
        <f>B12/B13</f>
        <v>11282.884993913438</v>
      </c>
      <c r="D12" s="238">
        <f>B14/B13</f>
        <v>2.0825412522491787E-2</v>
      </c>
      <c r="E12" s="139">
        <f>D12*B12</f>
        <v>2633042810.0452919</v>
      </c>
      <c r="F12" s="127"/>
      <c r="G12" s="144"/>
      <c r="H12" s="179" t="s">
        <v>50</v>
      </c>
      <c r="I12" s="277"/>
      <c r="J12" s="105"/>
      <c r="K12" s="105" t="s">
        <v>730</v>
      </c>
      <c r="L12" s="278">
        <v>17243</v>
      </c>
      <c r="M12" s="287"/>
      <c r="N12" s="120"/>
      <c r="O12" s="179" t="s">
        <v>50</v>
      </c>
      <c r="P12" s="116" t="s">
        <v>579</v>
      </c>
      <c r="Q12" s="67"/>
      <c r="R12" s="67"/>
      <c r="S12" s="67"/>
      <c r="T12" s="67"/>
      <c r="U12" s="67"/>
      <c r="V12" s="67"/>
      <c r="W12" s="106"/>
      <c r="X12" s="179" t="s">
        <v>50</v>
      </c>
      <c r="Y12" s="273" t="s">
        <v>582</v>
      </c>
      <c r="Z12" s="290">
        <v>94403</v>
      </c>
      <c r="AA12" s="263"/>
      <c r="AB12" s="283" t="s">
        <v>582</v>
      </c>
      <c r="AC12" s="284">
        <v>304905</v>
      </c>
      <c r="AD12" s="285">
        <v>28.1</v>
      </c>
      <c r="AF12" s="277" t="s">
        <v>580</v>
      </c>
      <c r="AG12" s="105"/>
      <c r="AH12" s="105"/>
      <c r="AI12" s="105"/>
      <c r="AJ12" s="105"/>
      <c r="AK12" s="105"/>
      <c r="AL12" s="105"/>
      <c r="AM12" s="120"/>
      <c r="AN12" s="179" t="s">
        <v>50</v>
      </c>
      <c r="AO12" s="118"/>
      <c r="AP12" s="243"/>
      <c r="AQ12" s="292" t="s">
        <v>584</v>
      </c>
      <c r="AR12" s="293">
        <f>(PV(AR8,AR9,AR7,AR10,AR11))*-1</f>
        <v>26695.530642340043</v>
      </c>
      <c r="AW12" s="263"/>
      <c r="AX12" s="263"/>
      <c r="AY12" s="263"/>
      <c r="AZ12" s="263"/>
    </row>
    <row r="13" spans="1:53" ht="14.1" customHeight="1" x14ac:dyDescent="0.2">
      <c r="A13" s="230" t="s">
        <v>570</v>
      </c>
      <c r="B13" s="231">
        <f>Z9</f>
        <v>11205833</v>
      </c>
      <c r="F13" s="139"/>
      <c r="G13" s="144" t="s">
        <v>878</v>
      </c>
      <c r="H13" s="179" t="s">
        <v>50</v>
      </c>
      <c r="I13" s="277"/>
      <c r="J13" s="105" t="s">
        <v>729</v>
      </c>
      <c r="K13" s="105"/>
      <c r="L13" s="278">
        <v>448598</v>
      </c>
      <c r="M13" s="287"/>
      <c r="N13" s="120"/>
      <c r="O13" s="179" t="s">
        <v>50</v>
      </c>
      <c r="P13" s="116" t="s">
        <v>581</v>
      </c>
      <c r="Q13" s="67"/>
      <c r="R13" s="67"/>
      <c r="S13" s="67"/>
      <c r="T13" s="67"/>
      <c r="U13" s="67"/>
      <c r="V13" s="67"/>
      <c r="W13" s="106"/>
      <c r="X13" s="179" t="s">
        <v>50</v>
      </c>
      <c r="Y13" s="273" t="s">
        <v>586</v>
      </c>
      <c r="Z13" s="290">
        <v>372685</v>
      </c>
      <c r="AB13" s="283" t="s">
        <v>586</v>
      </c>
      <c r="AC13" s="284">
        <v>668457</v>
      </c>
      <c r="AD13" s="285">
        <v>55.8</v>
      </c>
      <c r="AF13" s="277" t="s">
        <v>583</v>
      </c>
      <c r="AG13" s="105"/>
      <c r="AH13" s="105"/>
      <c r="AI13" s="105"/>
      <c r="AJ13" s="105"/>
      <c r="AK13" s="105"/>
      <c r="AL13" s="105"/>
      <c r="AM13" s="120"/>
      <c r="AN13" s="179" t="s">
        <v>50</v>
      </c>
      <c r="AO13" s="281" t="s">
        <v>857</v>
      </c>
      <c r="AP13" s="294"/>
      <c r="AQ13" s="243"/>
      <c r="AR13" s="109"/>
      <c r="AS13" s="179" t="s">
        <v>50</v>
      </c>
      <c r="AW13" s="263"/>
      <c r="AX13" s="263"/>
      <c r="AY13" s="263"/>
      <c r="AZ13" s="263"/>
    </row>
    <row r="14" spans="1:53" ht="14.1" customHeight="1" x14ac:dyDescent="0.2">
      <c r="A14" s="233" t="s">
        <v>870</v>
      </c>
      <c r="B14" s="234">
        <f>B18</f>
        <v>233366.0948831517</v>
      </c>
      <c r="C14" s="236"/>
      <c r="D14" s="236"/>
      <c r="E14" s="236"/>
      <c r="F14" s="236"/>
      <c r="G14" s="237" t="s">
        <v>747</v>
      </c>
      <c r="H14" s="179" t="s">
        <v>50</v>
      </c>
      <c r="I14" s="277"/>
      <c r="J14" s="105"/>
      <c r="K14" s="105" t="s">
        <v>727</v>
      </c>
      <c r="L14" s="278">
        <v>259793</v>
      </c>
      <c r="M14" s="287"/>
      <c r="N14" s="120"/>
      <c r="O14" s="179" t="s">
        <v>50</v>
      </c>
      <c r="P14" s="116" t="s">
        <v>585</v>
      </c>
      <c r="Q14" s="67"/>
      <c r="R14" s="67"/>
      <c r="S14" s="67"/>
      <c r="T14" s="67"/>
      <c r="U14" s="67"/>
      <c r="V14" s="67"/>
      <c r="W14" s="106"/>
      <c r="X14" s="179" t="s">
        <v>50</v>
      </c>
      <c r="Y14" s="273" t="s">
        <v>590</v>
      </c>
      <c r="Z14" s="290">
        <v>237974</v>
      </c>
      <c r="AB14" s="283" t="s">
        <v>744</v>
      </c>
      <c r="AC14" s="284">
        <v>8015405</v>
      </c>
      <c r="AD14" s="285">
        <v>19</v>
      </c>
      <c r="AF14" s="296" t="s">
        <v>587</v>
      </c>
      <c r="AG14" s="297"/>
      <c r="AH14" s="297"/>
      <c r="AI14" s="297"/>
      <c r="AJ14" s="297"/>
      <c r="AK14" s="297"/>
      <c r="AL14" s="297"/>
      <c r="AM14" s="298"/>
      <c r="AN14" s="179" t="s">
        <v>50</v>
      </c>
      <c r="AO14" s="67"/>
      <c r="AP14" s="67"/>
      <c r="AQ14" s="67"/>
      <c r="AR14" s="67"/>
      <c r="AS14" s="179" t="s">
        <v>50</v>
      </c>
      <c r="AW14" s="263"/>
      <c r="AX14" s="263"/>
      <c r="AY14" s="263"/>
      <c r="AZ14" s="263"/>
      <c r="BA14" s="295"/>
    </row>
    <row r="15" spans="1:53" ht="14.1" customHeight="1" x14ac:dyDescent="0.2">
      <c r="A15" s="442" t="s">
        <v>894</v>
      </c>
      <c r="C15" s="27"/>
      <c r="D15" s="27"/>
      <c r="E15" s="133"/>
      <c r="F15" s="27"/>
      <c r="G15" s="226" t="s">
        <v>568</v>
      </c>
      <c r="H15" s="179" t="s">
        <v>50</v>
      </c>
      <c r="I15" s="277"/>
      <c r="J15" s="105"/>
      <c r="K15" s="105" t="s">
        <v>728</v>
      </c>
      <c r="L15" s="278">
        <v>186183</v>
      </c>
      <c r="M15" s="287"/>
      <c r="N15" s="120"/>
      <c r="O15" s="179" t="s">
        <v>50</v>
      </c>
      <c r="P15" s="118" t="s">
        <v>589</v>
      </c>
      <c r="Q15" s="243"/>
      <c r="R15" s="243"/>
      <c r="S15" s="243"/>
      <c r="T15" s="243"/>
      <c r="U15" s="243"/>
      <c r="V15" s="243"/>
      <c r="W15" s="109"/>
      <c r="X15" s="179" t="s">
        <v>50</v>
      </c>
      <c r="Y15" s="273" t="s">
        <v>591</v>
      </c>
      <c r="Z15" s="290">
        <v>1238190</v>
      </c>
      <c r="AB15" s="283" t="s">
        <v>590</v>
      </c>
      <c r="AC15" s="284">
        <v>1897748</v>
      </c>
      <c r="AD15" s="285">
        <v>12.7</v>
      </c>
      <c r="AF15" s="277" t="s">
        <v>596</v>
      </c>
      <c r="AG15" s="105"/>
      <c r="AH15" s="105">
        <v>2008</v>
      </c>
      <c r="AI15" s="105">
        <v>2009</v>
      </c>
      <c r="AJ15" s="105">
        <v>2010</v>
      </c>
      <c r="AK15" s="105">
        <v>2011</v>
      </c>
      <c r="AL15" s="105">
        <v>2012</v>
      </c>
      <c r="AM15" s="120">
        <v>2013</v>
      </c>
      <c r="AN15" s="179" t="s">
        <v>50</v>
      </c>
      <c r="AO15" s="67"/>
      <c r="AP15" s="67"/>
      <c r="AQ15" s="67"/>
      <c r="AR15" s="67"/>
    </row>
    <row r="16" spans="1:53" ht="14.1" customHeight="1" x14ac:dyDescent="0.2">
      <c r="A16" s="230" t="s">
        <v>892</v>
      </c>
      <c r="B16" s="127">
        <f>Q28*1000</f>
        <v>57935169000</v>
      </c>
      <c r="C16" s="127">
        <f>B16/B17</f>
        <v>5170.0903449123325</v>
      </c>
      <c r="D16" s="238">
        <f>B18/B17</f>
        <v>2.0825412522491787E-2</v>
      </c>
      <c r="E16" s="139">
        <f>D16*B16</f>
        <v>1206523793.9852779</v>
      </c>
      <c r="F16" s="127"/>
      <c r="G16" s="144"/>
      <c r="H16" s="179" t="s">
        <v>50</v>
      </c>
      <c r="I16" s="277"/>
      <c r="J16" s="105" t="s">
        <v>731</v>
      </c>
      <c r="K16" s="105"/>
      <c r="L16" s="278">
        <v>2263252</v>
      </c>
      <c r="M16" s="287"/>
      <c r="N16" s="120"/>
      <c r="O16" s="179" t="s">
        <v>50</v>
      </c>
      <c r="P16" s="271"/>
      <c r="Q16" s="268" t="s">
        <v>592</v>
      </c>
      <c r="R16" s="268"/>
      <c r="S16" s="268"/>
      <c r="T16" s="268"/>
      <c r="U16" s="268" t="s">
        <v>593</v>
      </c>
      <c r="V16" s="268"/>
      <c r="W16" s="272"/>
      <c r="X16" s="179" t="s">
        <v>50</v>
      </c>
      <c r="Y16" s="273" t="s">
        <v>594</v>
      </c>
      <c r="Z16" s="290">
        <v>68422</v>
      </c>
      <c r="AB16" s="283" t="s">
        <v>591</v>
      </c>
      <c r="AC16" s="284">
        <v>5459213</v>
      </c>
      <c r="AD16" s="285">
        <v>22</v>
      </c>
      <c r="AF16" s="277"/>
      <c r="AG16" s="105" t="s">
        <v>601</v>
      </c>
      <c r="AH16" s="105">
        <v>69</v>
      </c>
      <c r="AI16" s="105">
        <v>70</v>
      </c>
      <c r="AJ16" s="105">
        <v>67</v>
      </c>
      <c r="AK16" s="105">
        <v>63</v>
      </c>
      <c r="AL16" s="105">
        <v>58</v>
      </c>
      <c r="AM16" s="120">
        <v>54</v>
      </c>
      <c r="AN16" s="179" t="s">
        <v>50</v>
      </c>
      <c r="AO16" s="67"/>
      <c r="AP16" s="67"/>
      <c r="AQ16" s="67"/>
      <c r="AR16" s="67"/>
    </row>
    <row r="17" spans="1:44" ht="14.1" customHeight="1" x14ac:dyDescent="0.2">
      <c r="A17" s="230" t="s">
        <v>570</v>
      </c>
      <c r="B17" s="231">
        <f>Z9</f>
        <v>11205833</v>
      </c>
      <c r="F17" s="127"/>
      <c r="G17" s="144" t="s">
        <v>878</v>
      </c>
      <c r="H17" s="179" t="s">
        <v>50</v>
      </c>
      <c r="I17" s="277"/>
      <c r="J17" s="105"/>
      <c r="K17" s="105" t="s">
        <v>727</v>
      </c>
      <c r="L17" s="278">
        <v>808448</v>
      </c>
      <c r="M17" s="287"/>
      <c r="N17" s="120"/>
      <c r="O17" s="179" t="s">
        <v>50</v>
      </c>
      <c r="P17" s="116"/>
      <c r="Q17" s="67"/>
      <c r="R17" s="67"/>
      <c r="S17" s="67"/>
      <c r="T17" s="67"/>
      <c r="U17" s="67"/>
      <c r="V17" s="67"/>
      <c r="W17" s="106"/>
      <c r="X17" s="179" t="s">
        <v>50</v>
      </c>
      <c r="Y17" s="273" t="s">
        <v>595</v>
      </c>
      <c r="Z17" s="290">
        <v>9394</v>
      </c>
      <c r="AB17" s="283" t="s">
        <v>594</v>
      </c>
      <c r="AC17" s="284">
        <v>658444</v>
      </c>
      <c r="AD17" s="285">
        <v>11.9</v>
      </c>
      <c r="AF17" s="277" t="s">
        <v>605</v>
      </c>
      <c r="AG17" s="105"/>
      <c r="AH17" s="105">
        <v>34</v>
      </c>
      <c r="AI17" s="105">
        <v>35</v>
      </c>
      <c r="AJ17" s="105">
        <v>35</v>
      </c>
      <c r="AK17" s="105">
        <v>33</v>
      </c>
      <c r="AL17" s="105">
        <v>34</v>
      </c>
      <c r="AM17" s="120">
        <v>33</v>
      </c>
      <c r="AN17" s="179" t="s">
        <v>50</v>
      </c>
    </row>
    <row r="18" spans="1:44" ht="14.1" customHeight="1" x14ac:dyDescent="0.2">
      <c r="A18" s="169" t="s">
        <v>748</v>
      </c>
      <c r="B18" s="231">
        <f>B20+(B21*B22)+(B23*B24)+(B25*B26)+(B27*B28)</f>
        <v>233366.0948831517</v>
      </c>
      <c r="C18" s="127"/>
      <c r="D18" s="238"/>
      <c r="E18" s="139"/>
      <c r="F18" s="127"/>
      <c r="G18" s="106" t="s">
        <v>138</v>
      </c>
      <c r="H18" s="179" t="s">
        <v>50</v>
      </c>
      <c r="I18" s="277"/>
      <c r="J18" s="105"/>
      <c r="K18" s="105" t="s">
        <v>728</v>
      </c>
      <c r="L18" s="278">
        <v>1428133</v>
      </c>
      <c r="M18" s="287"/>
      <c r="N18" s="120"/>
      <c r="O18" s="179" t="s">
        <v>50</v>
      </c>
      <c r="P18" s="116" t="s">
        <v>597</v>
      </c>
      <c r="Q18" s="67"/>
      <c r="R18" s="67" t="s">
        <v>598</v>
      </c>
      <c r="S18" s="67" t="s">
        <v>599</v>
      </c>
      <c r="T18" s="67" t="s">
        <v>600</v>
      </c>
      <c r="U18" s="67" t="s">
        <v>598</v>
      </c>
      <c r="V18" s="67" t="s">
        <v>599</v>
      </c>
      <c r="W18" s="106" t="s">
        <v>600</v>
      </c>
      <c r="X18" s="179" t="s">
        <v>50</v>
      </c>
      <c r="Y18" s="299" t="s">
        <v>835</v>
      </c>
      <c r="Z18" s="290">
        <v>498666</v>
      </c>
      <c r="AB18" s="300" t="s">
        <v>763</v>
      </c>
      <c r="AC18" s="301">
        <v>48196</v>
      </c>
      <c r="AD18" s="302">
        <v>20.399999999999999</v>
      </c>
      <c r="AF18" s="277" t="s">
        <v>607</v>
      </c>
      <c r="AG18" s="105"/>
      <c r="AH18" s="105">
        <v>24</v>
      </c>
      <c r="AI18" s="105">
        <v>24</v>
      </c>
      <c r="AJ18" s="105">
        <v>22</v>
      </c>
      <c r="AK18" s="105">
        <v>20</v>
      </c>
      <c r="AL18" s="105">
        <v>15</v>
      </c>
      <c r="AM18" s="120">
        <v>16</v>
      </c>
      <c r="AN18" s="179" t="s">
        <v>50</v>
      </c>
    </row>
    <row r="19" spans="1:44" ht="14.1" customHeight="1" x14ac:dyDescent="0.2">
      <c r="A19" s="167" t="s">
        <v>756</v>
      </c>
      <c r="B19" s="231">
        <f>Z10</f>
        <v>10571</v>
      </c>
      <c r="C19" s="127"/>
      <c r="D19" s="238"/>
      <c r="E19" s="139"/>
      <c r="F19" s="127"/>
      <c r="G19" s="144" t="s">
        <v>878</v>
      </c>
      <c r="H19" s="179" t="s">
        <v>50</v>
      </c>
      <c r="I19" s="277"/>
      <c r="J19" s="105"/>
      <c r="K19" s="105" t="s">
        <v>730</v>
      </c>
      <c r="L19" s="278">
        <v>26671</v>
      </c>
      <c r="M19" s="287"/>
      <c r="N19" s="120"/>
      <c r="O19" s="179" t="s">
        <v>50</v>
      </c>
      <c r="P19" s="118"/>
      <c r="Q19" s="243" t="s">
        <v>602</v>
      </c>
      <c r="R19" s="243" t="s">
        <v>603</v>
      </c>
      <c r="S19" s="243" t="s">
        <v>604</v>
      </c>
      <c r="T19" s="243" t="s">
        <v>604</v>
      </c>
      <c r="U19" s="243" t="s">
        <v>603</v>
      </c>
      <c r="V19" s="243" t="s">
        <v>604</v>
      </c>
      <c r="W19" s="109" t="s">
        <v>604</v>
      </c>
      <c r="X19" s="179" t="s">
        <v>50</v>
      </c>
      <c r="Y19" s="299" t="s">
        <v>836</v>
      </c>
      <c r="Z19" s="290">
        <v>1553980</v>
      </c>
      <c r="AB19" s="281" t="s">
        <v>769</v>
      </c>
      <c r="AC19" s="243"/>
      <c r="AD19" s="109"/>
      <c r="AE19" s="179" t="s">
        <v>50</v>
      </c>
      <c r="AF19" s="277"/>
      <c r="AG19" s="105" t="s">
        <v>609</v>
      </c>
      <c r="AH19" s="105">
        <v>6</v>
      </c>
      <c r="AI19" s="105">
        <v>6</v>
      </c>
      <c r="AJ19" s="105">
        <v>6</v>
      </c>
      <c r="AK19" s="105">
        <v>5</v>
      </c>
      <c r="AL19" s="105">
        <v>5</v>
      </c>
      <c r="AM19" s="120">
        <v>5</v>
      </c>
      <c r="AN19" s="179" t="s">
        <v>50</v>
      </c>
    </row>
    <row r="20" spans="1:44" ht="14.1" customHeight="1" x14ac:dyDescent="0.2">
      <c r="A20" s="169" t="s">
        <v>748</v>
      </c>
      <c r="B20" s="231">
        <v>1256</v>
      </c>
      <c r="C20" s="127"/>
      <c r="D20" s="238"/>
      <c r="E20" s="139"/>
      <c r="F20" s="127"/>
      <c r="G20" s="144" t="s">
        <v>878</v>
      </c>
      <c r="H20" s="179" t="s">
        <v>50</v>
      </c>
      <c r="I20" s="277"/>
      <c r="J20" s="105" t="s">
        <v>732</v>
      </c>
      <c r="K20" s="105"/>
      <c r="L20" s="278">
        <v>2710114</v>
      </c>
      <c r="M20" s="287"/>
      <c r="N20" s="120"/>
      <c r="O20" s="179" t="s">
        <v>50</v>
      </c>
      <c r="P20" s="115" t="s">
        <v>610</v>
      </c>
      <c r="Q20" s="303">
        <v>265160340</v>
      </c>
      <c r="R20" s="67">
        <v>56267000</v>
      </c>
      <c r="S20" s="67">
        <v>86266232</v>
      </c>
      <c r="T20" s="67">
        <v>132500445</v>
      </c>
      <c r="U20" s="67" t="s">
        <v>611</v>
      </c>
      <c r="V20" s="67" t="s">
        <v>611</v>
      </c>
      <c r="W20" s="106" t="s">
        <v>611</v>
      </c>
      <c r="X20" s="179" t="s">
        <v>50</v>
      </c>
      <c r="Y20" s="273" t="s">
        <v>606</v>
      </c>
      <c r="Z20" s="290">
        <v>1093258</v>
      </c>
      <c r="AF20" s="277"/>
      <c r="AG20" s="105" t="s">
        <v>613</v>
      </c>
      <c r="AH20" s="105">
        <v>17</v>
      </c>
      <c r="AI20" s="105">
        <v>17</v>
      </c>
      <c r="AJ20" s="105">
        <v>16</v>
      </c>
      <c r="AK20" s="105">
        <v>13</v>
      </c>
      <c r="AL20" s="105">
        <v>8</v>
      </c>
      <c r="AM20" s="120">
        <v>10</v>
      </c>
      <c r="AN20" s="179" t="s">
        <v>50</v>
      </c>
    </row>
    <row r="21" spans="1:44" ht="14.1" customHeight="1" x14ac:dyDescent="0.2">
      <c r="A21" s="167" t="s">
        <v>749</v>
      </c>
      <c r="B21" s="231">
        <f>Z11</f>
        <v>21007</v>
      </c>
      <c r="C21" s="67"/>
      <c r="D21" s="67"/>
      <c r="E21" s="67"/>
      <c r="F21" s="67"/>
      <c r="G21" s="144" t="s">
        <v>878</v>
      </c>
      <c r="H21" s="179" t="s">
        <v>50</v>
      </c>
      <c r="I21" s="277"/>
      <c r="J21" s="105"/>
      <c r="K21" s="105" t="s">
        <v>727</v>
      </c>
      <c r="L21" s="278">
        <v>1324977</v>
      </c>
      <c r="M21" s="287"/>
      <c r="N21" s="120"/>
      <c r="P21" s="116" t="s">
        <v>614</v>
      </c>
      <c r="Q21" s="67">
        <v>265160340</v>
      </c>
      <c r="R21" s="67">
        <v>51941000</v>
      </c>
      <c r="S21" s="67">
        <v>80929314</v>
      </c>
      <c r="T21" s="67">
        <v>132290026</v>
      </c>
      <c r="U21" s="67">
        <v>19.600000000000001</v>
      </c>
      <c r="V21" s="67">
        <v>30.5</v>
      </c>
      <c r="W21" s="106">
        <v>49.9</v>
      </c>
      <c r="X21" s="179" t="s">
        <v>50</v>
      </c>
      <c r="Y21" s="273" t="s">
        <v>608</v>
      </c>
      <c r="Z21" s="290">
        <v>56783</v>
      </c>
      <c r="AB21" s="260" t="s">
        <v>774</v>
      </c>
      <c r="AC21" s="304">
        <v>2796049</v>
      </c>
      <c r="AD21" s="305">
        <f>(1527792/AC21)*100</f>
        <v>54.641102498561366</v>
      </c>
      <c r="AF21" s="277"/>
      <c r="AG21" s="105" t="s">
        <v>616</v>
      </c>
      <c r="AH21" s="105">
        <v>1</v>
      </c>
      <c r="AI21" s="105">
        <v>1</v>
      </c>
      <c r="AJ21" s="105">
        <v>1</v>
      </c>
      <c r="AK21" s="105">
        <v>2</v>
      </c>
      <c r="AL21" s="105">
        <v>2</v>
      </c>
      <c r="AM21" s="120">
        <v>2</v>
      </c>
    </row>
    <row r="22" spans="1:44" ht="14.1" customHeight="1" x14ac:dyDescent="0.2">
      <c r="A22" s="169" t="s">
        <v>757</v>
      </c>
      <c r="B22" s="239">
        <f>N32</f>
        <v>7.4464391479280273E-2</v>
      </c>
      <c r="C22" s="67"/>
      <c r="D22" s="67"/>
      <c r="E22" s="67"/>
      <c r="F22" s="67"/>
      <c r="G22" s="106" t="s">
        <v>747</v>
      </c>
      <c r="H22" s="179" t="s">
        <v>50</v>
      </c>
      <c r="I22" s="277"/>
      <c r="J22" s="105"/>
      <c r="K22" s="105" t="s">
        <v>728</v>
      </c>
      <c r="L22" s="278">
        <v>1302507</v>
      </c>
      <c r="M22" s="287"/>
      <c r="N22" s="120"/>
      <c r="P22" s="116" t="s">
        <v>617</v>
      </c>
      <c r="Q22" s="67" t="s">
        <v>611</v>
      </c>
      <c r="R22" s="67">
        <v>4326000</v>
      </c>
      <c r="S22" s="67">
        <v>5336918</v>
      </c>
      <c r="T22" s="67">
        <v>210419</v>
      </c>
      <c r="U22" s="67" t="s">
        <v>611</v>
      </c>
      <c r="V22" s="67" t="s">
        <v>611</v>
      </c>
      <c r="W22" s="106" t="s">
        <v>611</v>
      </c>
      <c r="X22" s="179" t="s">
        <v>50</v>
      </c>
      <c r="Y22" s="273" t="s">
        <v>612</v>
      </c>
      <c r="Z22" s="290">
        <v>141293</v>
      </c>
      <c r="AB22" s="281" t="s">
        <v>862</v>
      </c>
      <c r="AC22" s="243"/>
      <c r="AD22" s="109"/>
      <c r="AE22" s="179" t="s">
        <v>50</v>
      </c>
      <c r="AF22" s="277" t="s">
        <v>619</v>
      </c>
      <c r="AG22" s="105"/>
      <c r="AH22" s="105">
        <v>7</v>
      </c>
      <c r="AI22" s="105">
        <v>6</v>
      </c>
      <c r="AJ22" s="105">
        <v>6</v>
      </c>
      <c r="AK22" s="105">
        <v>6</v>
      </c>
      <c r="AL22" s="105">
        <v>6</v>
      </c>
      <c r="AM22" s="120">
        <v>1</v>
      </c>
    </row>
    <row r="23" spans="1:44" ht="14.1" customHeight="1" x14ac:dyDescent="0.2">
      <c r="A23" s="167" t="s">
        <v>750</v>
      </c>
      <c r="B23" s="240">
        <f>Z12</f>
        <v>94403</v>
      </c>
      <c r="C23" s="67"/>
      <c r="D23" s="67"/>
      <c r="E23" s="67"/>
      <c r="F23" s="67"/>
      <c r="G23" s="144" t="s">
        <v>878</v>
      </c>
      <c r="H23" s="179" t="s">
        <v>50</v>
      </c>
      <c r="I23" s="277"/>
      <c r="J23" s="105"/>
      <c r="K23" s="105" t="s">
        <v>730</v>
      </c>
      <c r="L23" s="278">
        <v>46780</v>
      </c>
      <c r="M23" s="287"/>
      <c r="N23" s="120"/>
      <c r="P23" s="116"/>
      <c r="Q23" s="67"/>
      <c r="R23" s="67"/>
      <c r="S23" s="67"/>
      <c r="T23" s="67"/>
      <c r="U23" s="67"/>
      <c r="V23" s="67"/>
      <c r="W23" s="106"/>
      <c r="X23" s="179" t="s">
        <v>50</v>
      </c>
      <c r="Y23" s="273" t="s">
        <v>615</v>
      </c>
      <c r="Z23" s="290">
        <v>16227</v>
      </c>
      <c r="AF23" s="277" t="s">
        <v>621</v>
      </c>
      <c r="AG23" s="105"/>
      <c r="AH23" s="105">
        <v>1</v>
      </c>
      <c r="AI23" s="105">
        <v>1</v>
      </c>
      <c r="AJ23" s="105">
        <v>1</v>
      </c>
      <c r="AK23" s="105">
        <v>1</v>
      </c>
      <c r="AL23" s="105">
        <v>1</v>
      </c>
      <c r="AM23" s="120">
        <v>1</v>
      </c>
    </row>
    <row r="24" spans="1:44" ht="14.1" customHeight="1" x14ac:dyDescent="0.2">
      <c r="A24" s="169" t="s">
        <v>757</v>
      </c>
      <c r="B24" s="239">
        <f>N52</f>
        <v>0.12032728868231107</v>
      </c>
      <c r="C24" s="67"/>
      <c r="D24" s="67"/>
      <c r="E24" s="67"/>
      <c r="F24" s="67"/>
      <c r="G24" s="106" t="s">
        <v>747</v>
      </c>
      <c r="H24" s="179" t="s">
        <v>50</v>
      </c>
      <c r="I24" s="277"/>
      <c r="J24" s="105" t="s">
        <v>733</v>
      </c>
      <c r="K24" s="105"/>
      <c r="L24" s="278">
        <v>371910</v>
      </c>
      <c r="M24" s="287"/>
      <c r="N24" s="120"/>
      <c r="P24" s="115" t="s">
        <v>622</v>
      </c>
      <c r="Q24" s="67">
        <v>126434125</v>
      </c>
      <c r="R24" s="67">
        <v>31395000</v>
      </c>
      <c r="S24" s="67">
        <v>14815502</v>
      </c>
      <c r="T24" s="67">
        <v>84053185</v>
      </c>
      <c r="U24" s="67" t="s">
        <v>611</v>
      </c>
      <c r="V24" s="67" t="s">
        <v>611</v>
      </c>
      <c r="W24" s="106" t="s">
        <v>611</v>
      </c>
      <c r="X24" s="179" t="s">
        <v>50</v>
      </c>
      <c r="Y24" s="273" t="s">
        <v>618</v>
      </c>
      <c r="Z24" s="290">
        <v>88946</v>
      </c>
      <c r="AF24" s="277" t="s">
        <v>624</v>
      </c>
      <c r="AG24" s="105"/>
      <c r="AH24" s="105">
        <v>1</v>
      </c>
      <c r="AI24" s="105">
        <v>1</v>
      </c>
      <c r="AJ24" s="105">
        <v>1</v>
      </c>
      <c r="AK24" s="105">
        <v>1</v>
      </c>
      <c r="AL24" s="105">
        <v>1</v>
      </c>
      <c r="AM24" s="120">
        <v>1</v>
      </c>
    </row>
    <row r="25" spans="1:44" ht="14.1" customHeight="1" x14ac:dyDescent="0.2">
      <c r="A25" s="167" t="s">
        <v>751</v>
      </c>
      <c r="B25" s="240">
        <f>Z13</f>
        <v>372685</v>
      </c>
      <c r="C25" s="67"/>
      <c r="D25" s="67"/>
      <c r="E25" s="67"/>
      <c r="F25" s="67"/>
      <c r="G25" s="144" t="s">
        <v>878</v>
      </c>
      <c r="H25" s="179" t="s">
        <v>50</v>
      </c>
      <c r="I25" s="277"/>
      <c r="J25" s="105"/>
      <c r="K25" s="105" t="s">
        <v>727</v>
      </c>
      <c r="L25" s="278">
        <v>122224</v>
      </c>
      <c r="M25" s="287"/>
      <c r="N25" s="120"/>
      <c r="P25" s="116" t="s">
        <v>614</v>
      </c>
      <c r="Q25" s="67">
        <v>126434125</v>
      </c>
      <c r="R25" s="67">
        <v>28977000</v>
      </c>
      <c r="S25" s="67">
        <v>13411966</v>
      </c>
      <c r="T25" s="67">
        <v>84045159</v>
      </c>
      <c r="U25" s="67">
        <v>22.9</v>
      </c>
      <c r="V25" s="67">
        <v>10.6</v>
      </c>
      <c r="W25" s="106">
        <v>66.5</v>
      </c>
      <c r="X25" s="179" t="s">
        <v>50</v>
      </c>
      <c r="Y25" s="273" t="s">
        <v>620</v>
      </c>
      <c r="Z25" s="290">
        <v>198400</v>
      </c>
      <c r="AF25" s="277" t="s">
        <v>626</v>
      </c>
      <c r="AG25" s="105"/>
      <c r="AH25" s="105">
        <v>1</v>
      </c>
      <c r="AI25" s="105">
        <v>1</v>
      </c>
      <c r="AJ25" s="105">
        <v>1</v>
      </c>
      <c r="AK25" s="105">
        <v>1</v>
      </c>
      <c r="AL25" s="105">
        <v>1</v>
      </c>
      <c r="AM25" s="120">
        <v>1</v>
      </c>
    </row>
    <row r="26" spans="1:44" ht="14.1" customHeight="1" x14ac:dyDescent="0.2">
      <c r="A26" s="169" t="s">
        <v>757</v>
      </c>
      <c r="B26" s="239">
        <f>N73</f>
        <v>0.14860523737748271</v>
      </c>
      <c r="C26" s="67"/>
      <c r="D26" s="67"/>
      <c r="E26" s="67"/>
      <c r="F26" s="67"/>
      <c r="G26" s="106" t="s">
        <v>747</v>
      </c>
      <c r="H26" s="179" t="s">
        <v>50</v>
      </c>
      <c r="I26" s="277"/>
      <c r="J26" s="105"/>
      <c r="K26" s="105" t="s">
        <v>728</v>
      </c>
      <c r="L26" s="278">
        <v>246318</v>
      </c>
      <c r="M26" s="287"/>
      <c r="N26" s="120"/>
      <c r="P26" s="116" t="s">
        <v>617</v>
      </c>
      <c r="Q26" s="67" t="s">
        <v>611</v>
      </c>
      <c r="R26" s="67">
        <v>2418000</v>
      </c>
      <c r="S26" s="67">
        <v>1403536</v>
      </c>
      <c r="T26" s="67">
        <v>8026</v>
      </c>
      <c r="U26" s="67" t="s">
        <v>611</v>
      </c>
      <c r="V26" s="67" t="s">
        <v>611</v>
      </c>
      <c r="W26" s="106" t="s">
        <v>611</v>
      </c>
      <c r="X26" s="179" t="s">
        <v>50</v>
      </c>
      <c r="Y26" s="273" t="s">
        <v>623</v>
      </c>
      <c r="Z26" s="290">
        <v>140713</v>
      </c>
      <c r="AF26" s="277" t="s">
        <v>627</v>
      </c>
      <c r="AG26" s="105"/>
      <c r="AH26" s="105">
        <v>1</v>
      </c>
      <c r="AI26" s="105">
        <v>2</v>
      </c>
      <c r="AJ26" s="105">
        <v>1</v>
      </c>
      <c r="AK26" s="105">
        <v>2</v>
      </c>
      <c r="AL26" s="105">
        <v>1</v>
      </c>
      <c r="AM26" s="120">
        <v>1</v>
      </c>
    </row>
    <row r="27" spans="1:44" ht="14.1" customHeight="1" x14ac:dyDescent="0.2">
      <c r="A27" s="167" t="s">
        <v>752</v>
      </c>
      <c r="B27" s="240">
        <f>Z20</f>
        <v>1093258</v>
      </c>
      <c r="C27" s="67"/>
      <c r="D27" s="67"/>
      <c r="E27" s="67"/>
      <c r="F27" s="67"/>
      <c r="G27" s="144" t="s">
        <v>878</v>
      </c>
      <c r="H27" s="179" t="s">
        <v>50</v>
      </c>
      <c r="I27" s="277"/>
      <c r="J27" s="105"/>
      <c r="K27" s="105" t="s">
        <v>730</v>
      </c>
      <c r="L27" s="278">
        <v>3368</v>
      </c>
      <c r="M27" s="287"/>
      <c r="N27" s="120"/>
      <c r="P27" s="116"/>
      <c r="Q27" s="67"/>
      <c r="R27" s="67"/>
      <c r="S27" s="67"/>
      <c r="T27" s="67"/>
      <c r="U27" s="67"/>
      <c r="V27" s="67"/>
      <c r="W27" s="106"/>
      <c r="X27" s="179" t="s">
        <v>50</v>
      </c>
      <c r="Y27" s="273" t="s">
        <v>625</v>
      </c>
      <c r="Z27" s="290">
        <v>47598</v>
      </c>
      <c r="AF27" s="277"/>
      <c r="AG27" s="105" t="s">
        <v>629</v>
      </c>
      <c r="AH27" s="105">
        <v>17</v>
      </c>
      <c r="AI27" s="105">
        <v>17</v>
      </c>
      <c r="AJ27" s="105">
        <v>18</v>
      </c>
      <c r="AK27" s="105">
        <v>19</v>
      </c>
      <c r="AL27" s="105">
        <v>21</v>
      </c>
      <c r="AM27" s="120">
        <v>22</v>
      </c>
    </row>
    <row r="28" spans="1:44" ht="14.1" customHeight="1" x14ac:dyDescent="0.2">
      <c r="A28" s="241" t="s">
        <v>748</v>
      </c>
      <c r="B28" s="242">
        <f>N94</f>
        <v>0.14983070920664937</v>
      </c>
      <c r="C28" s="243"/>
      <c r="D28" s="243"/>
      <c r="E28" s="243"/>
      <c r="F28" s="243"/>
      <c r="G28" s="109" t="s">
        <v>747</v>
      </c>
      <c r="H28" s="179" t="s">
        <v>50</v>
      </c>
      <c r="I28" s="277"/>
      <c r="J28" s="105" t="s">
        <v>734</v>
      </c>
      <c r="K28" s="105"/>
      <c r="L28" s="278">
        <v>228660</v>
      </c>
      <c r="M28" s="287"/>
      <c r="N28" s="120"/>
      <c r="P28" s="115" t="s">
        <v>630</v>
      </c>
      <c r="Q28" s="67">
        <v>57935169</v>
      </c>
      <c r="R28" s="67">
        <v>15894000</v>
      </c>
      <c r="S28" s="67">
        <v>22770081</v>
      </c>
      <c r="T28" s="67">
        <v>22049483</v>
      </c>
      <c r="U28" s="67" t="s">
        <v>611</v>
      </c>
      <c r="V28" s="67" t="s">
        <v>611</v>
      </c>
      <c r="W28" s="106" t="s">
        <v>611</v>
      </c>
      <c r="X28" s="179" t="s">
        <v>50</v>
      </c>
      <c r="Y28" s="273" t="s">
        <v>833</v>
      </c>
      <c r="Z28" s="290">
        <v>55456</v>
      </c>
      <c r="AF28" s="274" t="s">
        <v>632</v>
      </c>
      <c r="AG28" s="269"/>
      <c r="AH28" s="269"/>
      <c r="AI28" s="269"/>
      <c r="AJ28" s="269"/>
      <c r="AK28" s="269"/>
      <c r="AL28" s="269"/>
      <c r="AM28" s="270"/>
      <c r="AN28" s="179" t="s">
        <v>50</v>
      </c>
    </row>
    <row r="29" spans="1:44" ht="14.1" customHeight="1" x14ac:dyDescent="0.2">
      <c r="A29" s="442" t="s">
        <v>588</v>
      </c>
      <c r="B29" s="27"/>
      <c r="C29" s="27"/>
      <c r="D29" s="27"/>
      <c r="E29" s="133"/>
      <c r="F29" s="27"/>
      <c r="G29" s="226"/>
      <c r="H29" s="179" t="s">
        <v>50</v>
      </c>
      <c r="I29" s="277"/>
      <c r="J29" s="105"/>
      <c r="K29" s="105" t="s">
        <v>727</v>
      </c>
      <c r="L29" s="278">
        <v>71601</v>
      </c>
      <c r="M29" s="287"/>
      <c r="N29" s="280"/>
      <c r="P29" s="116" t="s">
        <v>614</v>
      </c>
      <c r="Q29" s="67">
        <v>57935169</v>
      </c>
      <c r="R29" s="67">
        <v>14670000</v>
      </c>
      <c r="S29" s="67">
        <v>21256019</v>
      </c>
      <c r="T29" s="67">
        <v>22009150</v>
      </c>
      <c r="U29" s="67">
        <v>25.3</v>
      </c>
      <c r="V29" s="67">
        <v>36.700000000000003</v>
      </c>
      <c r="W29" s="106">
        <v>38</v>
      </c>
      <c r="Y29" s="273" t="s">
        <v>628</v>
      </c>
      <c r="Z29" s="290">
        <v>1561231</v>
      </c>
      <c r="AF29" s="277" t="s">
        <v>635</v>
      </c>
      <c r="AG29" s="105"/>
      <c r="AH29" s="105"/>
      <c r="AI29" s="105"/>
      <c r="AJ29" s="105"/>
      <c r="AK29" s="105"/>
      <c r="AL29" s="105"/>
      <c r="AM29" s="120"/>
      <c r="AN29" s="179" t="s">
        <v>50</v>
      </c>
    </row>
    <row r="30" spans="1:44" ht="14.1" customHeight="1" x14ac:dyDescent="0.2">
      <c r="A30" s="230" t="s">
        <v>892</v>
      </c>
      <c r="B30" s="127">
        <f>Q32*1000</f>
        <v>80791046000</v>
      </c>
      <c r="C30" s="127">
        <f>B30/B31</f>
        <v>11640.522440746345</v>
      </c>
      <c r="D30" s="238">
        <f>B33/B31</f>
        <v>1.0256771975698123E-2</v>
      </c>
      <c r="E30" s="139">
        <f>C32*B33</f>
        <v>1900378100.7323668</v>
      </c>
      <c r="F30" s="244"/>
      <c r="G30" s="144" t="s">
        <v>568</v>
      </c>
      <c r="H30" s="179" t="s">
        <v>50</v>
      </c>
      <c r="I30" s="277"/>
      <c r="J30" s="105"/>
      <c r="K30" s="105" t="s">
        <v>728</v>
      </c>
      <c r="L30" s="278">
        <v>150711</v>
      </c>
      <c r="M30" s="287"/>
      <c r="N30" s="120"/>
      <c r="P30" s="116" t="s">
        <v>617</v>
      </c>
      <c r="Q30" s="67" t="s">
        <v>611</v>
      </c>
      <c r="R30" s="67">
        <v>1224000</v>
      </c>
      <c r="S30" s="67">
        <v>1514062</v>
      </c>
      <c r="T30" s="67">
        <v>40333</v>
      </c>
      <c r="U30" s="67" t="s">
        <v>611</v>
      </c>
      <c r="V30" s="67" t="s">
        <v>611</v>
      </c>
      <c r="W30" s="106" t="s">
        <v>611</v>
      </c>
      <c r="X30" s="179" t="s">
        <v>50</v>
      </c>
      <c r="Y30" s="273" t="s">
        <v>631</v>
      </c>
      <c r="Z30" s="290">
        <v>5637</v>
      </c>
      <c r="AF30" s="277" t="s">
        <v>637</v>
      </c>
      <c r="AG30" s="105"/>
      <c r="AH30" s="105"/>
      <c r="AI30" s="105"/>
      <c r="AJ30" s="105"/>
      <c r="AK30" s="105"/>
      <c r="AL30" s="105"/>
      <c r="AM30" s="120"/>
      <c r="AN30" s="179" t="s">
        <v>50</v>
      </c>
    </row>
    <row r="31" spans="1:44" ht="14.1" customHeight="1" x14ac:dyDescent="0.2">
      <c r="A31" s="230" t="s">
        <v>840</v>
      </c>
      <c r="B31" s="245">
        <v>6940500</v>
      </c>
      <c r="C31" s="127"/>
      <c r="E31" s="139"/>
      <c r="F31" s="127"/>
      <c r="G31" s="144" t="s">
        <v>891</v>
      </c>
      <c r="H31" s="179" t="s">
        <v>50</v>
      </c>
      <c r="I31" s="277"/>
      <c r="J31" s="105"/>
      <c r="K31" s="105" t="s">
        <v>730</v>
      </c>
      <c r="L31" s="278">
        <v>2154</v>
      </c>
      <c r="M31" s="287"/>
      <c r="N31" s="120"/>
      <c r="P31" s="116"/>
      <c r="Q31" s="67"/>
      <c r="R31" s="67"/>
      <c r="S31" s="67"/>
      <c r="T31" s="67"/>
      <c r="U31" s="67"/>
      <c r="V31" s="67"/>
      <c r="W31" s="106"/>
      <c r="X31" s="179" t="s">
        <v>50</v>
      </c>
      <c r="Y31" s="273" t="s">
        <v>634</v>
      </c>
      <c r="Z31" s="290">
        <v>102336</v>
      </c>
      <c r="AF31" s="277" t="s">
        <v>639</v>
      </c>
      <c r="AG31" s="105"/>
      <c r="AH31" s="105"/>
      <c r="AI31" s="105"/>
      <c r="AJ31" s="105"/>
      <c r="AK31" s="105"/>
      <c r="AL31" s="105"/>
      <c r="AM31" s="120"/>
      <c r="AN31" s="179" t="s">
        <v>50</v>
      </c>
    </row>
    <row r="32" spans="1:44" ht="14.1" customHeight="1" x14ac:dyDescent="0.25">
      <c r="A32" s="230" t="s">
        <v>876</v>
      </c>
      <c r="B32" s="127"/>
      <c r="C32" s="139">
        <f>AR12</f>
        <v>26695.530642340043</v>
      </c>
      <c r="D32" s="127"/>
      <c r="E32" s="139"/>
      <c r="F32" s="127"/>
      <c r="G32" s="144" t="s">
        <v>138</v>
      </c>
      <c r="H32" s="179" t="s">
        <v>50</v>
      </c>
      <c r="I32" s="274" t="s">
        <v>735</v>
      </c>
      <c r="J32" s="269"/>
      <c r="K32" s="269"/>
      <c r="L32" s="323">
        <v>346830</v>
      </c>
      <c r="M32" s="324">
        <f>L34+L37+L39+L42+L47</f>
        <v>97926</v>
      </c>
      <c r="N32" s="325">
        <f>L34/M32</f>
        <v>7.4464391479280273E-2</v>
      </c>
      <c r="P32" s="115" t="s">
        <v>640</v>
      </c>
      <c r="Q32" s="67">
        <v>80791046</v>
      </c>
      <c r="R32" s="67">
        <v>8978000</v>
      </c>
      <c r="S32" s="67">
        <v>48680649</v>
      </c>
      <c r="T32" s="67">
        <v>26397777</v>
      </c>
      <c r="U32" s="67" t="s">
        <v>611</v>
      </c>
      <c r="V32" s="67" t="s">
        <v>611</v>
      </c>
      <c r="W32" s="106" t="s">
        <v>611</v>
      </c>
      <c r="X32" s="179" t="s">
        <v>50</v>
      </c>
      <c r="Y32" s="273" t="s">
        <v>636</v>
      </c>
      <c r="Z32" s="290">
        <v>1117852</v>
      </c>
      <c r="AF32" s="277" t="s">
        <v>642</v>
      </c>
      <c r="AG32" s="105"/>
      <c r="AH32" s="105"/>
      <c r="AI32" s="105"/>
      <c r="AJ32" s="105"/>
      <c r="AK32" s="105"/>
      <c r="AL32" s="105"/>
      <c r="AM32" s="120"/>
      <c r="AN32" s="264" t="s">
        <v>50</v>
      </c>
      <c r="AR32" s="306"/>
    </row>
    <row r="33" spans="1:40" ht="14.1" customHeight="1" x14ac:dyDescent="0.25">
      <c r="A33" s="230" t="s">
        <v>871</v>
      </c>
      <c r="B33" s="245">
        <f>B38+B50+B62+B74+B86</f>
        <v>71187.125897332822</v>
      </c>
      <c r="C33" s="139"/>
      <c r="D33" s="127"/>
      <c r="E33" s="139"/>
      <c r="F33" s="127"/>
      <c r="G33" s="144" t="s">
        <v>138</v>
      </c>
      <c r="H33" s="179" t="s">
        <v>50</v>
      </c>
      <c r="I33" s="277"/>
      <c r="J33" s="105" t="s">
        <v>726</v>
      </c>
      <c r="K33" s="105"/>
      <c r="L33" s="278">
        <v>64412</v>
      </c>
      <c r="M33" s="287"/>
      <c r="N33" s="120"/>
      <c r="P33" s="116" t="s">
        <v>614</v>
      </c>
      <c r="Q33" s="67">
        <v>80791046</v>
      </c>
      <c r="R33" s="67">
        <v>8294000</v>
      </c>
      <c r="S33" s="67">
        <v>46261329</v>
      </c>
      <c r="T33" s="67">
        <v>26235717</v>
      </c>
      <c r="U33" s="67">
        <v>10.3</v>
      </c>
      <c r="V33" s="67">
        <v>57.3</v>
      </c>
      <c r="W33" s="106">
        <v>32.5</v>
      </c>
      <c r="X33" s="179" t="s">
        <v>50</v>
      </c>
      <c r="Y33" s="117" t="s">
        <v>638</v>
      </c>
      <c r="Z33" s="290">
        <v>321125</v>
      </c>
      <c r="AF33" s="277" t="s">
        <v>644</v>
      </c>
      <c r="AG33" s="105"/>
      <c r="AH33" s="105"/>
      <c r="AI33" s="105"/>
      <c r="AJ33" s="105"/>
      <c r="AK33" s="105"/>
      <c r="AL33" s="105"/>
      <c r="AM33" s="120"/>
      <c r="AN33" s="264" t="s">
        <v>50</v>
      </c>
    </row>
    <row r="34" spans="1:40" ht="14.1" customHeight="1" x14ac:dyDescent="0.25">
      <c r="A34" s="230" t="s">
        <v>872</v>
      </c>
      <c r="B34" s="238">
        <f>B33/SUM(B8:B9)</f>
        <v>9.6276881116219674E-3</v>
      </c>
      <c r="C34" s="139"/>
      <c r="D34" s="127"/>
      <c r="E34" s="139"/>
      <c r="F34" s="127"/>
      <c r="G34" s="144" t="s">
        <v>138</v>
      </c>
      <c r="H34" s="179" t="s">
        <v>50</v>
      </c>
      <c r="I34" s="277"/>
      <c r="J34" s="105"/>
      <c r="K34" s="105" t="s">
        <v>727</v>
      </c>
      <c r="L34" s="278">
        <v>7292</v>
      </c>
      <c r="M34" s="287"/>
      <c r="N34" s="120"/>
      <c r="P34" s="116" t="s">
        <v>617</v>
      </c>
      <c r="Q34" s="67" t="s">
        <v>611</v>
      </c>
      <c r="R34" s="67">
        <v>684000</v>
      </c>
      <c r="S34" s="67">
        <v>2419320</v>
      </c>
      <c r="T34" s="67">
        <v>162060</v>
      </c>
      <c r="U34" s="67" t="s">
        <v>611</v>
      </c>
      <c r="V34" s="67" t="s">
        <v>611</v>
      </c>
      <c r="W34" s="106" t="s">
        <v>611</v>
      </c>
      <c r="X34" s="179" t="s">
        <v>50</v>
      </c>
      <c r="Y34" s="273" t="s">
        <v>641</v>
      </c>
      <c r="Z34" s="290">
        <v>414854</v>
      </c>
      <c r="AF34" s="326" t="s">
        <v>864</v>
      </c>
      <c r="AG34" s="261"/>
      <c r="AH34" s="261"/>
      <c r="AI34" s="261"/>
      <c r="AJ34" s="261"/>
      <c r="AK34" s="261"/>
      <c r="AL34" s="261"/>
      <c r="AM34" s="262"/>
      <c r="AN34" s="264"/>
    </row>
    <row r="35" spans="1:40" ht="14.1" customHeight="1" x14ac:dyDescent="0.25">
      <c r="A35" s="230" t="s">
        <v>873</v>
      </c>
      <c r="B35" s="216">
        <f>((B38*B39)+(B50*B51)+(B62*B63)+(B74*B75)+(B86*B87))/(B38+B50+B62+B74+B86)</f>
        <v>2.3387752942099853</v>
      </c>
      <c r="C35" s="215"/>
      <c r="D35" s="215"/>
      <c r="E35" s="146"/>
      <c r="F35" s="215"/>
      <c r="G35" s="144" t="s">
        <v>138</v>
      </c>
      <c r="H35" s="179" t="s">
        <v>50</v>
      </c>
      <c r="I35" s="277"/>
      <c r="J35" s="105"/>
      <c r="K35" s="105" t="s">
        <v>728</v>
      </c>
      <c r="L35" s="278">
        <v>57120</v>
      </c>
      <c r="M35" s="287"/>
      <c r="N35" s="120"/>
      <c r="P35" s="271" t="s">
        <v>652</v>
      </c>
      <c r="Q35" s="268"/>
      <c r="R35" s="268"/>
      <c r="S35" s="268"/>
      <c r="T35" s="268"/>
      <c r="U35" s="268"/>
      <c r="V35" s="268"/>
      <c r="W35" s="272"/>
      <c r="X35" s="179" t="s">
        <v>50</v>
      </c>
      <c r="Y35" s="273" t="s">
        <v>643</v>
      </c>
      <c r="Z35" s="290">
        <v>436014</v>
      </c>
      <c r="AN35" s="264"/>
    </row>
    <row r="36" spans="1:40" ht="14.1" customHeight="1" x14ac:dyDescent="0.25">
      <c r="A36" s="246" t="s">
        <v>773</v>
      </c>
      <c r="C36" s="97"/>
      <c r="D36" s="215"/>
      <c r="F36" s="215"/>
      <c r="G36" s="144"/>
      <c r="H36" s="179" t="s">
        <v>50</v>
      </c>
      <c r="I36" s="277"/>
      <c r="J36" s="105" t="s">
        <v>729</v>
      </c>
      <c r="K36" s="105"/>
      <c r="L36" s="278">
        <v>3458</v>
      </c>
      <c r="M36" s="287"/>
      <c r="N36" s="120"/>
      <c r="P36" s="116" t="s">
        <v>653</v>
      </c>
      <c r="Q36" s="67"/>
      <c r="R36" s="67"/>
      <c r="S36" s="67"/>
      <c r="T36" s="67"/>
      <c r="U36" s="67"/>
      <c r="V36" s="67"/>
      <c r="W36" s="106"/>
      <c r="X36" s="179" t="s">
        <v>50</v>
      </c>
      <c r="Y36" s="273" t="s">
        <v>645</v>
      </c>
      <c r="Z36" s="290">
        <v>27380</v>
      </c>
      <c r="AN36" s="264"/>
    </row>
    <row r="37" spans="1:40" ht="14.1" customHeight="1" x14ac:dyDescent="0.25">
      <c r="A37" s="247" t="s">
        <v>758</v>
      </c>
      <c r="F37" s="67"/>
      <c r="G37" s="144"/>
      <c r="H37" s="179" t="s">
        <v>50</v>
      </c>
      <c r="I37" s="277"/>
      <c r="J37" s="105"/>
      <c r="K37" s="105" t="s">
        <v>727</v>
      </c>
      <c r="L37" s="278">
        <v>3458</v>
      </c>
      <c r="M37" s="287"/>
      <c r="N37" s="120"/>
      <c r="P37" s="118" t="s">
        <v>654</v>
      </c>
      <c r="Q37" s="243"/>
      <c r="R37" s="243"/>
      <c r="S37" s="243"/>
      <c r="T37" s="243"/>
      <c r="U37" s="243"/>
      <c r="V37" s="243"/>
      <c r="W37" s="109"/>
      <c r="X37" s="179" t="s">
        <v>50</v>
      </c>
      <c r="Y37" s="273" t="s">
        <v>646</v>
      </c>
      <c r="Z37" s="290">
        <v>3274430</v>
      </c>
      <c r="AN37" s="264"/>
    </row>
    <row r="38" spans="1:40" ht="14.1" customHeight="1" x14ac:dyDescent="0.25">
      <c r="A38" s="248" t="s">
        <v>874</v>
      </c>
      <c r="B38" s="245">
        <f>B40*SUM(B42:B43)</f>
        <v>879.19999999999993</v>
      </c>
      <c r="C38" s="215"/>
      <c r="D38" s="215"/>
      <c r="E38" s="146"/>
      <c r="F38" s="215"/>
      <c r="G38" s="144" t="s">
        <v>138</v>
      </c>
      <c r="H38" s="179" t="s">
        <v>50</v>
      </c>
      <c r="I38" s="277"/>
      <c r="J38" s="105" t="s">
        <v>731</v>
      </c>
      <c r="K38" s="105"/>
      <c r="L38" s="278">
        <v>162288</v>
      </c>
      <c r="M38" s="287"/>
      <c r="N38" s="120"/>
      <c r="P38" s="326" t="s">
        <v>839</v>
      </c>
      <c r="Q38" s="261"/>
      <c r="R38" s="261"/>
      <c r="S38" s="261"/>
      <c r="T38" s="261"/>
      <c r="U38" s="261"/>
      <c r="V38" s="261"/>
      <c r="W38" s="262"/>
      <c r="X38" s="179" t="s">
        <v>50</v>
      </c>
      <c r="Y38" s="273" t="s">
        <v>647</v>
      </c>
      <c r="Z38" s="290">
        <v>1310</v>
      </c>
      <c r="AN38" s="264" t="s">
        <v>50</v>
      </c>
    </row>
    <row r="39" spans="1:40" ht="14.1" customHeight="1" x14ac:dyDescent="0.25">
      <c r="A39" s="248" t="s">
        <v>771</v>
      </c>
      <c r="B39" s="249">
        <f>((B42*((($B$101+($B$98*B46))*B45)+($B$99*B47)+($B$100*B48)/IF((B45+B47+B48)&gt;0,(B45+B47+B48),1))+(B43*$B$103))/(SUM(B42:B43))/12)</f>
        <v>27.209682222222217</v>
      </c>
      <c r="C39" s="215"/>
      <c r="D39" s="215"/>
      <c r="E39" s="146"/>
      <c r="F39" s="215"/>
      <c r="G39" s="144" t="s">
        <v>138</v>
      </c>
      <c r="H39" s="179" t="s">
        <v>50</v>
      </c>
      <c r="I39" s="277"/>
      <c r="J39" s="105"/>
      <c r="K39" s="105" t="s">
        <v>727</v>
      </c>
      <c r="L39" s="278">
        <v>59971</v>
      </c>
      <c r="M39" s="287"/>
      <c r="N39" s="120"/>
      <c r="X39" s="179" t="s">
        <v>50</v>
      </c>
      <c r="Y39" s="281" t="s">
        <v>648</v>
      </c>
      <c r="Z39" s="307">
        <v>53654</v>
      </c>
      <c r="AN39" s="264" t="s">
        <v>50</v>
      </c>
    </row>
    <row r="40" spans="1:40" ht="14.1" customHeight="1" x14ac:dyDescent="0.25">
      <c r="A40" s="169" t="s">
        <v>875</v>
      </c>
      <c r="B40" s="95">
        <f>B20</f>
        <v>1256</v>
      </c>
      <c r="C40" s="231"/>
      <c r="D40" s="250"/>
      <c r="E40" s="146"/>
      <c r="F40" s="215"/>
      <c r="G40" s="144" t="s">
        <v>138</v>
      </c>
      <c r="H40" s="179" t="s">
        <v>50</v>
      </c>
      <c r="I40" s="277"/>
      <c r="J40" s="105"/>
      <c r="K40" s="105" t="s">
        <v>728</v>
      </c>
      <c r="L40" s="278">
        <v>102318</v>
      </c>
      <c r="M40" s="287"/>
      <c r="N40" s="120"/>
      <c r="X40" s="179" t="s">
        <v>50</v>
      </c>
      <c r="Y40" s="308" t="s">
        <v>649</v>
      </c>
      <c r="Z40" s="309"/>
      <c r="AN40" s="264" t="s">
        <v>50</v>
      </c>
    </row>
    <row r="41" spans="1:40" ht="14.1" customHeight="1" x14ac:dyDescent="0.25">
      <c r="A41" s="248" t="s">
        <v>843</v>
      </c>
      <c r="B41" s="238"/>
      <c r="C41" s="215"/>
      <c r="D41" s="215"/>
      <c r="E41" s="146"/>
      <c r="F41" s="215"/>
      <c r="G41" s="144"/>
      <c r="H41" s="179" t="s">
        <v>50</v>
      </c>
      <c r="I41" s="277"/>
      <c r="J41" s="105" t="s">
        <v>732</v>
      </c>
      <c r="K41" s="105"/>
      <c r="L41" s="278">
        <v>59126</v>
      </c>
      <c r="M41" s="287"/>
      <c r="N41" s="120"/>
      <c r="X41" s="179" t="s">
        <v>50</v>
      </c>
      <c r="Y41" s="310" t="s">
        <v>650</v>
      </c>
      <c r="Z41" s="62"/>
      <c r="AA41" s="179" t="s">
        <v>50</v>
      </c>
      <c r="AN41" s="264" t="s">
        <v>50</v>
      </c>
    </row>
    <row r="42" spans="1:40" ht="14.1" customHeight="1" x14ac:dyDescent="0.25">
      <c r="A42" s="251" t="s">
        <v>759</v>
      </c>
      <c r="B42" s="238">
        <v>0.7</v>
      </c>
      <c r="C42" s="215"/>
      <c r="D42" s="215"/>
      <c r="E42" s="146"/>
      <c r="F42" s="215"/>
      <c r="G42" s="144" t="s">
        <v>890</v>
      </c>
      <c r="H42" s="179" t="s">
        <v>50</v>
      </c>
      <c r="I42" s="277"/>
      <c r="J42" s="105"/>
      <c r="K42" s="105" t="s">
        <v>727</v>
      </c>
      <c r="L42" s="278">
        <v>16848</v>
      </c>
      <c r="M42" s="287"/>
      <c r="N42" s="120"/>
      <c r="X42" s="179" t="s">
        <v>50</v>
      </c>
      <c r="Y42" s="311" t="s">
        <v>651</v>
      </c>
      <c r="Z42" s="282"/>
      <c r="AA42" s="179" t="s">
        <v>50</v>
      </c>
      <c r="AN42" s="264"/>
    </row>
    <row r="43" spans="1:40" ht="14.1" customHeight="1" x14ac:dyDescent="0.25">
      <c r="A43" s="251" t="s">
        <v>760</v>
      </c>
      <c r="B43" s="238">
        <v>0</v>
      </c>
      <c r="C43" s="215"/>
      <c r="D43" s="215"/>
      <c r="E43" s="146"/>
      <c r="F43" s="215"/>
      <c r="G43" s="144" t="s">
        <v>890</v>
      </c>
      <c r="H43" s="179" t="s">
        <v>50</v>
      </c>
      <c r="I43" s="277"/>
      <c r="J43" s="105"/>
      <c r="K43" s="105" t="s">
        <v>728</v>
      </c>
      <c r="L43" s="278">
        <v>42278</v>
      </c>
      <c r="M43" s="287"/>
      <c r="N43" s="120"/>
      <c r="W43" s="67"/>
      <c r="X43" s="179" t="s">
        <v>50</v>
      </c>
      <c r="Y43" s="326" t="s">
        <v>865</v>
      </c>
      <c r="Z43" s="312"/>
      <c r="AA43" s="179" t="s">
        <v>50</v>
      </c>
      <c r="AN43" s="264" t="s">
        <v>50</v>
      </c>
    </row>
    <row r="44" spans="1:40" ht="14.1" customHeight="1" x14ac:dyDescent="0.25">
      <c r="A44" s="248" t="s">
        <v>762</v>
      </c>
      <c r="B44" s="238"/>
      <c r="C44" s="215"/>
      <c r="D44" s="215"/>
      <c r="E44" s="146"/>
      <c r="F44" s="215"/>
      <c r="G44" s="144"/>
      <c r="H44" s="179" t="s">
        <v>50</v>
      </c>
      <c r="I44" s="277"/>
      <c r="J44" s="105"/>
      <c r="K44" s="105"/>
      <c r="L44" s="278"/>
      <c r="M44" s="287"/>
      <c r="N44" s="120"/>
      <c r="Q44" s="67"/>
      <c r="R44" s="67"/>
      <c r="S44" s="67"/>
      <c r="T44" s="67"/>
      <c r="U44" s="67"/>
      <c r="V44" s="67"/>
      <c r="W44" s="67"/>
      <c r="AA44" s="179" t="s">
        <v>50</v>
      </c>
      <c r="AN44" s="264"/>
    </row>
    <row r="45" spans="1:40" ht="14.1" customHeight="1" x14ac:dyDescent="0.25">
      <c r="A45" s="251" t="s">
        <v>764</v>
      </c>
      <c r="B45" s="238">
        <v>0.98</v>
      </c>
      <c r="C45" s="215"/>
      <c r="D45" s="215"/>
      <c r="E45" s="146"/>
      <c r="F45" s="215"/>
      <c r="G45" s="144" t="s">
        <v>887</v>
      </c>
      <c r="H45" s="179" t="s">
        <v>50</v>
      </c>
      <c r="I45" s="277"/>
      <c r="J45" s="105"/>
      <c r="K45" s="105"/>
      <c r="L45" s="278"/>
      <c r="M45" s="287"/>
      <c r="N45" s="120"/>
      <c r="Q45" s="67"/>
      <c r="R45" s="67"/>
      <c r="S45" s="67"/>
      <c r="T45" s="67"/>
      <c r="U45" s="67"/>
      <c r="V45" s="67"/>
      <c r="W45" s="67"/>
      <c r="AA45" s="179" t="s">
        <v>50</v>
      </c>
      <c r="AN45" s="264"/>
    </row>
    <row r="46" spans="1:40" ht="14.1" customHeight="1" x14ac:dyDescent="0.25">
      <c r="A46" s="252" t="s">
        <v>772</v>
      </c>
      <c r="B46" s="245">
        <v>373</v>
      </c>
      <c r="C46" s="215"/>
      <c r="D46" s="215"/>
      <c r="E46" s="146"/>
      <c r="F46" s="215"/>
      <c r="G46" s="144" t="s">
        <v>889</v>
      </c>
      <c r="H46" s="179" t="s">
        <v>50</v>
      </c>
      <c r="I46" s="277"/>
      <c r="J46" s="105" t="s">
        <v>733</v>
      </c>
      <c r="K46" s="105"/>
      <c r="L46" s="278">
        <v>17174</v>
      </c>
      <c r="M46" s="287"/>
      <c r="N46" s="120"/>
      <c r="Q46" s="67"/>
      <c r="R46" s="67"/>
      <c r="S46" s="67"/>
      <c r="T46" s="67"/>
      <c r="U46" s="67"/>
      <c r="V46" s="67"/>
      <c r="W46" s="67"/>
      <c r="X46" s="179" t="s">
        <v>50</v>
      </c>
      <c r="AA46" s="179" t="s">
        <v>50</v>
      </c>
      <c r="AN46" s="264"/>
    </row>
    <row r="47" spans="1:40" ht="14.1" customHeight="1" x14ac:dyDescent="0.25">
      <c r="A47" s="251" t="s">
        <v>765</v>
      </c>
      <c r="B47" s="238">
        <v>0.02</v>
      </c>
      <c r="C47" s="215"/>
      <c r="D47" s="215"/>
      <c r="E47" s="146"/>
      <c r="F47" s="215"/>
      <c r="G47" s="144" t="s">
        <v>887</v>
      </c>
      <c r="H47" s="179" t="s">
        <v>50</v>
      </c>
      <c r="I47" s="277"/>
      <c r="J47" s="105"/>
      <c r="K47" s="105" t="s">
        <v>727</v>
      </c>
      <c r="L47" s="278">
        <v>10357</v>
      </c>
      <c r="M47" s="287"/>
      <c r="N47" s="120"/>
      <c r="Q47" s="67"/>
      <c r="R47" s="67"/>
      <c r="S47" s="67"/>
      <c r="T47" s="67"/>
      <c r="U47" s="67"/>
      <c r="V47" s="67"/>
      <c r="W47" s="67"/>
      <c r="X47" s="179" t="s">
        <v>50</v>
      </c>
      <c r="Y47" s="313"/>
      <c r="Z47" s="313"/>
      <c r="AN47" s="264"/>
    </row>
    <row r="48" spans="1:40" ht="14.1" customHeight="1" x14ac:dyDescent="0.25">
      <c r="A48" s="251" t="s">
        <v>766</v>
      </c>
      <c r="B48" s="238">
        <v>0</v>
      </c>
      <c r="C48" s="215"/>
      <c r="D48" s="215"/>
      <c r="E48" s="146"/>
      <c r="F48" s="215"/>
      <c r="G48" s="144" t="s">
        <v>887</v>
      </c>
      <c r="H48" s="179" t="s">
        <v>50</v>
      </c>
      <c r="I48" s="277"/>
      <c r="J48" s="105"/>
      <c r="K48" s="105" t="s">
        <v>728</v>
      </c>
      <c r="L48" s="278">
        <v>6817</v>
      </c>
      <c r="M48" s="287"/>
      <c r="N48" s="120"/>
      <c r="W48" s="67"/>
      <c r="X48" s="179" t="s">
        <v>50</v>
      </c>
      <c r="Y48" s="67"/>
      <c r="Z48" s="67"/>
      <c r="AN48" s="264"/>
    </row>
    <row r="49" spans="1:40" ht="14.1" customHeight="1" x14ac:dyDescent="0.25">
      <c r="A49" s="247" t="s">
        <v>755</v>
      </c>
      <c r="F49" s="67"/>
      <c r="G49" s="144"/>
      <c r="H49" s="179" t="s">
        <v>50</v>
      </c>
      <c r="I49" s="277"/>
      <c r="J49" s="105" t="s">
        <v>734</v>
      </c>
      <c r="K49" s="105"/>
      <c r="L49" s="278">
        <v>40372</v>
      </c>
      <c r="M49" s="287"/>
      <c r="N49" s="280"/>
      <c r="X49" s="179" t="s">
        <v>50</v>
      </c>
      <c r="Y49" s="67"/>
      <c r="Z49" s="67"/>
      <c r="AN49" s="264"/>
    </row>
    <row r="50" spans="1:40" ht="14.1" customHeight="1" x14ac:dyDescent="0.25">
      <c r="A50" s="248" t="s">
        <v>874</v>
      </c>
      <c r="B50" s="245">
        <f>B52*SUM(B54:B55)</f>
        <v>1063.7059608275636</v>
      </c>
      <c r="C50" s="215"/>
      <c r="D50" s="215"/>
      <c r="E50" s="146"/>
      <c r="F50" s="215"/>
      <c r="G50" s="144" t="s">
        <v>138</v>
      </c>
      <c r="H50" s="179" t="s">
        <v>50</v>
      </c>
      <c r="I50" s="277"/>
      <c r="J50" s="105"/>
      <c r="K50" s="105" t="s">
        <v>728</v>
      </c>
      <c r="L50" s="278">
        <v>38218</v>
      </c>
      <c r="M50" s="287"/>
      <c r="N50" s="120"/>
      <c r="X50" s="179" t="s">
        <v>50</v>
      </c>
      <c r="Y50" s="67"/>
      <c r="Z50" s="67"/>
      <c r="AN50" s="264"/>
    </row>
    <row r="51" spans="1:40" ht="14.1" customHeight="1" x14ac:dyDescent="0.25">
      <c r="A51" s="248" t="s">
        <v>771</v>
      </c>
      <c r="B51" s="249">
        <f>((B54*((($B$101+($B$98*B58))*B57)+($B$99*B59)+($B$100*B60)/IF((B57+B59+B60)&gt;0,(B57+B59+B60),1))+(B55*$B$103))/(SUM(B54:B55))/12)</f>
        <v>7.87106056325623</v>
      </c>
      <c r="C51" s="215"/>
      <c r="D51" s="215"/>
      <c r="E51" s="146"/>
      <c r="F51" s="215"/>
      <c r="G51" s="144" t="s">
        <v>138</v>
      </c>
      <c r="H51" s="179" t="s">
        <v>50</v>
      </c>
      <c r="I51" s="296"/>
      <c r="J51" s="297"/>
      <c r="K51" s="297" t="s">
        <v>730</v>
      </c>
      <c r="L51" s="315">
        <v>2154</v>
      </c>
      <c r="M51" s="316"/>
      <c r="N51" s="298"/>
      <c r="X51" s="179" t="s">
        <v>50</v>
      </c>
      <c r="AN51" s="264"/>
    </row>
    <row r="52" spans="1:40" ht="14.1" customHeight="1" x14ac:dyDescent="0.25">
      <c r="A52" s="169" t="s">
        <v>875</v>
      </c>
      <c r="B52" s="95">
        <f>B21*B22</f>
        <v>1564.2734718052407</v>
      </c>
      <c r="C52" s="231"/>
      <c r="D52" s="250"/>
      <c r="E52" s="146"/>
      <c r="F52" s="215"/>
      <c r="G52" s="144" t="s">
        <v>138</v>
      </c>
      <c r="H52" s="179" t="s">
        <v>50</v>
      </c>
      <c r="I52" s="274" t="s">
        <v>582</v>
      </c>
      <c r="J52" s="269"/>
      <c r="K52" s="269"/>
      <c r="L52" s="323">
        <v>741756</v>
      </c>
      <c r="M52" s="324">
        <f>L54+L58+L61+L64+L68+L72</f>
        <v>414802</v>
      </c>
      <c r="N52" s="325">
        <f>L54/M52</f>
        <v>0.12032728868231107</v>
      </c>
      <c r="V52" s="179" t="s">
        <v>50</v>
      </c>
      <c r="AN52" s="264" t="s">
        <v>50</v>
      </c>
    </row>
    <row r="53" spans="1:40" ht="14.1" customHeight="1" x14ac:dyDescent="0.25">
      <c r="A53" s="248" t="s">
        <v>843</v>
      </c>
      <c r="B53" s="238"/>
      <c r="C53" s="215"/>
      <c r="D53" s="215"/>
      <c r="E53" s="146"/>
      <c r="F53" s="215"/>
      <c r="G53" s="144"/>
      <c r="H53" s="179" t="s">
        <v>50</v>
      </c>
      <c r="I53" s="277"/>
      <c r="J53" s="105" t="s">
        <v>726</v>
      </c>
      <c r="K53" s="105"/>
      <c r="L53" s="278">
        <v>80712</v>
      </c>
      <c r="M53" s="287"/>
      <c r="N53" s="120"/>
      <c r="V53" s="314"/>
      <c r="AN53" s="264" t="s">
        <v>50</v>
      </c>
    </row>
    <row r="54" spans="1:40" ht="14.1" customHeight="1" x14ac:dyDescent="0.25">
      <c r="A54" s="251" t="s">
        <v>759</v>
      </c>
      <c r="B54" s="238">
        <v>0.56999999999999995</v>
      </c>
      <c r="C54" s="215"/>
      <c r="D54" s="215"/>
      <c r="E54" s="146"/>
      <c r="F54" s="215"/>
      <c r="G54" s="144" t="s">
        <v>890</v>
      </c>
      <c r="H54" s="179" t="s">
        <v>50</v>
      </c>
      <c r="I54" s="277"/>
      <c r="J54" s="105"/>
      <c r="K54" s="105" t="s">
        <v>727</v>
      </c>
      <c r="L54" s="278">
        <v>49912</v>
      </c>
      <c r="M54" s="287"/>
      <c r="N54" s="120"/>
      <c r="AN54" s="264" t="s">
        <v>50</v>
      </c>
    </row>
    <row r="55" spans="1:40" ht="14.1" customHeight="1" x14ac:dyDescent="0.25">
      <c r="A55" s="251" t="s">
        <v>760</v>
      </c>
      <c r="B55" s="238">
        <v>0.11</v>
      </c>
      <c r="C55" s="215"/>
      <c r="D55" s="215"/>
      <c r="E55" s="146"/>
      <c r="F55" s="215"/>
      <c r="G55" s="144" t="s">
        <v>890</v>
      </c>
      <c r="H55" s="179" t="s">
        <v>50</v>
      </c>
      <c r="I55" s="277"/>
      <c r="J55" s="105"/>
      <c r="K55" s="105" t="s">
        <v>728</v>
      </c>
      <c r="L55" s="278">
        <v>25562</v>
      </c>
      <c r="M55" s="287"/>
      <c r="N55" s="120"/>
      <c r="AN55" s="264"/>
    </row>
    <row r="56" spans="1:40" ht="14.1" customHeight="1" x14ac:dyDescent="0.25">
      <c r="A56" s="248" t="s">
        <v>762</v>
      </c>
      <c r="B56" s="238"/>
      <c r="C56" s="215"/>
      <c r="D56" s="215"/>
      <c r="E56" s="146"/>
      <c r="F56" s="215"/>
      <c r="G56" s="144"/>
      <c r="H56" s="179" t="s">
        <v>50</v>
      </c>
      <c r="I56" s="277"/>
      <c r="J56" s="105"/>
      <c r="K56" s="105" t="s">
        <v>730</v>
      </c>
      <c r="L56" s="278">
        <v>5239</v>
      </c>
      <c r="M56" s="287"/>
      <c r="N56" s="120"/>
      <c r="AN56" s="264"/>
    </row>
    <row r="57" spans="1:40" ht="14.1" customHeight="1" x14ac:dyDescent="0.25">
      <c r="A57" s="251" t="s">
        <v>764</v>
      </c>
      <c r="B57" s="238">
        <v>0.84</v>
      </c>
      <c r="C57" s="215"/>
      <c r="D57" s="215"/>
      <c r="E57" s="146"/>
      <c r="F57" s="215"/>
      <c r="G57" s="144" t="s">
        <v>887</v>
      </c>
      <c r="H57" s="179" t="s">
        <v>50</v>
      </c>
      <c r="I57" s="277"/>
      <c r="J57" s="105" t="s">
        <v>729</v>
      </c>
      <c r="K57" s="105"/>
      <c r="L57" s="278">
        <v>44386</v>
      </c>
      <c r="M57" s="287"/>
      <c r="N57" s="120"/>
      <c r="AN57" s="264" t="s">
        <v>50</v>
      </c>
    </row>
    <row r="58" spans="1:40" ht="14.1" customHeight="1" x14ac:dyDescent="0.25">
      <c r="A58" s="252" t="s">
        <v>772</v>
      </c>
      <c r="B58" s="245">
        <v>142</v>
      </c>
      <c r="C58" s="215"/>
      <c r="D58" s="215"/>
      <c r="E58" s="146"/>
      <c r="F58" s="215"/>
      <c r="G58" s="144" t="s">
        <v>889</v>
      </c>
      <c r="H58" s="179" t="s">
        <v>50</v>
      </c>
      <c r="I58" s="277"/>
      <c r="J58" s="105"/>
      <c r="K58" s="105" t="s">
        <v>727</v>
      </c>
      <c r="L58" s="278">
        <v>19926</v>
      </c>
      <c r="M58" s="287"/>
      <c r="N58" s="120"/>
      <c r="AN58" s="264"/>
    </row>
    <row r="59" spans="1:40" ht="14.1" customHeight="1" x14ac:dyDescent="0.25">
      <c r="A59" s="251" t="s">
        <v>765</v>
      </c>
      <c r="B59" s="238">
        <v>0.05</v>
      </c>
      <c r="C59" s="215"/>
      <c r="D59" s="215"/>
      <c r="E59" s="146"/>
      <c r="F59" s="215"/>
      <c r="G59" s="144" t="s">
        <v>887</v>
      </c>
      <c r="H59" s="179" t="s">
        <v>50</v>
      </c>
      <c r="I59" s="277"/>
      <c r="J59" s="105"/>
      <c r="K59" s="105" t="s">
        <v>728</v>
      </c>
      <c r="L59" s="278">
        <v>24460</v>
      </c>
      <c r="M59" s="287"/>
      <c r="N59" s="120"/>
      <c r="AN59" s="264"/>
    </row>
    <row r="60" spans="1:40" ht="14.1" customHeight="1" x14ac:dyDescent="0.25">
      <c r="A60" s="251" t="s">
        <v>766</v>
      </c>
      <c r="B60" s="238">
        <v>0.08</v>
      </c>
      <c r="C60" s="215"/>
      <c r="D60" s="215"/>
      <c r="E60" s="146"/>
      <c r="F60" s="215"/>
      <c r="G60" s="144" t="s">
        <v>887</v>
      </c>
      <c r="H60" s="179" t="s">
        <v>50</v>
      </c>
      <c r="I60" s="277"/>
      <c r="J60" s="105" t="s">
        <v>731</v>
      </c>
      <c r="K60" s="105"/>
      <c r="L60" s="278">
        <v>94606</v>
      </c>
      <c r="M60" s="287"/>
      <c r="N60" s="120"/>
      <c r="AN60" s="264" t="s">
        <v>50</v>
      </c>
    </row>
    <row r="61" spans="1:40" ht="14.1" customHeight="1" x14ac:dyDescent="0.25">
      <c r="A61" s="247" t="s">
        <v>582</v>
      </c>
      <c r="F61" s="67"/>
      <c r="G61" s="144"/>
      <c r="H61" s="179" t="s">
        <v>50</v>
      </c>
      <c r="I61" s="277"/>
      <c r="J61" s="105"/>
      <c r="K61" s="105" t="s">
        <v>727</v>
      </c>
      <c r="L61" s="278">
        <v>54612</v>
      </c>
      <c r="M61" s="287"/>
      <c r="N61" s="120"/>
      <c r="AN61" s="264"/>
    </row>
    <row r="62" spans="1:40" ht="14.1" customHeight="1" x14ac:dyDescent="0.25">
      <c r="A62" s="248" t="s">
        <v>874</v>
      </c>
      <c r="B62" s="245">
        <f>B64*SUM(B66:B67)</f>
        <v>7497.1096420942995</v>
      </c>
      <c r="C62" s="215"/>
      <c r="D62" s="215"/>
      <c r="E62" s="146"/>
      <c r="F62" s="215"/>
      <c r="G62" s="144" t="s">
        <v>138</v>
      </c>
      <c r="H62" s="179" t="s">
        <v>50</v>
      </c>
      <c r="I62" s="277"/>
      <c r="J62" s="105"/>
      <c r="K62" s="105" t="s">
        <v>728</v>
      </c>
      <c r="L62" s="278">
        <v>39994</v>
      </c>
      <c r="M62" s="287"/>
      <c r="N62" s="120"/>
      <c r="AN62" s="264" t="s">
        <v>50</v>
      </c>
    </row>
    <row r="63" spans="1:40" ht="14.1" customHeight="1" x14ac:dyDescent="0.25">
      <c r="A63" s="248" t="s">
        <v>771</v>
      </c>
      <c r="B63" s="249">
        <f>((B66*((($B$101+($B$98*B70))*B69)+($B$99*B71)+($B$100*B72)/IF((B69+B71+B72)&gt;0,(B69+B71+B72),1))+(B67*$B$103))/(SUM(B66:B67))/12)</f>
        <v>4.7609886261605956</v>
      </c>
      <c r="C63" s="215"/>
      <c r="D63" s="215"/>
      <c r="E63" s="146"/>
      <c r="F63" s="215"/>
      <c r="G63" s="144" t="s">
        <v>138</v>
      </c>
      <c r="H63" s="179" t="s">
        <v>50</v>
      </c>
      <c r="I63" s="277"/>
      <c r="J63" s="105" t="s">
        <v>732</v>
      </c>
      <c r="K63" s="105"/>
      <c r="L63" s="278">
        <v>451631</v>
      </c>
      <c r="M63" s="287"/>
      <c r="N63" s="120"/>
      <c r="AN63" s="264" t="s">
        <v>50</v>
      </c>
    </row>
    <row r="64" spans="1:40" ht="14.1" customHeight="1" x14ac:dyDescent="0.25">
      <c r="A64" s="169" t="s">
        <v>875</v>
      </c>
      <c r="B64" s="95">
        <f>B23*B24</f>
        <v>11359.257033476213</v>
      </c>
      <c r="C64" s="231"/>
      <c r="D64" s="250"/>
      <c r="E64" s="146"/>
      <c r="F64" s="215"/>
      <c r="G64" s="144" t="s">
        <v>138</v>
      </c>
      <c r="H64" s="179" t="s">
        <v>50</v>
      </c>
      <c r="I64" s="277"/>
      <c r="J64" s="105"/>
      <c r="K64" s="105" t="s">
        <v>727</v>
      </c>
      <c r="L64" s="278">
        <v>242633</v>
      </c>
      <c r="M64" s="287"/>
      <c r="N64" s="120"/>
      <c r="AN64" s="264" t="s">
        <v>50</v>
      </c>
    </row>
    <row r="65" spans="1:40" ht="14.1" customHeight="1" x14ac:dyDescent="0.25">
      <c r="A65" s="248" t="s">
        <v>843</v>
      </c>
      <c r="B65" s="238"/>
      <c r="C65" s="215"/>
      <c r="D65" s="215"/>
      <c r="E65" s="146"/>
      <c r="F65" s="215"/>
      <c r="G65" s="144"/>
      <c r="H65" s="179" t="s">
        <v>50</v>
      </c>
      <c r="I65" s="277"/>
      <c r="J65" s="105"/>
      <c r="K65" s="105" t="s">
        <v>728</v>
      </c>
      <c r="L65" s="278">
        <v>200526</v>
      </c>
      <c r="M65" s="287"/>
      <c r="N65" s="120"/>
      <c r="AN65" s="264" t="s">
        <v>50</v>
      </c>
    </row>
    <row r="66" spans="1:40" ht="14.1" customHeight="1" x14ac:dyDescent="0.25">
      <c r="A66" s="251" t="s">
        <v>759</v>
      </c>
      <c r="B66" s="238">
        <v>0.59</v>
      </c>
      <c r="C66" s="215"/>
      <c r="D66" s="215"/>
      <c r="E66" s="146"/>
      <c r="F66" s="215"/>
      <c r="G66" s="144" t="s">
        <v>890</v>
      </c>
      <c r="H66" s="179" t="s">
        <v>50</v>
      </c>
      <c r="I66" s="277"/>
      <c r="J66" s="105"/>
      <c r="K66" s="105" t="s">
        <v>730</v>
      </c>
      <c r="L66" s="278">
        <v>4874</v>
      </c>
      <c r="M66" s="287"/>
      <c r="N66" s="120"/>
      <c r="AN66" s="264"/>
    </row>
    <row r="67" spans="1:40" ht="14.1" customHeight="1" x14ac:dyDescent="0.25">
      <c r="A67" s="251" t="s">
        <v>760</v>
      </c>
      <c r="B67" s="238">
        <v>7.0000000000000007E-2</v>
      </c>
      <c r="C67" s="215"/>
      <c r="D67" s="215"/>
      <c r="E67" s="146"/>
      <c r="F67" s="215"/>
      <c r="G67" s="144" t="s">
        <v>890</v>
      </c>
      <c r="H67" s="179" t="s">
        <v>50</v>
      </c>
      <c r="I67" s="277"/>
      <c r="J67" s="105" t="s">
        <v>733</v>
      </c>
      <c r="K67" s="105"/>
      <c r="L67" s="278">
        <v>47842</v>
      </c>
      <c r="M67" s="287"/>
      <c r="N67" s="120"/>
      <c r="AN67" s="264" t="s">
        <v>50</v>
      </c>
    </row>
    <row r="68" spans="1:40" ht="14.1" customHeight="1" x14ac:dyDescent="0.25">
      <c r="A68" s="248" t="s">
        <v>762</v>
      </c>
      <c r="B68" s="238"/>
      <c r="C68" s="215"/>
      <c r="D68" s="215"/>
      <c r="E68" s="146"/>
      <c r="F68" s="215"/>
      <c r="G68" s="144"/>
      <c r="H68" s="179" t="s">
        <v>50</v>
      </c>
      <c r="I68" s="277"/>
      <c r="J68" s="105"/>
      <c r="K68" s="105" t="s">
        <v>727</v>
      </c>
      <c r="L68" s="278">
        <v>29336</v>
      </c>
      <c r="M68" s="287"/>
      <c r="N68" s="120"/>
      <c r="AN68" s="264"/>
    </row>
    <row r="69" spans="1:40" ht="14.1" customHeight="1" x14ac:dyDescent="0.25">
      <c r="A69" s="251" t="s">
        <v>764</v>
      </c>
      <c r="B69" s="238">
        <v>0.71</v>
      </c>
      <c r="C69" s="215"/>
      <c r="D69" s="215"/>
      <c r="E69" s="146"/>
      <c r="F69" s="215"/>
      <c r="G69" s="144" t="s">
        <v>887</v>
      </c>
      <c r="H69" s="179" t="s">
        <v>50</v>
      </c>
      <c r="I69" s="277"/>
      <c r="J69" s="105"/>
      <c r="K69" s="105" t="s">
        <v>728</v>
      </c>
      <c r="L69" s="278">
        <v>15137</v>
      </c>
      <c r="M69" s="287"/>
      <c r="N69" s="120"/>
      <c r="AN69" s="264"/>
    </row>
    <row r="70" spans="1:40" ht="14.1" customHeight="1" x14ac:dyDescent="0.25">
      <c r="A70" s="252" t="s">
        <v>772</v>
      </c>
      <c r="B70" s="245">
        <v>90</v>
      </c>
      <c r="C70" s="215"/>
      <c r="D70" s="215"/>
      <c r="E70" s="146"/>
      <c r="F70" s="215"/>
      <c r="G70" s="144" t="s">
        <v>889</v>
      </c>
      <c r="H70" s="179" t="s">
        <v>50</v>
      </c>
      <c r="I70" s="277"/>
      <c r="J70" s="105"/>
      <c r="K70" s="105" t="s">
        <v>730</v>
      </c>
      <c r="L70" s="278">
        <v>3368</v>
      </c>
      <c r="M70" s="287"/>
      <c r="N70" s="280"/>
      <c r="AN70" s="264"/>
    </row>
    <row r="71" spans="1:40" ht="14.1" customHeight="1" x14ac:dyDescent="0.25">
      <c r="A71" s="251" t="s">
        <v>765</v>
      </c>
      <c r="B71" s="238">
        <v>0.18</v>
      </c>
      <c r="C71" s="215"/>
      <c r="D71" s="215"/>
      <c r="E71" s="146"/>
      <c r="F71" s="215"/>
      <c r="G71" s="144" t="s">
        <v>887</v>
      </c>
      <c r="H71" s="179" t="s">
        <v>50</v>
      </c>
      <c r="I71" s="277"/>
      <c r="J71" s="105" t="s">
        <v>734</v>
      </c>
      <c r="K71" s="105"/>
      <c r="L71" s="278">
        <v>22578</v>
      </c>
      <c r="M71" s="287"/>
      <c r="N71" s="120"/>
      <c r="AN71" s="264"/>
    </row>
    <row r="72" spans="1:40" ht="14.1" customHeight="1" x14ac:dyDescent="0.25">
      <c r="A72" s="251" t="s">
        <v>766</v>
      </c>
      <c r="B72" s="238">
        <v>0.1</v>
      </c>
      <c r="C72" s="215"/>
      <c r="D72" s="215"/>
      <c r="E72" s="146"/>
      <c r="F72" s="215"/>
      <c r="G72" s="144" t="s">
        <v>887</v>
      </c>
      <c r="H72" s="179" t="s">
        <v>50</v>
      </c>
      <c r="I72" s="296"/>
      <c r="J72" s="297"/>
      <c r="K72" s="297" t="s">
        <v>727</v>
      </c>
      <c r="L72" s="315">
        <v>18383</v>
      </c>
      <c r="M72" s="316"/>
      <c r="N72" s="298"/>
      <c r="AN72" s="264"/>
    </row>
    <row r="73" spans="1:40" ht="14.1" customHeight="1" x14ac:dyDescent="0.25">
      <c r="A73" s="247" t="s">
        <v>586</v>
      </c>
      <c r="F73" s="67"/>
      <c r="G73" s="144"/>
      <c r="H73" s="179" t="s">
        <v>50</v>
      </c>
      <c r="I73" s="274" t="s">
        <v>736</v>
      </c>
      <c r="J73" s="269"/>
      <c r="K73" s="269"/>
      <c r="L73" s="323">
        <v>996106</v>
      </c>
      <c r="M73" s="324">
        <f>L75+L78+L81+L85+L89+L92</f>
        <v>621647</v>
      </c>
      <c r="N73" s="325">
        <f>L75/M73</f>
        <v>0.14860523737748271</v>
      </c>
      <c r="AN73" s="264" t="s">
        <v>50</v>
      </c>
    </row>
    <row r="74" spans="1:40" ht="14.1" customHeight="1" x14ac:dyDescent="0.25">
      <c r="A74" s="248" t="s">
        <v>874</v>
      </c>
      <c r="B74" s="245">
        <f>B76*SUM(B78:B79)</f>
        <v>30460.618590614933</v>
      </c>
      <c r="C74" s="215"/>
      <c r="D74" s="215"/>
      <c r="E74" s="146"/>
      <c r="F74" s="215"/>
      <c r="G74" s="144" t="s">
        <v>138</v>
      </c>
      <c r="H74" s="179" t="s">
        <v>50</v>
      </c>
      <c r="I74" s="277"/>
      <c r="J74" s="105" t="s">
        <v>726</v>
      </c>
      <c r="K74" s="105"/>
      <c r="L74" s="278">
        <v>125115</v>
      </c>
      <c r="M74" s="287"/>
      <c r="N74" s="120"/>
      <c r="AN74" s="264" t="s">
        <v>50</v>
      </c>
    </row>
    <row r="75" spans="1:40" ht="14.1" customHeight="1" x14ac:dyDescent="0.25">
      <c r="A75" s="248" t="s">
        <v>771</v>
      </c>
      <c r="B75" s="249">
        <f>((B78*((($B$101+($B$98*B82))*B81)+($B$99*B83)+($B$100*B84)/IF((B81+B83+B84)&gt;0,(B81+B83+B84),1))+(B79*$B$103))/(SUM(B78:B79))/12)</f>
        <v>2.3319617072018883</v>
      </c>
      <c r="C75" s="215"/>
      <c r="D75" s="215"/>
      <c r="E75" s="146"/>
      <c r="F75" s="215"/>
      <c r="G75" s="144" t="s">
        <v>138</v>
      </c>
      <c r="H75" s="179" t="s">
        <v>50</v>
      </c>
      <c r="I75" s="277"/>
      <c r="J75" s="105"/>
      <c r="K75" s="105" t="s">
        <v>727</v>
      </c>
      <c r="L75" s="278">
        <v>92380</v>
      </c>
      <c r="M75" s="287"/>
      <c r="N75" s="120"/>
      <c r="AN75" s="264" t="s">
        <v>50</v>
      </c>
    </row>
    <row r="76" spans="1:40" ht="14.1" customHeight="1" x14ac:dyDescent="0.25">
      <c r="A76" s="169" t="s">
        <v>875</v>
      </c>
      <c r="B76" s="95">
        <f>B25*B26</f>
        <v>55382.942892027146</v>
      </c>
      <c r="C76" s="231"/>
      <c r="D76" s="250"/>
      <c r="E76" s="146"/>
      <c r="F76" s="215"/>
      <c r="G76" s="144" t="s">
        <v>138</v>
      </c>
      <c r="H76" s="179" t="s">
        <v>50</v>
      </c>
      <c r="I76" s="277"/>
      <c r="J76" s="105"/>
      <c r="K76" s="105" t="s">
        <v>728</v>
      </c>
      <c r="L76" s="278">
        <v>32736</v>
      </c>
      <c r="M76" s="287"/>
      <c r="N76" s="120"/>
      <c r="AN76" s="264"/>
    </row>
    <row r="77" spans="1:40" ht="14.1" customHeight="1" x14ac:dyDescent="0.25">
      <c r="A77" s="248" t="s">
        <v>843</v>
      </c>
      <c r="B77" s="238"/>
      <c r="C77" s="215"/>
      <c r="D77" s="215"/>
      <c r="E77" s="146"/>
      <c r="F77" s="215"/>
      <c r="G77" s="144"/>
      <c r="H77" s="179" t="s">
        <v>50</v>
      </c>
      <c r="I77" s="277"/>
      <c r="J77" s="105" t="s">
        <v>729</v>
      </c>
      <c r="K77" s="105"/>
      <c r="L77" s="278">
        <v>92992</v>
      </c>
      <c r="M77" s="287"/>
      <c r="N77" s="120"/>
      <c r="AN77" s="264" t="s">
        <v>50</v>
      </c>
    </row>
    <row r="78" spans="1:40" ht="14.1" customHeight="1" x14ac:dyDescent="0.25">
      <c r="A78" s="251" t="s">
        <v>759</v>
      </c>
      <c r="B78" s="238">
        <v>0.39</v>
      </c>
      <c r="C78" s="215"/>
      <c r="D78" s="215"/>
      <c r="E78" s="146"/>
      <c r="F78" s="215"/>
      <c r="G78" s="144" t="s">
        <v>890</v>
      </c>
      <c r="H78" s="179" t="s">
        <v>50</v>
      </c>
      <c r="I78" s="277"/>
      <c r="J78" s="105"/>
      <c r="K78" s="105" t="s">
        <v>727</v>
      </c>
      <c r="L78" s="278">
        <v>77317</v>
      </c>
      <c r="M78" s="287"/>
      <c r="N78" s="120"/>
      <c r="AN78" s="264" t="s">
        <v>50</v>
      </c>
    </row>
    <row r="79" spans="1:40" ht="14.1" customHeight="1" x14ac:dyDescent="0.25">
      <c r="A79" s="251" t="s">
        <v>760</v>
      </c>
      <c r="B79" s="238">
        <v>0.16</v>
      </c>
      <c r="C79" s="215"/>
      <c r="D79" s="215"/>
      <c r="E79" s="146"/>
      <c r="F79" s="215"/>
      <c r="G79" s="144" t="s">
        <v>890</v>
      </c>
      <c r="H79" s="179" t="s">
        <v>50</v>
      </c>
      <c r="I79" s="277"/>
      <c r="J79" s="105"/>
      <c r="K79" s="105" t="s">
        <v>728</v>
      </c>
      <c r="L79" s="278">
        <v>15675</v>
      </c>
      <c r="M79" s="287"/>
      <c r="N79" s="120"/>
      <c r="AN79" s="264"/>
    </row>
    <row r="80" spans="1:40" ht="14.1" customHeight="1" x14ac:dyDescent="0.25">
      <c r="A80" s="248" t="s">
        <v>762</v>
      </c>
      <c r="B80" s="238"/>
      <c r="C80" s="215"/>
      <c r="D80" s="215"/>
      <c r="E80" s="146"/>
      <c r="F80" s="215"/>
      <c r="G80" s="144"/>
      <c r="H80" s="179" t="s">
        <v>50</v>
      </c>
      <c r="I80" s="277"/>
      <c r="J80" s="105" t="s">
        <v>731</v>
      </c>
      <c r="K80" s="105"/>
      <c r="L80" s="278">
        <v>203087</v>
      </c>
      <c r="M80" s="287"/>
      <c r="N80" s="120"/>
      <c r="AN80" s="264" t="s">
        <v>50</v>
      </c>
    </row>
    <row r="81" spans="1:40" ht="14.1" customHeight="1" x14ac:dyDescent="0.25">
      <c r="A81" s="251" t="s">
        <v>764</v>
      </c>
      <c r="B81" s="238">
        <v>0.47</v>
      </c>
      <c r="C81" s="215"/>
      <c r="D81" s="215"/>
      <c r="E81" s="146"/>
      <c r="F81" s="215"/>
      <c r="G81" s="144" t="s">
        <v>887</v>
      </c>
      <c r="H81" s="179" t="s">
        <v>50</v>
      </c>
      <c r="I81" s="277"/>
      <c r="J81" s="105"/>
      <c r="K81" s="105" t="s">
        <v>727</v>
      </c>
      <c r="L81" s="278">
        <v>107595</v>
      </c>
      <c r="M81" s="287"/>
      <c r="N81" s="120"/>
      <c r="AN81" s="264" t="s">
        <v>50</v>
      </c>
    </row>
    <row r="82" spans="1:40" ht="14.1" customHeight="1" x14ac:dyDescent="0.25">
      <c r="A82" s="252" t="s">
        <v>772</v>
      </c>
      <c r="B82" s="245">
        <v>62</v>
      </c>
      <c r="C82" s="215"/>
      <c r="D82" s="215"/>
      <c r="E82" s="146"/>
      <c r="F82" s="215"/>
      <c r="G82" s="144" t="s">
        <v>889</v>
      </c>
      <c r="H82" s="179" t="s">
        <v>50</v>
      </c>
      <c r="I82" s="277"/>
      <c r="J82" s="105"/>
      <c r="K82" s="105" t="s">
        <v>728</v>
      </c>
      <c r="L82" s="278">
        <v>87006</v>
      </c>
      <c r="M82" s="287"/>
      <c r="N82" s="120"/>
      <c r="AN82" s="264" t="s">
        <v>50</v>
      </c>
    </row>
    <row r="83" spans="1:40" ht="14.1" customHeight="1" x14ac:dyDescent="0.25">
      <c r="A83" s="251" t="s">
        <v>765</v>
      </c>
      <c r="B83" s="238">
        <v>0.34</v>
      </c>
      <c r="C83" s="215"/>
      <c r="D83" s="215"/>
      <c r="E83" s="146"/>
      <c r="F83" s="215"/>
      <c r="G83" s="144" t="s">
        <v>887</v>
      </c>
      <c r="H83" s="179" t="s">
        <v>50</v>
      </c>
      <c r="I83" s="277"/>
      <c r="J83" s="105"/>
      <c r="K83" s="105" t="s">
        <v>730</v>
      </c>
      <c r="L83" s="278">
        <v>8486</v>
      </c>
      <c r="M83" s="287"/>
      <c r="N83" s="120"/>
      <c r="AN83" s="264"/>
    </row>
    <row r="84" spans="1:40" ht="14.1" customHeight="1" x14ac:dyDescent="0.25">
      <c r="A84" s="251" t="s">
        <v>766</v>
      </c>
      <c r="B84" s="238">
        <v>0.18</v>
      </c>
      <c r="C84" s="215"/>
      <c r="D84" s="215"/>
      <c r="E84" s="146"/>
      <c r="F84" s="215"/>
      <c r="G84" s="144" t="s">
        <v>887</v>
      </c>
      <c r="H84" s="179" t="s">
        <v>50</v>
      </c>
      <c r="I84" s="277"/>
      <c r="J84" s="105" t="s">
        <v>732</v>
      </c>
      <c r="K84" s="105"/>
      <c r="L84" s="278">
        <v>509640</v>
      </c>
      <c r="M84" s="287"/>
      <c r="N84" s="120"/>
      <c r="AN84" s="264" t="s">
        <v>50</v>
      </c>
    </row>
    <row r="85" spans="1:40" ht="14.1" customHeight="1" x14ac:dyDescent="0.25">
      <c r="A85" s="247" t="s">
        <v>842</v>
      </c>
      <c r="F85" s="67"/>
      <c r="G85" s="144"/>
      <c r="H85" s="179" t="s">
        <v>50</v>
      </c>
      <c r="I85" s="277"/>
      <c r="J85" s="105"/>
      <c r="K85" s="105" t="s">
        <v>727</v>
      </c>
      <c r="L85" s="278">
        <v>299571</v>
      </c>
      <c r="M85" s="287"/>
      <c r="N85" s="120"/>
      <c r="AN85" s="264" t="s">
        <v>50</v>
      </c>
    </row>
    <row r="86" spans="1:40" ht="14.1" customHeight="1" x14ac:dyDescent="0.25">
      <c r="A86" s="248" t="s">
        <v>874</v>
      </c>
      <c r="B86" s="245">
        <f>B88*SUM(B90:B91)</f>
        <v>31286.491703796029</v>
      </c>
      <c r="C86" s="215"/>
      <c r="D86" s="215"/>
      <c r="E86" s="146"/>
      <c r="F86" s="215"/>
      <c r="G86" s="144" t="s">
        <v>138</v>
      </c>
      <c r="H86" s="179" t="s">
        <v>50</v>
      </c>
      <c r="I86" s="277"/>
      <c r="J86" s="105"/>
      <c r="K86" s="105" t="s">
        <v>728</v>
      </c>
      <c r="L86" s="278">
        <v>195947</v>
      </c>
      <c r="M86" s="287"/>
      <c r="N86" s="120"/>
      <c r="AN86" s="264" t="s">
        <v>50</v>
      </c>
    </row>
    <row r="87" spans="1:40" ht="14.1" customHeight="1" x14ac:dyDescent="0.25">
      <c r="A87" s="248" t="s">
        <v>771</v>
      </c>
      <c r="B87" s="249">
        <f>((B90*((($B$101+($B$98*B94))*B93)+($B$99*B95)+($B$100*B96)/IF((B93+B95+B96)&gt;0,(B93+B95+B96),1))+(B91*$B$103))/(SUM(B90:B91))/12)</f>
        <v>0.87797619047619058</v>
      </c>
      <c r="C87" s="215"/>
      <c r="D87" s="215"/>
      <c r="E87" s="146"/>
      <c r="F87" s="215"/>
      <c r="G87" s="144" t="s">
        <v>138</v>
      </c>
      <c r="H87" s="179" t="s">
        <v>50</v>
      </c>
      <c r="I87" s="277"/>
      <c r="J87" s="105"/>
      <c r="K87" s="105" t="s">
        <v>730</v>
      </c>
      <c r="L87" s="278">
        <v>14122</v>
      </c>
      <c r="M87" s="287"/>
      <c r="N87" s="120"/>
      <c r="AN87" s="264"/>
    </row>
    <row r="88" spans="1:40" ht="14.1" customHeight="1" x14ac:dyDescent="0.25">
      <c r="A88" s="169" t="s">
        <v>875</v>
      </c>
      <c r="B88" s="95">
        <f>B27*B28</f>
        <v>163803.62148584309</v>
      </c>
      <c r="C88" s="215"/>
      <c r="D88" s="250"/>
      <c r="E88" s="146"/>
      <c r="F88" s="215"/>
      <c r="G88" s="144" t="s">
        <v>138</v>
      </c>
      <c r="H88" s="179" t="s">
        <v>50</v>
      </c>
      <c r="I88" s="277"/>
      <c r="J88" s="105" t="s">
        <v>733</v>
      </c>
      <c r="K88" s="105"/>
      <c r="L88" s="278">
        <v>41317</v>
      </c>
      <c r="M88" s="287"/>
      <c r="N88" s="120"/>
      <c r="AN88" s="264" t="s">
        <v>50</v>
      </c>
    </row>
    <row r="89" spans="1:40" ht="14.1" customHeight="1" x14ac:dyDescent="0.25">
      <c r="A89" s="248" t="s">
        <v>843</v>
      </c>
      <c r="B89" s="238"/>
      <c r="C89" s="215"/>
      <c r="D89" s="215"/>
      <c r="E89" s="146"/>
      <c r="F89" s="215"/>
      <c r="G89" s="144"/>
      <c r="H89" s="179" t="s">
        <v>50</v>
      </c>
      <c r="I89" s="277"/>
      <c r="J89" s="105"/>
      <c r="K89" s="105" t="s">
        <v>727</v>
      </c>
      <c r="L89" s="278">
        <v>32188</v>
      </c>
      <c r="M89" s="287"/>
      <c r="N89" s="120"/>
      <c r="AN89" s="264"/>
    </row>
    <row r="90" spans="1:40" ht="14.1" customHeight="1" x14ac:dyDescent="0.25">
      <c r="A90" s="251" t="s">
        <v>759</v>
      </c>
      <c r="B90" s="238">
        <v>0</v>
      </c>
      <c r="C90" s="215"/>
      <c r="D90" s="215"/>
      <c r="E90" s="146"/>
      <c r="F90" s="215"/>
      <c r="G90" s="144" t="s">
        <v>125</v>
      </c>
      <c r="H90" s="179" t="s">
        <v>50</v>
      </c>
      <c r="I90" s="277"/>
      <c r="J90" s="105"/>
      <c r="K90" s="105" t="s">
        <v>728</v>
      </c>
      <c r="L90" s="278">
        <v>9129</v>
      </c>
      <c r="M90" s="287"/>
      <c r="N90" s="120"/>
      <c r="AN90" s="264"/>
    </row>
    <row r="91" spans="1:40" ht="14.1" customHeight="1" x14ac:dyDescent="0.25">
      <c r="A91" s="251" t="s">
        <v>760</v>
      </c>
      <c r="B91" s="238">
        <v>0.191</v>
      </c>
      <c r="C91" s="215"/>
      <c r="D91" s="215"/>
      <c r="E91" s="146"/>
      <c r="F91" s="215"/>
      <c r="G91" s="144" t="s">
        <v>879</v>
      </c>
      <c r="H91" s="179" t="s">
        <v>50</v>
      </c>
      <c r="I91" s="277"/>
      <c r="J91" s="105" t="s">
        <v>734</v>
      </c>
      <c r="K91" s="105"/>
      <c r="L91" s="278">
        <v>23954</v>
      </c>
      <c r="M91" s="287"/>
      <c r="N91" s="280"/>
      <c r="AN91" s="264"/>
    </row>
    <row r="92" spans="1:40" ht="14.1" customHeight="1" x14ac:dyDescent="0.25">
      <c r="A92" s="248" t="s">
        <v>762</v>
      </c>
      <c r="B92" s="238"/>
      <c r="C92" s="215"/>
      <c r="D92" s="215"/>
      <c r="E92" s="146"/>
      <c r="F92" s="215"/>
      <c r="G92" s="144"/>
      <c r="H92" s="179" t="s">
        <v>50</v>
      </c>
      <c r="I92" s="277"/>
      <c r="J92" s="105"/>
      <c r="K92" s="105" t="s">
        <v>727</v>
      </c>
      <c r="L92" s="278">
        <v>12596</v>
      </c>
      <c r="M92" s="287"/>
      <c r="N92" s="120"/>
      <c r="AN92" s="264"/>
    </row>
    <row r="93" spans="1:40" ht="14.1" customHeight="1" x14ac:dyDescent="0.25">
      <c r="A93" s="251" t="s">
        <v>764</v>
      </c>
      <c r="B93" s="238">
        <v>0</v>
      </c>
      <c r="C93" s="215"/>
      <c r="D93" s="215"/>
      <c r="E93" s="146"/>
      <c r="F93" s="215"/>
      <c r="G93" s="144" t="s">
        <v>125</v>
      </c>
      <c r="H93" s="179" t="s">
        <v>50</v>
      </c>
      <c r="I93" s="296"/>
      <c r="J93" s="297"/>
      <c r="K93" s="297" t="s">
        <v>728</v>
      </c>
      <c r="L93" s="315">
        <v>11359</v>
      </c>
      <c r="M93" s="316"/>
      <c r="N93" s="298"/>
      <c r="AN93" s="264"/>
    </row>
    <row r="94" spans="1:40" ht="14.1" customHeight="1" x14ac:dyDescent="0.25">
      <c r="A94" s="252" t="s">
        <v>772</v>
      </c>
      <c r="B94" s="245">
        <v>0</v>
      </c>
      <c r="C94" s="215"/>
      <c r="D94" s="215"/>
      <c r="E94" s="146"/>
      <c r="F94" s="215"/>
      <c r="G94" s="144" t="s">
        <v>125</v>
      </c>
      <c r="H94" s="179" t="s">
        <v>50</v>
      </c>
      <c r="I94" s="274" t="s">
        <v>737</v>
      </c>
      <c r="J94" s="269"/>
      <c r="K94" s="269"/>
      <c r="L94" s="323">
        <v>4757902</v>
      </c>
      <c r="M94" s="324">
        <f>L96+L100+L103+L107+L111+L114</f>
        <v>1884627</v>
      </c>
      <c r="N94" s="325">
        <f>L96/M94</f>
        <v>0.14983070920664937</v>
      </c>
      <c r="AN94" s="265"/>
    </row>
    <row r="95" spans="1:40" ht="14.1" customHeight="1" x14ac:dyDescent="0.25">
      <c r="A95" s="251" t="s">
        <v>765</v>
      </c>
      <c r="B95" s="238">
        <v>0</v>
      </c>
      <c r="C95" s="215"/>
      <c r="D95" s="215"/>
      <c r="E95" s="146"/>
      <c r="F95" s="215"/>
      <c r="G95" s="144" t="s">
        <v>125</v>
      </c>
      <c r="H95" s="179" t="s">
        <v>50</v>
      </c>
      <c r="I95" s="277"/>
      <c r="J95" s="105" t="s">
        <v>726</v>
      </c>
      <c r="K95" s="105"/>
      <c r="L95" s="278">
        <v>540555</v>
      </c>
      <c r="M95" s="287"/>
      <c r="N95" s="120"/>
      <c r="AN95" s="264" t="s">
        <v>50</v>
      </c>
    </row>
    <row r="96" spans="1:40" ht="14.1" customHeight="1" x14ac:dyDescent="0.25">
      <c r="A96" s="251" t="s">
        <v>766</v>
      </c>
      <c r="B96" s="238">
        <v>0</v>
      </c>
      <c r="C96" s="215"/>
      <c r="D96" s="215"/>
      <c r="E96" s="146"/>
      <c r="F96" s="215"/>
      <c r="G96" s="144" t="s">
        <v>125</v>
      </c>
      <c r="H96" s="179" t="s">
        <v>50</v>
      </c>
      <c r="I96" s="277"/>
      <c r="J96" s="105"/>
      <c r="K96" s="105" t="s">
        <v>727</v>
      </c>
      <c r="L96" s="278">
        <v>282375</v>
      </c>
      <c r="M96" s="287"/>
      <c r="N96" s="120"/>
      <c r="AN96" s="264" t="s">
        <v>50</v>
      </c>
    </row>
    <row r="97" spans="1:40" ht="14.1" customHeight="1" x14ac:dyDescent="0.25">
      <c r="A97" s="247" t="s">
        <v>761</v>
      </c>
      <c r="B97" s="238"/>
      <c r="C97" s="215"/>
      <c r="D97" s="215"/>
      <c r="E97" s="146"/>
      <c r="F97" s="215"/>
      <c r="G97" s="144"/>
      <c r="H97" s="179" t="s">
        <v>50</v>
      </c>
      <c r="I97" s="277"/>
      <c r="J97" s="105"/>
      <c r="K97" s="105" t="s">
        <v>728</v>
      </c>
      <c r="L97" s="278">
        <v>235341</v>
      </c>
      <c r="M97" s="287"/>
      <c r="N97" s="120"/>
      <c r="AN97" s="264" t="s">
        <v>50</v>
      </c>
    </row>
    <row r="98" spans="1:40" ht="14.1" customHeight="1" x14ac:dyDescent="0.25">
      <c r="A98" s="253" t="s">
        <v>841</v>
      </c>
      <c r="B98" s="254">
        <v>0.88800000000000001</v>
      </c>
      <c r="C98" s="67"/>
      <c r="D98" s="67"/>
      <c r="E98" s="67"/>
      <c r="F98" s="67"/>
      <c r="G98" s="144" t="s">
        <v>888</v>
      </c>
      <c r="H98" s="179" t="s">
        <v>50</v>
      </c>
      <c r="I98" s="277"/>
      <c r="J98" s="105"/>
      <c r="K98" s="105" t="s">
        <v>730</v>
      </c>
      <c r="L98" s="278">
        <v>12004</v>
      </c>
      <c r="M98" s="287"/>
      <c r="N98" s="120"/>
      <c r="AN98" s="264"/>
    </row>
    <row r="99" spans="1:40" ht="14.1" customHeight="1" x14ac:dyDescent="0.25">
      <c r="A99" s="253" t="s">
        <v>775</v>
      </c>
      <c r="B99" s="245">
        <v>6</v>
      </c>
      <c r="C99" s="215"/>
      <c r="D99" s="215"/>
      <c r="E99" s="146"/>
      <c r="F99" s="215"/>
      <c r="G99" s="144" t="s">
        <v>885</v>
      </c>
      <c r="H99" s="179" t="s">
        <v>50</v>
      </c>
      <c r="I99" s="277"/>
      <c r="J99" s="105" t="s">
        <v>729</v>
      </c>
      <c r="K99" s="105"/>
      <c r="L99" s="278">
        <v>307761</v>
      </c>
      <c r="M99" s="287"/>
      <c r="N99" s="120"/>
      <c r="AN99" s="264" t="s">
        <v>50</v>
      </c>
    </row>
    <row r="100" spans="1:40" ht="14.1" customHeight="1" x14ac:dyDescent="0.25">
      <c r="A100" s="253" t="s">
        <v>767</v>
      </c>
      <c r="B100" s="245">
        <v>35</v>
      </c>
      <c r="C100" s="215"/>
      <c r="D100" s="215"/>
      <c r="E100" s="146"/>
      <c r="F100" s="215"/>
      <c r="G100" s="144" t="s">
        <v>886</v>
      </c>
      <c r="H100" s="179" t="s">
        <v>50</v>
      </c>
      <c r="I100" s="277"/>
      <c r="J100" s="105"/>
      <c r="K100" s="105" t="s">
        <v>727</v>
      </c>
      <c r="L100" s="278">
        <v>159092</v>
      </c>
      <c r="M100" s="287"/>
      <c r="N100" s="120"/>
      <c r="AN100" s="264" t="s">
        <v>50</v>
      </c>
    </row>
    <row r="101" spans="1:40" ht="14.1" customHeight="1" x14ac:dyDescent="0.25">
      <c r="A101" s="253" t="s">
        <v>863</v>
      </c>
      <c r="B101" s="216">
        <f>AM27/12</f>
        <v>1.8333333333333333</v>
      </c>
      <c r="C101" s="216"/>
      <c r="D101" s="215"/>
      <c r="E101" s="146"/>
      <c r="F101" s="215"/>
      <c r="G101" s="144" t="s">
        <v>884</v>
      </c>
      <c r="H101" s="179" t="s">
        <v>50</v>
      </c>
      <c r="I101" s="277"/>
      <c r="J101" s="105"/>
      <c r="K101" s="105" t="s">
        <v>728</v>
      </c>
      <c r="L101" s="278">
        <v>146047</v>
      </c>
      <c r="M101" s="287"/>
      <c r="N101" s="120"/>
      <c r="AN101" s="264" t="s">
        <v>50</v>
      </c>
    </row>
    <row r="102" spans="1:40" ht="14.1" customHeight="1" x14ac:dyDescent="0.25">
      <c r="A102" s="253" t="s">
        <v>770</v>
      </c>
      <c r="B102" s="238"/>
      <c r="C102" s="215"/>
      <c r="D102" s="215"/>
      <c r="E102" s="146"/>
      <c r="F102" s="215"/>
      <c r="G102" s="144"/>
      <c r="H102" s="179" t="s">
        <v>50</v>
      </c>
      <c r="I102" s="277"/>
      <c r="J102" s="105" t="s">
        <v>731</v>
      </c>
      <c r="K102" s="105"/>
      <c r="L102" s="278">
        <v>1803271</v>
      </c>
      <c r="M102" s="287"/>
      <c r="N102" s="120"/>
      <c r="AN102" s="264" t="s">
        <v>50</v>
      </c>
    </row>
    <row r="103" spans="1:40" ht="14.1" customHeight="1" x14ac:dyDescent="0.25">
      <c r="A103" s="248" t="s">
        <v>771</v>
      </c>
      <c r="B103" s="255">
        <f>(($B$104*$B$105)+($B$106*$B$107))/($B$104+$B$106)</f>
        <v>10.535714285714286</v>
      </c>
      <c r="C103" s="215"/>
      <c r="D103" s="215"/>
      <c r="E103" s="146"/>
      <c r="F103" s="215"/>
      <c r="G103" s="144" t="s">
        <v>138</v>
      </c>
      <c r="H103" s="179" t="s">
        <v>50</v>
      </c>
      <c r="I103" s="277"/>
      <c r="J103" s="105"/>
      <c r="K103" s="105" t="s">
        <v>727</v>
      </c>
      <c r="L103" s="278">
        <v>586271</v>
      </c>
      <c r="M103" s="287"/>
      <c r="N103" s="120"/>
      <c r="AN103" s="264" t="s">
        <v>50</v>
      </c>
    </row>
    <row r="104" spans="1:40" ht="14.1" customHeight="1" x14ac:dyDescent="0.25">
      <c r="A104" s="248" t="s">
        <v>765</v>
      </c>
      <c r="B104" s="254">
        <v>0.53</v>
      </c>
      <c r="C104" s="215"/>
      <c r="E104" s="146"/>
      <c r="F104" s="215"/>
      <c r="G104" s="144" t="s">
        <v>887</v>
      </c>
      <c r="H104" s="179" t="s">
        <v>50</v>
      </c>
      <c r="I104" s="277"/>
      <c r="J104" s="105"/>
      <c r="K104" s="105" t="s">
        <v>728</v>
      </c>
      <c r="L104" s="278">
        <v>1198815</v>
      </c>
      <c r="M104" s="287"/>
      <c r="N104" s="120"/>
      <c r="AN104" s="264" t="s">
        <v>50</v>
      </c>
    </row>
    <row r="105" spans="1:40" ht="14.1" customHeight="1" x14ac:dyDescent="0.25">
      <c r="A105" s="256" t="s">
        <v>877</v>
      </c>
      <c r="B105" s="33">
        <v>5</v>
      </c>
      <c r="C105" s="215"/>
      <c r="D105" s="215"/>
      <c r="E105" s="146"/>
      <c r="F105" s="215"/>
      <c r="G105" s="144" t="s">
        <v>885</v>
      </c>
      <c r="H105" s="179" t="s">
        <v>50</v>
      </c>
      <c r="I105" s="277"/>
      <c r="J105" s="105"/>
      <c r="K105" s="105" t="s">
        <v>730</v>
      </c>
      <c r="L105" s="278">
        <v>18185</v>
      </c>
      <c r="M105" s="287"/>
      <c r="N105" s="120"/>
      <c r="AN105" s="264"/>
    </row>
    <row r="106" spans="1:40" ht="14.1" customHeight="1" x14ac:dyDescent="0.25">
      <c r="A106" s="248" t="s">
        <v>766</v>
      </c>
      <c r="B106" s="254">
        <v>0.31</v>
      </c>
      <c r="C106" s="215"/>
      <c r="D106" s="215"/>
      <c r="E106" s="146"/>
      <c r="F106" s="215"/>
      <c r="G106" s="144" t="s">
        <v>887</v>
      </c>
      <c r="H106" s="179" t="s">
        <v>50</v>
      </c>
      <c r="I106" s="277"/>
      <c r="J106" s="105" t="s">
        <v>732</v>
      </c>
      <c r="K106" s="105"/>
      <c r="L106" s="278">
        <v>1689717</v>
      </c>
      <c r="M106" s="287"/>
      <c r="N106" s="120"/>
      <c r="AN106" s="264" t="s">
        <v>50</v>
      </c>
    </row>
    <row r="107" spans="1:40" ht="14.1" customHeight="1" x14ac:dyDescent="0.25">
      <c r="A107" s="256" t="s">
        <v>877</v>
      </c>
      <c r="B107" s="33">
        <v>20</v>
      </c>
      <c r="C107" s="215"/>
      <c r="D107" s="215"/>
      <c r="E107" s="146"/>
      <c r="F107" s="215"/>
      <c r="G107" s="144" t="s">
        <v>886</v>
      </c>
      <c r="H107" s="179" t="s">
        <v>50</v>
      </c>
      <c r="I107" s="277"/>
      <c r="J107" s="105"/>
      <c r="K107" s="105" t="s">
        <v>727</v>
      </c>
      <c r="L107" s="278">
        <v>765926</v>
      </c>
      <c r="M107" s="287"/>
      <c r="N107" s="120"/>
      <c r="AN107" s="264" t="s">
        <v>50</v>
      </c>
    </row>
    <row r="108" spans="1:40" ht="14.1" customHeight="1" x14ac:dyDescent="0.25">
      <c r="A108" s="257" t="s">
        <v>633</v>
      </c>
      <c r="B108" s="258">
        <v>3</v>
      </c>
      <c r="C108" s="37"/>
      <c r="D108" s="37"/>
      <c r="E108" s="259"/>
      <c r="F108" s="37"/>
      <c r="G108" s="237" t="s">
        <v>125</v>
      </c>
      <c r="H108" s="179" t="s">
        <v>50</v>
      </c>
      <c r="I108" s="277"/>
      <c r="J108" s="105"/>
      <c r="K108" s="105" t="s">
        <v>728</v>
      </c>
      <c r="L108" s="278">
        <v>863755</v>
      </c>
      <c r="M108" s="287"/>
      <c r="N108" s="120"/>
      <c r="AN108" s="264" t="s">
        <v>50</v>
      </c>
    </row>
    <row r="109" spans="1:40" ht="14.1" customHeight="1" x14ac:dyDescent="0.25">
      <c r="A109" s="260" t="s">
        <v>880</v>
      </c>
      <c r="B109" s="261"/>
      <c r="C109" s="261"/>
      <c r="D109" s="261"/>
      <c r="E109" s="261"/>
      <c r="F109" s="261"/>
      <c r="G109" s="262"/>
      <c r="H109" s="179" t="s">
        <v>50</v>
      </c>
      <c r="I109" s="277"/>
      <c r="J109" s="105"/>
      <c r="K109" s="105" t="s">
        <v>730</v>
      </c>
      <c r="L109" s="278">
        <v>27784</v>
      </c>
      <c r="M109" s="287"/>
      <c r="N109" s="120"/>
      <c r="AN109" s="264"/>
    </row>
    <row r="110" spans="1:40" ht="14.1" customHeight="1" x14ac:dyDescent="0.25">
      <c r="H110" s="179" t="s">
        <v>50</v>
      </c>
      <c r="I110" s="277"/>
      <c r="J110" s="105" t="s">
        <v>733</v>
      </c>
      <c r="K110" s="105"/>
      <c r="L110" s="278">
        <v>265577</v>
      </c>
      <c r="M110" s="287"/>
      <c r="N110" s="120"/>
      <c r="AN110" s="264" t="s">
        <v>50</v>
      </c>
    </row>
    <row r="111" spans="1:40" ht="14.1" customHeight="1" x14ac:dyDescent="0.25">
      <c r="H111" s="179" t="s">
        <v>50</v>
      </c>
      <c r="I111" s="277"/>
      <c r="J111" s="105"/>
      <c r="K111" s="105" t="s">
        <v>727</v>
      </c>
      <c r="L111" s="278">
        <v>50342</v>
      </c>
      <c r="M111" s="287"/>
      <c r="N111" s="120"/>
      <c r="AN111" s="264" t="s">
        <v>50</v>
      </c>
    </row>
    <row r="112" spans="1:40" ht="14.1" customHeight="1" x14ac:dyDescent="0.25">
      <c r="H112" s="179" t="s">
        <v>50</v>
      </c>
      <c r="I112" s="277"/>
      <c r="J112" s="105"/>
      <c r="K112" s="105" t="s">
        <v>728</v>
      </c>
      <c r="L112" s="278">
        <v>215235</v>
      </c>
      <c r="M112" s="287"/>
      <c r="N112" s="120"/>
      <c r="AN112" s="264" t="s">
        <v>50</v>
      </c>
    </row>
    <row r="113" spans="8:41" ht="14.1" customHeight="1" x14ac:dyDescent="0.25">
      <c r="H113" s="179" t="s">
        <v>50</v>
      </c>
      <c r="I113" s="277"/>
      <c r="J113" s="105" t="s">
        <v>734</v>
      </c>
      <c r="K113" s="105"/>
      <c r="L113" s="278">
        <v>141756</v>
      </c>
      <c r="M113" s="287"/>
      <c r="N113" s="106"/>
      <c r="AN113" s="264" t="s">
        <v>50</v>
      </c>
    </row>
    <row r="114" spans="8:41" ht="14.1" customHeight="1" x14ac:dyDescent="0.25">
      <c r="H114" s="179" t="s">
        <v>50</v>
      </c>
      <c r="I114" s="277"/>
      <c r="J114" s="105"/>
      <c r="K114" s="105" t="s">
        <v>727</v>
      </c>
      <c r="L114" s="278">
        <v>40621</v>
      </c>
      <c r="M114" s="287"/>
      <c r="N114" s="106"/>
      <c r="AN114" s="264" t="s">
        <v>50</v>
      </c>
    </row>
    <row r="115" spans="8:41" ht="14.1" customHeight="1" x14ac:dyDescent="0.25">
      <c r="H115" s="179" t="s">
        <v>50</v>
      </c>
      <c r="I115" s="296"/>
      <c r="J115" s="297"/>
      <c r="K115" s="297" t="s">
        <v>728</v>
      </c>
      <c r="L115" s="315">
        <v>101135</v>
      </c>
      <c r="M115" s="316"/>
      <c r="N115" s="109"/>
      <c r="AN115" s="264" t="s">
        <v>50</v>
      </c>
    </row>
    <row r="116" spans="8:41" ht="14.1" customHeight="1" x14ac:dyDescent="0.2">
      <c r="H116" s="179" t="s">
        <v>50</v>
      </c>
      <c r="I116" s="274" t="s">
        <v>740</v>
      </c>
      <c r="J116" s="268"/>
      <c r="K116" s="268"/>
      <c r="L116" s="268"/>
      <c r="M116" s="268"/>
      <c r="N116" s="272"/>
      <c r="O116" s="179" t="s">
        <v>50</v>
      </c>
      <c r="AN116" s="179" t="s">
        <v>50</v>
      </c>
    </row>
    <row r="117" spans="8:41" ht="14.1" customHeight="1" x14ac:dyDescent="0.2">
      <c r="H117" s="179" t="s">
        <v>50</v>
      </c>
      <c r="I117" s="277" t="s">
        <v>738</v>
      </c>
      <c r="J117" s="67"/>
      <c r="K117" s="67"/>
      <c r="L117" s="67"/>
      <c r="M117" s="67"/>
      <c r="N117" s="106"/>
      <c r="O117" s="179" t="s">
        <v>50</v>
      </c>
      <c r="AN117" s="179" t="s">
        <v>50</v>
      </c>
    </row>
    <row r="118" spans="8:41" ht="14.1" customHeight="1" x14ac:dyDescent="0.2">
      <c r="H118" s="179" t="s">
        <v>50</v>
      </c>
      <c r="I118" s="277" t="s">
        <v>739</v>
      </c>
      <c r="J118" s="67"/>
      <c r="K118" s="67"/>
      <c r="L118" s="67"/>
      <c r="M118" s="67"/>
      <c r="N118" s="106"/>
      <c r="O118" s="179" t="s">
        <v>50</v>
      </c>
      <c r="AN118" s="179" t="s">
        <v>50</v>
      </c>
    </row>
    <row r="119" spans="8:41" ht="14.1" customHeight="1" x14ac:dyDescent="0.2">
      <c r="H119" s="179" t="s">
        <v>50</v>
      </c>
      <c r="I119" s="277" t="s">
        <v>867</v>
      </c>
      <c r="J119" s="67"/>
      <c r="K119" s="67"/>
      <c r="L119" s="67"/>
      <c r="M119" s="67"/>
      <c r="N119" s="106"/>
      <c r="O119" s="179" t="s">
        <v>50</v>
      </c>
      <c r="AN119" s="179" t="s">
        <v>50</v>
      </c>
    </row>
    <row r="120" spans="8:41" ht="14.1" customHeight="1" x14ac:dyDescent="0.2">
      <c r="H120" s="179" t="s">
        <v>50</v>
      </c>
      <c r="I120" s="403" t="s">
        <v>881</v>
      </c>
      <c r="J120" s="317"/>
      <c r="K120" s="317"/>
      <c r="L120" s="317"/>
      <c r="M120" s="317"/>
      <c r="N120" s="318"/>
      <c r="O120" s="179" t="s">
        <v>50</v>
      </c>
      <c r="AN120" s="179" t="s">
        <v>50</v>
      </c>
    </row>
    <row r="121" spans="8:41" ht="14.1" customHeight="1" x14ac:dyDescent="0.2">
      <c r="O121" s="179" t="s">
        <v>50</v>
      </c>
      <c r="AN121" s="179" t="s">
        <v>50</v>
      </c>
    </row>
    <row r="122" spans="8:41" ht="14.1" customHeight="1" x14ac:dyDescent="0.2">
      <c r="N122" s="179"/>
      <c r="AN122" s="266"/>
      <c r="AO122" s="266"/>
    </row>
    <row r="123" spans="8:41" x14ac:dyDescent="0.2">
      <c r="N123" s="179"/>
      <c r="AO123" s="267"/>
    </row>
    <row r="124" spans="8:41" x14ac:dyDescent="0.2">
      <c r="L124" s="190"/>
      <c r="AN124" s="266"/>
      <c r="AO124" s="266"/>
    </row>
    <row r="125" spans="8:41" x14ac:dyDescent="0.2">
      <c r="J125" s="190"/>
      <c r="K125" s="67"/>
      <c r="L125" s="67"/>
      <c r="M125" s="266"/>
      <c r="N125" s="190"/>
      <c r="AN125" s="266"/>
      <c r="AO125" s="266"/>
    </row>
    <row r="126" spans="8:41" x14ac:dyDescent="0.2">
      <c r="J126" s="266"/>
      <c r="M126" s="320"/>
      <c r="N126" s="321"/>
      <c r="AN126" s="267"/>
      <c r="AO126" s="266"/>
    </row>
    <row r="127" spans="8:41" x14ac:dyDescent="0.2">
      <c r="J127" s="266"/>
      <c r="K127" s="266"/>
      <c r="L127" s="266"/>
      <c r="M127" s="320"/>
      <c r="N127" s="322"/>
      <c r="AN127" s="266"/>
      <c r="AO127" s="266"/>
    </row>
    <row r="128" spans="8:41" x14ac:dyDescent="0.2">
      <c r="I128" s="266"/>
      <c r="J128" s="266"/>
      <c r="K128" s="266"/>
      <c r="L128" s="266"/>
      <c r="M128" s="320"/>
      <c r="N128" s="322"/>
      <c r="AN128" s="266"/>
      <c r="AO128" s="266"/>
    </row>
    <row r="129" spans="9:41" x14ac:dyDescent="0.2">
      <c r="I129" s="266"/>
      <c r="J129" s="266"/>
      <c r="K129" s="266"/>
      <c r="L129" s="266"/>
      <c r="M129" s="320"/>
      <c r="N129" s="322"/>
      <c r="AN129" s="266"/>
      <c r="AO129" s="266"/>
    </row>
    <row r="130" spans="9:41" x14ac:dyDescent="0.2">
      <c r="I130" s="266"/>
      <c r="J130" s="266"/>
      <c r="K130" s="266"/>
      <c r="L130" s="266"/>
      <c r="M130" s="320"/>
      <c r="N130" s="322"/>
      <c r="AN130" s="266"/>
      <c r="AO130" s="266"/>
    </row>
    <row r="131" spans="9:41" x14ac:dyDescent="0.2">
      <c r="I131" s="266"/>
      <c r="J131" s="266"/>
      <c r="K131" s="266"/>
      <c r="L131" s="266"/>
      <c r="M131" s="320"/>
      <c r="N131" s="322"/>
      <c r="AN131" s="266"/>
      <c r="AO131" s="266"/>
    </row>
    <row r="132" spans="9:41" x14ac:dyDescent="0.2">
      <c r="I132" s="266"/>
      <c r="J132" s="266"/>
      <c r="K132" s="266"/>
      <c r="L132" s="266"/>
      <c r="M132" s="320"/>
      <c r="N132" s="322"/>
      <c r="AN132" s="266"/>
      <c r="AO132" s="266"/>
    </row>
    <row r="133" spans="9:41" x14ac:dyDescent="0.2">
      <c r="I133" s="266"/>
      <c r="J133" s="266"/>
      <c r="K133" s="266"/>
      <c r="L133" s="266"/>
      <c r="M133" s="320"/>
      <c r="N133" s="322"/>
      <c r="AN133" s="266"/>
      <c r="AO133" s="266"/>
    </row>
    <row r="134" spans="9:41" x14ac:dyDescent="0.2">
      <c r="I134" s="266"/>
      <c r="J134" s="266"/>
      <c r="K134" s="266"/>
      <c r="L134" s="266"/>
      <c r="M134" s="320"/>
      <c r="N134" s="322"/>
      <c r="AN134" s="266"/>
      <c r="AO134" s="266"/>
    </row>
    <row r="135" spans="9:41" x14ac:dyDescent="0.2">
      <c r="I135" s="266"/>
      <c r="J135" s="266"/>
      <c r="K135" s="266"/>
      <c r="L135" s="266"/>
      <c r="M135" s="320"/>
      <c r="N135" s="322"/>
      <c r="AN135" s="266"/>
      <c r="AO135" s="266"/>
    </row>
    <row r="136" spans="9:41" x14ac:dyDescent="0.2">
      <c r="I136" s="266"/>
      <c r="J136" s="266"/>
      <c r="K136" s="266"/>
      <c r="L136" s="266"/>
      <c r="M136" s="320"/>
      <c r="N136" s="322"/>
      <c r="AN136" s="266"/>
      <c r="AO136" s="266"/>
    </row>
    <row r="137" spans="9:41" x14ac:dyDescent="0.2">
      <c r="I137" s="266"/>
      <c r="J137" s="266"/>
      <c r="K137" s="266"/>
      <c r="L137" s="266"/>
      <c r="M137" s="320"/>
      <c r="N137" s="322"/>
      <c r="AN137" s="266"/>
      <c r="AO137" s="266"/>
    </row>
    <row r="138" spans="9:41" x14ac:dyDescent="0.2">
      <c r="I138" s="266"/>
      <c r="J138" s="266"/>
      <c r="K138" s="266"/>
      <c r="L138" s="266"/>
      <c r="M138" s="320"/>
      <c r="N138" s="322"/>
      <c r="AN138" s="266"/>
      <c r="AO138" s="266"/>
    </row>
    <row r="139" spans="9:41" x14ac:dyDescent="0.2">
      <c r="I139" s="266"/>
      <c r="J139" s="266"/>
      <c r="K139" s="266"/>
      <c r="L139" s="266"/>
      <c r="M139" s="320"/>
      <c r="N139" s="322"/>
      <c r="AN139" s="266"/>
      <c r="AO139" s="266"/>
    </row>
    <row r="140" spans="9:41" x14ac:dyDescent="0.2">
      <c r="I140" s="266"/>
      <c r="J140" s="266"/>
      <c r="K140" s="266"/>
      <c r="L140" s="266"/>
      <c r="M140" s="320"/>
      <c r="N140" s="322"/>
      <c r="AN140" s="266"/>
      <c r="AO140" s="266"/>
    </row>
    <row r="141" spans="9:41" x14ac:dyDescent="0.2">
      <c r="I141" s="266"/>
      <c r="J141" s="266"/>
      <c r="K141" s="266"/>
      <c r="L141" s="266"/>
      <c r="M141" s="320"/>
      <c r="N141" s="322"/>
      <c r="AN141" s="266"/>
      <c r="AO141" s="266"/>
    </row>
    <row r="142" spans="9:41" x14ac:dyDescent="0.2">
      <c r="I142" s="266"/>
      <c r="J142" s="266"/>
      <c r="K142" s="266"/>
      <c r="L142" s="266"/>
      <c r="M142" s="320"/>
      <c r="N142" s="322"/>
      <c r="AN142" s="266"/>
      <c r="AO142" s="266"/>
    </row>
    <row r="143" spans="9:41" x14ac:dyDescent="0.2">
      <c r="I143" s="266"/>
      <c r="J143" s="266"/>
      <c r="K143" s="266"/>
      <c r="L143" s="266"/>
      <c r="M143" s="320"/>
      <c r="N143" s="322"/>
      <c r="AN143" s="266"/>
      <c r="AO143" s="266"/>
    </row>
    <row r="144" spans="9:41" x14ac:dyDescent="0.2">
      <c r="I144" s="266"/>
      <c r="J144" s="266"/>
      <c r="K144" s="266"/>
      <c r="L144" s="266"/>
      <c r="M144" s="320"/>
      <c r="N144" s="322"/>
      <c r="AN144" s="266"/>
      <c r="AO144" s="266"/>
    </row>
    <row r="145" spans="9:41" x14ac:dyDescent="0.2">
      <c r="I145" s="266"/>
      <c r="J145" s="266"/>
      <c r="K145" s="266"/>
      <c r="L145" s="266"/>
      <c r="M145" s="320"/>
      <c r="N145" s="322"/>
      <c r="AN145" s="266"/>
      <c r="AO145" s="266"/>
    </row>
    <row r="146" spans="9:41" x14ac:dyDescent="0.2">
      <c r="I146" s="266"/>
      <c r="J146" s="266"/>
      <c r="K146" s="266"/>
      <c r="L146" s="266"/>
      <c r="M146" s="320"/>
      <c r="N146" s="322"/>
      <c r="AN146" s="266"/>
      <c r="AO146" s="266"/>
    </row>
    <row r="147" spans="9:41" x14ac:dyDescent="0.2">
      <c r="I147" s="266"/>
      <c r="J147" s="266"/>
      <c r="K147" s="266"/>
      <c r="L147" s="266"/>
      <c r="M147" s="320"/>
      <c r="N147" s="322"/>
      <c r="AN147" s="267"/>
      <c r="AO147" s="267"/>
    </row>
    <row r="148" spans="9:41" x14ac:dyDescent="0.2">
      <c r="I148" s="266"/>
      <c r="J148" s="266"/>
      <c r="K148" s="266"/>
      <c r="L148" s="266"/>
      <c r="M148" s="320"/>
      <c r="N148" s="322"/>
      <c r="AN148" s="266"/>
      <c r="AO148" s="266"/>
    </row>
    <row r="149" spans="9:41" x14ac:dyDescent="0.2">
      <c r="I149" s="266"/>
      <c r="J149" s="266"/>
      <c r="K149" s="266"/>
      <c r="L149" s="266"/>
      <c r="M149" s="320"/>
      <c r="N149" s="322"/>
      <c r="AN149" s="266"/>
      <c r="AO149" s="266"/>
    </row>
    <row r="150" spans="9:41" x14ac:dyDescent="0.2">
      <c r="I150" s="266"/>
      <c r="J150" s="266"/>
      <c r="K150" s="266"/>
      <c r="L150" s="266"/>
      <c r="M150" s="320"/>
      <c r="N150" s="321"/>
      <c r="AN150" s="266"/>
      <c r="AO150" s="266"/>
    </row>
    <row r="151" spans="9:41" x14ac:dyDescent="0.2">
      <c r="I151" s="266"/>
      <c r="J151" s="266"/>
      <c r="K151" s="266"/>
      <c r="L151" s="266"/>
      <c r="M151" s="320"/>
      <c r="N151" s="322"/>
      <c r="AN151" s="266"/>
      <c r="AO151" s="266"/>
    </row>
    <row r="152" spans="9:41" x14ac:dyDescent="0.2">
      <c r="I152" s="266"/>
      <c r="J152" s="266"/>
      <c r="K152" s="266"/>
      <c r="L152" s="266"/>
      <c r="M152" s="320"/>
      <c r="N152" s="322"/>
      <c r="AN152" s="266"/>
      <c r="AO152" s="266"/>
    </row>
    <row r="153" spans="9:41" x14ac:dyDescent="0.2">
      <c r="I153" s="266"/>
      <c r="J153" s="266"/>
      <c r="K153" s="266"/>
      <c r="L153" s="266"/>
      <c r="M153" s="320"/>
      <c r="N153" s="322"/>
      <c r="AN153" s="266"/>
      <c r="AO153" s="266"/>
    </row>
    <row r="154" spans="9:41" x14ac:dyDescent="0.2">
      <c r="I154" s="266"/>
      <c r="J154" s="266"/>
      <c r="K154" s="266"/>
      <c r="L154" s="266"/>
      <c r="M154" s="320"/>
      <c r="N154" s="322"/>
      <c r="AN154" s="266"/>
      <c r="AO154" s="266"/>
    </row>
    <row r="155" spans="9:41" x14ac:dyDescent="0.2">
      <c r="I155" s="266"/>
      <c r="J155" s="266"/>
      <c r="K155" s="266"/>
      <c r="L155" s="266"/>
      <c r="M155" s="320"/>
      <c r="N155" s="322"/>
      <c r="AN155" s="266"/>
      <c r="AO155" s="266"/>
    </row>
    <row r="156" spans="9:41" x14ac:dyDescent="0.2">
      <c r="I156" s="266"/>
      <c r="J156" s="266"/>
      <c r="K156" s="266"/>
      <c r="L156" s="266"/>
      <c r="M156" s="320"/>
      <c r="N156" s="322"/>
      <c r="AN156" s="266"/>
      <c r="AO156" s="266"/>
    </row>
    <row r="157" spans="9:41" x14ac:dyDescent="0.2">
      <c r="I157" s="266"/>
      <c r="J157" s="266"/>
      <c r="K157" s="266"/>
      <c r="L157" s="266"/>
      <c r="M157" s="320"/>
      <c r="N157" s="322"/>
      <c r="AN157" s="266"/>
      <c r="AO157" s="266"/>
    </row>
    <row r="158" spans="9:41" x14ac:dyDescent="0.2">
      <c r="I158" s="266"/>
      <c r="J158" s="266"/>
      <c r="K158" s="266"/>
      <c r="L158" s="266"/>
      <c r="M158" s="320"/>
      <c r="N158" s="322"/>
      <c r="AN158" s="266"/>
      <c r="AO158" s="266"/>
    </row>
    <row r="159" spans="9:41" x14ac:dyDescent="0.2">
      <c r="I159" s="266"/>
      <c r="J159" s="266"/>
      <c r="K159" s="266"/>
      <c r="L159" s="266"/>
      <c r="M159" s="320"/>
      <c r="N159" s="322"/>
      <c r="AN159" s="266"/>
      <c r="AO159" s="266"/>
    </row>
    <row r="160" spans="9:41" x14ac:dyDescent="0.2">
      <c r="I160" s="266"/>
      <c r="J160" s="266"/>
      <c r="K160" s="266"/>
      <c r="L160" s="266"/>
      <c r="M160" s="320"/>
      <c r="N160" s="322"/>
      <c r="AN160" s="266"/>
      <c r="AO160" s="266"/>
    </row>
    <row r="161" spans="9:41" x14ac:dyDescent="0.2">
      <c r="I161" s="266"/>
      <c r="J161" s="266"/>
      <c r="K161" s="266"/>
      <c r="L161" s="266"/>
      <c r="M161" s="320"/>
      <c r="N161" s="322"/>
      <c r="AN161" s="266"/>
      <c r="AO161" s="266"/>
    </row>
    <row r="162" spans="9:41" x14ac:dyDescent="0.2">
      <c r="I162" s="266"/>
      <c r="J162" s="266"/>
      <c r="K162" s="266"/>
      <c r="L162" s="266"/>
      <c r="M162" s="320"/>
      <c r="N162" s="322"/>
      <c r="AN162" s="266"/>
      <c r="AO162" s="266"/>
    </row>
    <row r="163" spans="9:41" x14ac:dyDescent="0.2">
      <c r="I163" s="266"/>
      <c r="J163" s="266"/>
      <c r="K163" s="266"/>
      <c r="L163" s="266"/>
      <c r="M163" s="320"/>
      <c r="N163" s="322"/>
      <c r="AN163" s="266"/>
      <c r="AO163" s="266"/>
    </row>
    <row r="164" spans="9:41" x14ac:dyDescent="0.2">
      <c r="I164" s="266"/>
      <c r="J164" s="266"/>
      <c r="K164" s="266"/>
      <c r="L164" s="266"/>
      <c r="M164" s="320"/>
      <c r="N164" s="322"/>
      <c r="AN164" s="266"/>
      <c r="AO164" s="266"/>
    </row>
    <row r="165" spans="9:41" x14ac:dyDescent="0.2">
      <c r="I165" s="266"/>
      <c r="J165" s="266"/>
      <c r="K165" s="266"/>
      <c r="L165" s="266"/>
      <c r="M165" s="320"/>
      <c r="N165" s="322"/>
      <c r="AN165" s="267"/>
      <c r="AO165" s="266"/>
    </row>
    <row r="166" spans="9:41" x14ac:dyDescent="0.2">
      <c r="I166" s="266"/>
      <c r="J166" s="266"/>
      <c r="K166" s="266"/>
      <c r="L166" s="266"/>
      <c r="M166" s="320"/>
      <c r="N166" s="322"/>
      <c r="AN166" s="266"/>
      <c r="AO166" s="266"/>
    </row>
    <row r="167" spans="9:41" x14ac:dyDescent="0.2">
      <c r="I167" s="266"/>
      <c r="J167" s="266"/>
      <c r="K167" s="266"/>
      <c r="L167" s="266"/>
      <c r="M167" s="320"/>
      <c r="N167" s="322"/>
      <c r="AN167" s="266"/>
      <c r="AO167" s="266"/>
    </row>
    <row r="168" spans="9:41" x14ac:dyDescent="0.2">
      <c r="I168" s="266"/>
      <c r="J168" s="266"/>
      <c r="K168" s="266"/>
      <c r="L168" s="266"/>
      <c r="M168" s="320"/>
      <c r="N168" s="321"/>
      <c r="AN168" s="266"/>
      <c r="AO168" s="266"/>
    </row>
    <row r="169" spans="9:41" x14ac:dyDescent="0.2">
      <c r="I169" s="266"/>
      <c r="J169" s="266"/>
      <c r="K169" s="266"/>
      <c r="L169" s="266"/>
      <c r="M169" s="320"/>
      <c r="N169" s="322"/>
      <c r="AN169" s="266"/>
      <c r="AO169" s="266"/>
    </row>
    <row r="170" spans="9:41" x14ac:dyDescent="0.2">
      <c r="I170" s="266"/>
      <c r="J170" s="266"/>
      <c r="K170" s="266"/>
      <c r="L170" s="266"/>
      <c r="M170" s="320"/>
      <c r="N170" s="322"/>
      <c r="AN170" s="266"/>
      <c r="AO170" s="266"/>
    </row>
    <row r="171" spans="9:41" x14ac:dyDescent="0.2">
      <c r="I171" s="266"/>
      <c r="J171" s="266"/>
      <c r="K171" s="266"/>
      <c r="L171" s="266"/>
      <c r="M171" s="320"/>
      <c r="N171" s="322"/>
      <c r="AN171" s="266"/>
      <c r="AO171" s="267"/>
    </row>
    <row r="172" spans="9:41" x14ac:dyDescent="0.2">
      <c r="I172" s="266"/>
      <c r="J172" s="266"/>
      <c r="K172" s="266"/>
      <c r="L172" s="266"/>
      <c r="M172" s="320"/>
      <c r="N172" s="322"/>
      <c r="AN172" s="266"/>
      <c r="AO172" s="266"/>
    </row>
    <row r="173" spans="9:41" x14ac:dyDescent="0.2">
      <c r="I173" s="266"/>
      <c r="J173" s="266"/>
      <c r="K173" s="266"/>
      <c r="L173" s="266"/>
      <c r="M173" s="320"/>
      <c r="N173" s="322"/>
      <c r="AN173" s="266"/>
      <c r="AO173" s="266"/>
    </row>
    <row r="174" spans="9:41" x14ac:dyDescent="0.2">
      <c r="I174" s="266"/>
      <c r="J174" s="266"/>
      <c r="K174" s="266"/>
      <c r="L174" s="266"/>
      <c r="M174" s="320"/>
      <c r="N174" s="322"/>
      <c r="AN174" s="266"/>
      <c r="AO174" s="266"/>
    </row>
    <row r="175" spans="9:41" x14ac:dyDescent="0.2">
      <c r="I175" s="266"/>
      <c r="J175" s="266"/>
      <c r="K175" s="266"/>
      <c r="L175" s="266"/>
      <c r="M175" s="320"/>
      <c r="N175" s="322"/>
      <c r="AN175" s="266"/>
      <c r="AO175" s="266"/>
    </row>
    <row r="176" spans="9:41" x14ac:dyDescent="0.2">
      <c r="I176" s="266"/>
      <c r="J176" s="266"/>
      <c r="K176" s="266"/>
      <c r="L176" s="266"/>
      <c r="M176" s="320"/>
      <c r="N176" s="322"/>
      <c r="AN176" s="266"/>
      <c r="AO176" s="266"/>
    </row>
    <row r="177" spans="9:41" x14ac:dyDescent="0.2">
      <c r="I177" s="266"/>
      <c r="J177" s="266"/>
      <c r="K177" s="266"/>
      <c r="L177" s="266"/>
      <c r="M177" s="320"/>
      <c r="N177" s="322"/>
      <c r="AN177" s="266"/>
      <c r="AO177" s="266"/>
    </row>
    <row r="178" spans="9:41" x14ac:dyDescent="0.2">
      <c r="I178" s="266"/>
      <c r="J178" s="266"/>
      <c r="K178" s="266"/>
      <c r="L178" s="266"/>
      <c r="M178" s="320"/>
      <c r="N178" s="322"/>
      <c r="AN178" s="266"/>
      <c r="AO178" s="266"/>
    </row>
    <row r="179" spans="9:41" x14ac:dyDescent="0.2">
      <c r="I179" s="266"/>
      <c r="J179" s="266"/>
      <c r="K179" s="266"/>
      <c r="L179" s="266"/>
      <c r="M179" s="320"/>
      <c r="N179" s="322"/>
      <c r="AN179" s="266"/>
      <c r="AO179" s="266"/>
    </row>
    <row r="180" spans="9:41" x14ac:dyDescent="0.2">
      <c r="I180" s="266"/>
      <c r="J180" s="266"/>
      <c r="K180" s="266"/>
      <c r="L180" s="266"/>
      <c r="M180" s="320"/>
      <c r="N180" s="322"/>
      <c r="AN180" s="266"/>
      <c r="AO180" s="266"/>
    </row>
    <row r="181" spans="9:41" x14ac:dyDescent="0.2">
      <c r="I181" s="266"/>
      <c r="J181" s="266"/>
      <c r="K181" s="266"/>
      <c r="L181" s="266"/>
      <c r="M181" s="320"/>
      <c r="N181" s="322"/>
      <c r="AN181" s="266"/>
      <c r="AO181" s="266"/>
    </row>
    <row r="182" spans="9:41" x14ac:dyDescent="0.2">
      <c r="I182" s="266"/>
      <c r="J182" s="266"/>
      <c r="K182" s="266"/>
      <c r="L182" s="266"/>
      <c r="M182" s="320"/>
      <c r="N182" s="322"/>
      <c r="AN182" s="266"/>
      <c r="AO182" s="266"/>
    </row>
    <row r="183" spans="9:41" x14ac:dyDescent="0.2">
      <c r="I183" s="266"/>
      <c r="J183" s="266"/>
      <c r="K183" s="266"/>
      <c r="L183" s="266"/>
      <c r="M183" s="320"/>
      <c r="N183" s="322"/>
      <c r="AN183" s="266"/>
      <c r="AO183" s="266"/>
    </row>
    <row r="184" spans="9:41" x14ac:dyDescent="0.2">
      <c r="I184" s="266"/>
      <c r="J184" s="266"/>
      <c r="K184" s="266"/>
      <c r="L184" s="266"/>
      <c r="M184" s="320"/>
      <c r="N184" s="322"/>
      <c r="AN184" s="266"/>
      <c r="AO184" s="266"/>
    </row>
    <row r="185" spans="9:41" x14ac:dyDescent="0.2">
      <c r="I185" s="266"/>
      <c r="J185" s="266"/>
      <c r="K185" s="266"/>
      <c r="L185" s="266"/>
      <c r="M185" s="320"/>
      <c r="N185" s="322"/>
      <c r="AN185" s="266"/>
      <c r="AO185" s="266"/>
    </row>
    <row r="186" spans="9:41" x14ac:dyDescent="0.2">
      <c r="I186" s="266"/>
      <c r="J186" s="266"/>
      <c r="K186" s="266"/>
      <c r="L186" s="266"/>
      <c r="M186" s="320"/>
      <c r="N186" s="322"/>
      <c r="AN186" s="267"/>
      <c r="AO186" s="266"/>
    </row>
    <row r="187" spans="9:41" x14ac:dyDescent="0.2">
      <c r="I187" s="266"/>
      <c r="J187" s="266"/>
      <c r="K187" s="266"/>
      <c r="L187" s="266"/>
      <c r="M187" s="320"/>
      <c r="N187" s="322"/>
      <c r="AN187" s="266"/>
      <c r="AO187" s="266"/>
    </row>
    <row r="188" spans="9:41" x14ac:dyDescent="0.2">
      <c r="I188" s="266"/>
      <c r="J188" s="266"/>
      <c r="K188" s="266"/>
      <c r="L188" s="266"/>
      <c r="M188" s="320"/>
      <c r="N188" s="322"/>
      <c r="AN188" s="266"/>
      <c r="AO188" s="266"/>
    </row>
    <row r="189" spans="9:41" x14ac:dyDescent="0.2">
      <c r="I189" s="266"/>
      <c r="J189" s="266"/>
      <c r="K189" s="266"/>
      <c r="L189" s="266"/>
      <c r="M189" s="320"/>
      <c r="N189" s="321"/>
      <c r="AN189" s="266"/>
      <c r="AO189" s="267"/>
    </row>
    <row r="190" spans="9:41" x14ac:dyDescent="0.2">
      <c r="I190" s="266"/>
      <c r="J190" s="266"/>
      <c r="K190" s="266"/>
      <c r="L190" s="266"/>
      <c r="M190" s="320"/>
      <c r="N190" s="322"/>
      <c r="AN190" s="266"/>
      <c r="AO190" s="266"/>
    </row>
    <row r="191" spans="9:41" x14ac:dyDescent="0.2">
      <c r="I191" s="266"/>
      <c r="J191" s="266"/>
      <c r="K191" s="266"/>
      <c r="L191" s="266"/>
      <c r="M191" s="320"/>
      <c r="N191" s="322"/>
      <c r="AN191" s="266"/>
      <c r="AO191" s="266"/>
    </row>
    <row r="192" spans="9:41" x14ac:dyDescent="0.2">
      <c r="I192" s="266"/>
      <c r="J192" s="266"/>
      <c r="K192" s="266"/>
      <c r="L192" s="266"/>
      <c r="M192" s="320"/>
      <c r="N192" s="322"/>
      <c r="AN192" s="266"/>
      <c r="AO192" s="266"/>
    </row>
    <row r="193" spans="9:41" x14ac:dyDescent="0.2">
      <c r="I193" s="266"/>
      <c r="J193" s="266"/>
      <c r="K193" s="266"/>
      <c r="L193" s="266"/>
      <c r="M193" s="320"/>
      <c r="N193" s="322"/>
      <c r="AN193" s="266"/>
      <c r="AO193" s="266"/>
    </row>
    <row r="194" spans="9:41" x14ac:dyDescent="0.2">
      <c r="I194" s="266"/>
      <c r="J194" s="266"/>
      <c r="K194" s="266"/>
      <c r="L194" s="266"/>
      <c r="M194" s="320"/>
      <c r="N194" s="322"/>
      <c r="AN194" s="266"/>
      <c r="AO194" s="266"/>
    </row>
    <row r="195" spans="9:41" x14ac:dyDescent="0.2">
      <c r="I195" s="266"/>
      <c r="J195" s="266"/>
      <c r="K195" s="266"/>
      <c r="L195" s="266"/>
      <c r="M195" s="320"/>
      <c r="N195" s="322"/>
      <c r="AN195" s="266"/>
      <c r="AO195" s="266"/>
    </row>
    <row r="196" spans="9:41" x14ac:dyDescent="0.2">
      <c r="I196" s="266"/>
      <c r="J196" s="266"/>
      <c r="K196" s="266"/>
      <c r="L196" s="266"/>
      <c r="M196" s="320"/>
      <c r="N196" s="322"/>
      <c r="AN196" s="266"/>
      <c r="AO196" s="266"/>
    </row>
    <row r="197" spans="9:41" x14ac:dyDescent="0.2">
      <c r="I197" s="266"/>
      <c r="J197" s="266"/>
      <c r="K197" s="266"/>
      <c r="L197" s="266"/>
      <c r="M197" s="320"/>
      <c r="N197" s="322"/>
      <c r="AN197" s="266"/>
      <c r="AO197" s="266"/>
    </row>
    <row r="198" spans="9:41" x14ac:dyDescent="0.2">
      <c r="I198" s="266"/>
      <c r="J198" s="266"/>
      <c r="K198" s="266"/>
      <c r="L198" s="266"/>
      <c r="M198" s="320"/>
      <c r="N198" s="322"/>
      <c r="AN198" s="266"/>
      <c r="AO198" s="266"/>
    </row>
    <row r="199" spans="9:41" x14ac:dyDescent="0.2">
      <c r="I199" s="266"/>
      <c r="J199" s="266"/>
      <c r="K199" s="266"/>
      <c r="L199" s="266"/>
      <c r="M199" s="320"/>
      <c r="N199" s="322"/>
      <c r="AN199" s="266"/>
      <c r="AO199" s="266"/>
    </row>
    <row r="200" spans="9:41" x14ac:dyDescent="0.2">
      <c r="I200" s="266"/>
      <c r="J200" s="266"/>
      <c r="K200" s="266"/>
      <c r="L200" s="266"/>
      <c r="M200" s="320"/>
      <c r="N200" s="322"/>
      <c r="AN200" s="266"/>
      <c r="AO200" s="266"/>
    </row>
    <row r="201" spans="9:41" x14ac:dyDescent="0.2">
      <c r="I201" s="266"/>
      <c r="J201" s="266"/>
      <c r="K201" s="266"/>
      <c r="L201" s="266"/>
      <c r="M201" s="320"/>
      <c r="N201" s="322"/>
      <c r="AN201" s="266"/>
      <c r="AO201" s="266"/>
    </row>
    <row r="202" spans="9:41" x14ac:dyDescent="0.2">
      <c r="I202" s="266"/>
      <c r="J202" s="266"/>
      <c r="K202" s="266"/>
      <c r="L202" s="266"/>
      <c r="M202" s="320"/>
      <c r="N202" s="322"/>
      <c r="AN202" s="266"/>
      <c r="AO202" s="266"/>
    </row>
    <row r="203" spans="9:41" x14ac:dyDescent="0.2">
      <c r="I203" s="266"/>
      <c r="J203" s="266"/>
      <c r="K203" s="266"/>
      <c r="L203" s="266"/>
      <c r="M203" s="320"/>
      <c r="N203" s="322"/>
      <c r="AN203" s="266"/>
      <c r="AO203" s="266"/>
    </row>
    <row r="204" spans="9:41" x14ac:dyDescent="0.2">
      <c r="I204" s="266"/>
      <c r="J204" s="266"/>
      <c r="K204" s="266"/>
      <c r="L204" s="266"/>
      <c r="M204" s="320"/>
      <c r="N204" s="322"/>
      <c r="AN204" s="266"/>
      <c r="AO204" s="266"/>
    </row>
    <row r="205" spans="9:41" x14ac:dyDescent="0.2">
      <c r="I205" s="266"/>
      <c r="J205" s="266"/>
      <c r="K205" s="266"/>
      <c r="L205" s="266"/>
      <c r="M205" s="320"/>
      <c r="N205" s="322"/>
      <c r="AN205" s="266"/>
      <c r="AO205" s="266"/>
    </row>
    <row r="206" spans="9:41" x14ac:dyDescent="0.2">
      <c r="I206" s="266"/>
      <c r="J206" s="266"/>
      <c r="K206" s="266"/>
      <c r="L206" s="266"/>
      <c r="M206" s="320"/>
      <c r="N206" s="322"/>
      <c r="AN206" s="266"/>
      <c r="AO206" s="266"/>
    </row>
    <row r="207" spans="9:41" x14ac:dyDescent="0.2">
      <c r="I207" s="266"/>
      <c r="J207" s="266"/>
      <c r="K207" s="266"/>
      <c r="L207" s="266"/>
      <c r="M207" s="320"/>
      <c r="N207" s="322"/>
      <c r="AN207" s="267"/>
      <c r="AO207" s="266"/>
    </row>
    <row r="208" spans="9:41" x14ac:dyDescent="0.2">
      <c r="I208" s="266"/>
      <c r="J208" s="266"/>
      <c r="K208" s="266"/>
      <c r="L208" s="266"/>
      <c r="M208" s="320"/>
      <c r="N208" s="322"/>
      <c r="AN208" s="266"/>
      <c r="AO208" s="266"/>
    </row>
    <row r="209" spans="9:41" x14ac:dyDescent="0.2">
      <c r="I209" s="266"/>
      <c r="J209" s="266"/>
      <c r="K209" s="266"/>
      <c r="L209" s="266"/>
      <c r="M209" s="320"/>
      <c r="N209" s="322"/>
      <c r="AN209" s="266"/>
      <c r="AO209" s="266"/>
    </row>
    <row r="210" spans="9:41" x14ac:dyDescent="0.2">
      <c r="I210" s="266"/>
      <c r="J210" s="266"/>
      <c r="K210" s="266"/>
      <c r="L210" s="266"/>
      <c r="M210" s="320"/>
      <c r="N210" s="321"/>
      <c r="AN210" s="266"/>
      <c r="AO210" s="267"/>
    </row>
    <row r="211" spans="9:41" x14ac:dyDescent="0.2">
      <c r="I211" s="266"/>
      <c r="J211" s="266"/>
      <c r="K211" s="266"/>
      <c r="L211" s="266"/>
      <c r="M211" s="320"/>
      <c r="N211" s="322"/>
      <c r="AN211" s="266"/>
      <c r="AO211" s="266"/>
    </row>
    <row r="212" spans="9:41" x14ac:dyDescent="0.2">
      <c r="I212" s="266"/>
      <c r="J212" s="266"/>
      <c r="K212" s="266"/>
      <c r="L212" s="266"/>
      <c r="M212" s="320"/>
      <c r="N212" s="322"/>
      <c r="AN212" s="266"/>
      <c r="AO212" s="266"/>
    </row>
    <row r="213" spans="9:41" x14ac:dyDescent="0.2">
      <c r="I213" s="266"/>
      <c r="J213" s="266"/>
      <c r="K213" s="266"/>
      <c r="L213" s="266"/>
      <c r="M213" s="320"/>
      <c r="N213" s="322"/>
      <c r="AN213" s="266"/>
      <c r="AO213" s="266"/>
    </row>
    <row r="214" spans="9:41" x14ac:dyDescent="0.2">
      <c r="I214" s="266"/>
      <c r="J214" s="266"/>
      <c r="K214" s="266"/>
      <c r="L214" s="266"/>
      <c r="M214" s="320"/>
      <c r="N214" s="322"/>
      <c r="AN214" s="266"/>
      <c r="AO214" s="266"/>
    </row>
    <row r="215" spans="9:41" x14ac:dyDescent="0.2">
      <c r="I215" s="266"/>
      <c r="J215" s="266"/>
      <c r="K215" s="266"/>
      <c r="L215" s="266"/>
      <c r="M215" s="320"/>
      <c r="N215" s="322"/>
      <c r="AN215" s="266"/>
      <c r="AO215" s="266"/>
    </row>
    <row r="216" spans="9:41" x14ac:dyDescent="0.2">
      <c r="I216" s="266"/>
      <c r="J216" s="266"/>
      <c r="K216" s="266"/>
      <c r="L216" s="266"/>
      <c r="M216" s="320"/>
      <c r="N216" s="322"/>
      <c r="AN216" s="266"/>
      <c r="AO216" s="266"/>
    </row>
    <row r="217" spans="9:41" x14ac:dyDescent="0.2">
      <c r="I217" s="266"/>
      <c r="J217" s="266"/>
      <c r="K217" s="266"/>
      <c r="L217" s="266"/>
      <c r="M217" s="320"/>
      <c r="N217" s="322"/>
      <c r="AN217" s="266"/>
      <c r="AO217" s="266"/>
    </row>
    <row r="218" spans="9:41" x14ac:dyDescent="0.2">
      <c r="I218" s="266"/>
      <c r="J218" s="266"/>
      <c r="K218" s="266"/>
      <c r="L218" s="266"/>
      <c r="M218" s="320"/>
      <c r="N218" s="322"/>
      <c r="AN218" s="266"/>
      <c r="AO218" s="266"/>
    </row>
    <row r="219" spans="9:41" x14ac:dyDescent="0.2">
      <c r="I219" s="266"/>
      <c r="J219" s="266"/>
      <c r="K219" s="266"/>
      <c r="L219" s="266"/>
      <c r="M219" s="320"/>
      <c r="N219" s="322"/>
      <c r="AN219" s="266"/>
      <c r="AO219" s="266"/>
    </row>
    <row r="220" spans="9:41" x14ac:dyDescent="0.2">
      <c r="I220" s="266"/>
      <c r="J220" s="266"/>
      <c r="K220" s="266"/>
      <c r="L220" s="266"/>
      <c r="M220" s="320"/>
      <c r="N220" s="322"/>
      <c r="AN220" s="266"/>
      <c r="AO220" s="266"/>
    </row>
    <row r="221" spans="9:41" x14ac:dyDescent="0.2">
      <c r="I221" s="266"/>
      <c r="J221" s="266"/>
      <c r="K221" s="266"/>
      <c r="L221" s="266"/>
      <c r="M221" s="320"/>
      <c r="N221" s="322"/>
      <c r="AN221" s="266"/>
      <c r="AO221" s="266"/>
    </row>
    <row r="222" spans="9:41" x14ac:dyDescent="0.2">
      <c r="I222" s="266"/>
      <c r="J222" s="266"/>
      <c r="K222" s="266"/>
      <c r="L222" s="266"/>
      <c r="M222" s="320"/>
      <c r="N222" s="322"/>
      <c r="AN222" s="266"/>
      <c r="AO222" s="266"/>
    </row>
    <row r="223" spans="9:41" x14ac:dyDescent="0.2">
      <c r="I223" s="266"/>
      <c r="J223" s="266"/>
      <c r="K223" s="266"/>
      <c r="L223" s="266"/>
      <c r="M223" s="320"/>
      <c r="N223" s="322"/>
      <c r="AN223" s="266"/>
      <c r="AO223" s="266"/>
    </row>
    <row r="224" spans="9:41" x14ac:dyDescent="0.2">
      <c r="I224" s="266"/>
      <c r="J224" s="266"/>
      <c r="K224" s="266"/>
      <c r="L224" s="266"/>
      <c r="M224" s="320"/>
      <c r="N224" s="322"/>
      <c r="AN224" s="266"/>
      <c r="AO224" s="266"/>
    </row>
    <row r="225" spans="9:41" x14ac:dyDescent="0.2">
      <c r="I225" s="266"/>
      <c r="J225" s="266"/>
      <c r="K225" s="266"/>
      <c r="L225" s="266"/>
      <c r="M225" s="320"/>
      <c r="N225" s="322"/>
      <c r="AN225" s="266"/>
      <c r="AO225" s="266"/>
    </row>
    <row r="226" spans="9:41" x14ac:dyDescent="0.2">
      <c r="I226" s="266"/>
      <c r="J226" s="266"/>
      <c r="K226" s="266"/>
      <c r="L226" s="266"/>
      <c r="M226" s="320"/>
      <c r="N226" s="322"/>
      <c r="AN226" s="266"/>
      <c r="AO226" s="266"/>
    </row>
    <row r="227" spans="9:41" x14ac:dyDescent="0.2">
      <c r="I227" s="266"/>
      <c r="J227" s="266"/>
      <c r="K227" s="266"/>
      <c r="L227" s="266"/>
      <c r="M227" s="320"/>
      <c r="N227" s="322"/>
      <c r="AN227" s="266"/>
      <c r="AO227" s="266"/>
    </row>
    <row r="228" spans="9:41" x14ac:dyDescent="0.2">
      <c r="I228" s="266"/>
      <c r="J228" s="266"/>
      <c r="K228" s="266"/>
      <c r="L228" s="266"/>
      <c r="M228" s="320"/>
      <c r="N228" s="322"/>
      <c r="AN228" s="266"/>
      <c r="AO228" s="266"/>
    </row>
    <row r="229" spans="9:41" x14ac:dyDescent="0.2">
      <c r="I229" s="266"/>
      <c r="J229" s="266"/>
      <c r="K229" s="266"/>
      <c r="L229" s="266"/>
      <c r="M229" s="320"/>
      <c r="N229" s="322"/>
      <c r="AO229" s="266"/>
    </row>
    <row r="230" spans="9:41" x14ac:dyDescent="0.2">
      <c r="I230" s="266"/>
      <c r="J230" s="266"/>
      <c r="K230" s="266"/>
      <c r="L230" s="266"/>
      <c r="M230" s="320"/>
      <c r="N230" s="322"/>
      <c r="AO230" s="266"/>
    </row>
    <row r="231" spans="9:41" x14ac:dyDescent="0.2">
      <c r="I231" s="266"/>
      <c r="J231" s="266"/>
      <c r="K231" s="266"/>
      <c r="L231" s="266"/>
      <c r="M231" s="320"/>
      <c r="N231" s="322"/>
      <c r="AO231" s="267"/>
    </row>
    <row r="232" spans="9:41" x14ac:dyDescent="0.2">
      <c r="I232" s="266"/>
      <c r="AO232" s="266"/>
    </row>
    <row r="233" spans="9:41" x14ac:dyDescent="0.2">
      <c r="I233" s="266"/>
      <c r="AO233" s="266"/>
    </row>
    <row r="234" spans="9:41" x14ac:dyDescent="0.2">
      <c r="I234" s="266"/>
      <c r="AO234" s="266"/>
    </row>
    <row r="235" spans="9:41" x14ac:dyDescent="0.2">
      <c r="I235" s="266"/>
      <c r="AO235" s="266"/>
    </row>
    <row r="236" spans="9:41" x14ac:dyDescent="0.2">
      <c r="I236" s="266"/>
      <c r="AO236" s="266"/>
    </row>
    <row r="237" spans="9:41" x14ac:dyDescent="0.2">
      <c r="I237" s="266"/>
      <c r="AO237" s="266"/>
    </row>
    <row r="238" spans="9:41" x14ac:dyDescent="0.2">
      <c r="I238" s="266"/>
      <c r="AO238" s="266"/>
    </row>
    <row r="239" spans="9:41" x14ac:dyDescent="0.2">
      <c r="I239" s="266"/>
      <c r="AO239" s="266"/>
    </row>
    <row r="240" spans="9:41" x14ac:dyDescent="0.2">
      <c r="I240" s="266"/>
      <c r="AO240" s="266"/>
    </row>
    <row r="241" spans="9:41" x14ac:dyDescent="0.2">
      <c r="I241" s="266"/>
      <c r="AO241" s="266"/>
    </row>
    <row r="242" spans="9:41" x14ac:dyDescent="0.2">
      <c r="I242" s="266"/>
      <c r="AO242" s="266"/>
    </row>
    <row r="243" spans="9:41" x14ac:dyDescent="0.2">
      <c r="I243" s="266"/>
      <c r="AO243" s="266"/>
    </row>
    <row r="244" spans="9:41" x14ac:dyDescent="0.2">
      <c r="I244" s="266"/>
      <c r="AO244" s="266"/>
    </row>
    <row r="245" spans="9:41" x14ac:dyDescent="0.2">
      <c r="I245" s="266"/>
      <c r="AO245" s="266"/>
    </row>
    <row r="246" spans="9:41" x14ac:dyDescent="0.2">
      <c r="I246" s="266"/>
      <c r="AO246" s="266"/>
    </row>
    <row r="247" spans="9:41" x14ac:dyDescent="0.2">
      <c r="I247" s="266"/>
      <c r="AO247" s="266"/>
    </row>
    <row r="248" spans="9:41" x14ac:dyDescent="0.2">
      <c r="I248" s="266"/>
      <c r="AO248" s="266"/>
    </row>
    <row r="249" spans="9:41" x14ac:dyDescent="0.2">
      <c r="I249" s="266"/>
      <c r="AO249" s="266"/>
    </row>
    <row r="250" spans="9:41" x14ac:dyDescent="0.2">
      <c r="I250" s="266"/>
      <c r="AO250" s="266"/>
    </row>
    <row r="251" spans="9:41" x14ac:dyDescent="0.2">
      <c r="I251" s="266"/>
      <c r="AO251" s="266"/>
    </row>
    <row r="252" spans="9:41" x14ac:dyDescent="0.2">
      <c r="I252" s="266"/>
      <c r="AO252" s="266"/>
    </row>
    <row r="253" spans="9:41" x14ac:dyDescent="0.2">
      <c r="I253" s="266"/>
    </row>
    <row r="254" spans="9:41" x14ac:dyDescent="0.2">
      <c r="I254" s="266"/>
    </row>
    <row r="255" spans="9:41" x14ac:dyDescent="0.2">
      <c r="I255" s="266"/>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38"/>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10.7109375" defaultRowHeight="12" customHeight="1" x14ac:dyDescent="0.2"/>
  <cols>
    <col min="1" max="1" width="25.7109375" style="190" customWidth="1"/>
    <col min="2" max="4" width="10.7109375" style="64" customWidth="1"/>
    <col min="5" max="6" width="10.7109375" style="94" customWidth="1"/>
    <col min="7" max="7" width="10.7109375" style="64" customWidth="1"/>
    <col min="8" max="9" width="10.7109375" style="94" customWidth="1"/>
    <col min="10" max="31" width="10.7109375" style="64" customWidth="1"/>
    <col min="32" max="32" width="10.7109375" style="197"/>
    <col min="33" max="33" width="10.7109375" style="190"/>
    <col min="34" max="39" width="10.7109375" style="197"/>
    <col min="40" max="43" width="10.7109375" style="197" customWidth="1"/>
    <col min="44" max="45" width="10.7109375" style="190" customWidth="1"/>
    <col min="46" max="46" width="10.7109375" style="197" customWidth="1"/>
    <col min="47" max="47" width="10.7109375" style="190" customWidth="1"/>
    <col min="48" max="53" width="10.7109375" style="197" customWidth="1"/>
    <col min="54" max="54" width="10.7109375" style="190" customWidth="1"/>
    <col min="55" max="55" width="10.7109375" style="196" customWidth="1"/>
    <col min="56" max="56" width="10.7109375" style="197" customWidth="1"/>
    <col min="57" max="58" width="10.7109375" style="190" customWidth="1"/>
    <col min="59" max="59" width="10.7109375" style="197" customWidth="1"/>
    <col min="60" max="61" width="10.7109375" style="190" customWidth="1"/>
    <col min="62" max="16384" width="10.7109375" style="60"/>
  </cols>
  <sheetData>
    <row r="1" spans="1:62" s="190" customFormat="1" ht="12" customHeight="1" x14ac:dyDescent="0.2">
      <c r="B1" s="197"/>
      <c r="C1" s="197"/>
      <c r="D1" s="197"/>
      <c r="E1" s="94"/>
      <c r="F1" s="94"/>
      <c r="G1" s="197"/>
      <c r="H1" s="94"/>
      <c r="I1" s="94"/>
      <c r="J1" s="197"/>
      <c r="K1" s="197"/>
      <c r="L1" s="197"/>
      <c r="M1" s="197"/>
      <c r="N1" s="197"/>
      <c r="O1" s="197"/>
      <c r="P1" s="197"/>
      <c r="Q1" s="197"/>
      <c r="R1" s="197"/>
      <c r="S1" s="197"/>
      <c r="T1" s="197"/>
      <c r="U1" s="197"/>
      <c r="V1" s="197"/>
      <c r="W1" s="197"/>
      <c r="X1" s="197"/>
      <c r="Y1" s="197"/>
      <c r="Z1" s="197"/>
      <c r="AA1" s="197"/>
      <c r="AB1" s="197"/>
      <c r="AC1" s="197"/>
      <c r="AD1" s="197"/>
      <c r="AE1" s="197"/>
      <c r="AF1" s="197"/>
      <c r="AH1" s="197"/>
      <c r="AI1" s="197"/>
      <c r="AJ1" s="197"/>
      <c r="AK1" s="197"/>
      <c r="AL1" s="197"/>
      <c r="AM1" s="197"/>
      <c r="AN1" s="197"/>
      <c r="AO1" s="197"/>
      <c r="AP1" s="197"/>
      <c r="AQ1" s="197"/>
      <c r="AT1" s="197"/>
      <c r="AV1" s="197"/>
      <c r="AW1" s="197"/>
      <c r="AX1" s="197"/>
      <c r="AY1" s="197"/>
      <c r="AZ1" s="197"/>
      <c r="BA1" s="197"/>
      <c r="BC1" s="196"/>
      <c r="BD1" s="197"/>
      <c r="BG1" s="197"/>
    </row>
    <row r="2" spans="1:62" ht="18.75" x14ac:dyDescent="0.3">
      <c r="A2" s="65" t="s">
        <v>898</v>
      </c>
      <c r="B2" s="61"/>
      <c r="C2" s="61"/>
      <c r="D2" s="61"/>
      <c r="E2" s="66"/>
      <c r="F2" s="66"/>
      <c r="G2" s="61"/>
      <c r="H2" s="476"/>
      <c r="I2" s="66"/>
      <c r="J2" s="61"/>
      <c r="K2" s="61"/>
      <c r="L2" s="61"/>
      <c r="M2" s="61"/>
      <c r="O2" s="214"/>
      <c r="Q2" s="61"/>
      <c r="R2" s="61"/>
      <c r="S2" s="61"/>
      <c r="T2" s="61"/>
      <c r="U2" s="61"/>
      <c r="V2" s="61"/>
      <c r="W2" s="61"/>
      <c r="X2" s="61"/>
      <c r="Y2" s="61"/>
      <c r="Z2" s="61"/>
      <c r="AA2" s="61"/>
      <c r="AB2" s="61"/>
      <c r="AF2" s="196"/>
      <c r="AG2" s="196"/>
      <c r="AH2" s="196"/>
      <c r="AR2" s="196"/>
      <c r="AS2" s="196"/>
      <c r="AU2" s="196"/>
      <c r="BB2" s="196"/>
      <c r="BE2" s="196"/>
      <c r="BF2" s="196"/>
    </row>
    <row r="3" spans="1:62" x14ac:dyDescent="0.2">
      <c r="B3" s="68"/>
      <c r="C3" s="68"/>
      <c r="D3" s="68"/>
      <c r="E3" s="70"/>
      <c r="F3" s="70"/>
      <c r="G3" s="68"/>
      <c r="H3" s="70"/>
      <c r="I3" s="70"/>
      <c r="J3" s="68"/>
      <c r="K3" s="68"/>
      <c r="L3" s="68"/>
      <c r="M3" s="68"/>
      <c r="Q3" s="68"/>
      <c r="R3" s="68"/>
      <c r="S3" s="68"/>
      <c r="T3" s="68"/>
      <c r="U3" s="68"/>
      <c r="V3" s="68"/>
      <c r="W3" s="68"/>
      <c r="X3" s="68"/>
      <c r="Y3" s="68"/>
      <c r="Z3" s="68"/>
      <c r="AA3" s="68"/>
      <c r="AB3" s="68"/>
      <c r="AF3" s="68"/>
      <c r="AG3" s="68"/>
      <c r="AH3" s="68"/>
      <c r="AI3" s="68"/>
      <c r="AJ3" s="68"/>
      <c r="AK3" s="68"/>
      <c r="AL3" s="68"/>
      <c r="AM3" s="68"/>
      <c r="AN3" s="68"/>
      <c r="AO3" s="68"/>
      <c r="AP3" s="68"/>
      <c r="AQ3" s="68"/>
      <c r="AR3" s="68"/>
      <c r="AS3" s="68"/>
      <c r="AT3" s="68"/>
      <c r="AU3" s="68"/>
      <c r="AV3" s="68"/>
      <c r="AW3" s="68"/>
      <c r="AX3" s="68"/>
      <c r="AY3" s="68"/>
      <c r="AZ3" s="68"/>
      <c r="BA3" s="68"/>
      <c r="BB3" s="69"/>
      <c r="BC3" s="69"/>
      <c r="BD3" s="68"/>
      <c r="BE3" s="68"/>
      <c r="BF3" s="68"/>
      <c r="BG3" s="68"/>
    </row>
    <row r="4" spans="1:62" s="72" customFormat="1" ht="16.5" customHeight="1" x14ac:dyDescent="0.25">
      <c r="A4" s="437"/>
      <c r="B4" s="565" t="s">
        <v>539</v>
      </c>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c r="AD4" s="566"/>
      <c r="AE4" s="567"/>
      <c r="AF4" s="573" t="s">
        <v>540</v>
      </c>
      <c r="AG4" s="574"/>
      <c r="AH4" s="574"/>
      <c r="AI4" s="574"/>
      <c r="AJ4" s="574"/>
      <c r="AK4" s="574"/>
      <c r="AL4" s="574"/>
      <c r="AM4" s="574"/>
      <c r="AN4" s="574"/>
      <c r="AO4" s="574"/>
      <c r="AP4" s="574"/>
      <c r="AQ4" s="574"/>
      <c r="AR4" s="574"/>
      <c r="AS4" s="574"/>
      <c r="AT4" s="574"/>
      <c r="AU4" s="574"/>
      <c r="AV4" s="574"/>
      <c r="AW4" s="574"/>
      <c r="AX4" s="574"/>
      <c r="AY4" s="574"/>
      <c r="AZ4" s="574"/>
      <c r="BA4" s="574"/>
      <c r="BB4" s="574"/>
      <c r="BC4" s="574"/>
      <c r="BD4" s="574"/>
      <c r="BE4" s="574"/>
      <c r="BF4" s="574"/>
      <c r="BG4" s="574"/>
      <c r="BH4" s="574"/>
      <c r="BI4" s="575"/>
      <c r="BJ4" s="71" t="s">
        <v>50</v>
      </c>
    </row>
    <row r="5" spans="1:62" s="72" customFormat="1" ht="16.5" customHeight="1" thickBot="1" x14ac:dyDescent="0.25">
      <c r="A5" s="438"/>
      <c r="B5" s="568" t="s">
        <v>4</v>
      </c>
      <c r="C5" s="569"/>
      <c r="D5" s="569"/>
      <c r="E5" s="569"/>
      <c r="F5" s="569"/>
      <c r="G5" s="569"/>
      <c r="H5" s="569"/>
      <c r="I5" s="569"/>
      <c r="J5" s="569"/>
      <c r="K5" s="569"/>
      <c r="L5" s="569"/>
      <c r="M5" s="569"/>
      <c r="N5" s="570"/>
      <c r="O5" s="570"/>
      <c r="P5" s="571"/>
      <c r="Q5" s="569" t="s">
        <v>5</v>
      </c>
      <c r="R5" s="569"/>
      <c r="S5" s="569"/>
      <c r="T5" s="569"/>
      <c r="U5" s="569"/>
      <c r="V5" s="569"/>
      <c r="W5" s="569"/>
      <c r="X5" s="569"/>
      <c r="Y5" s="569"/>
      <c r="Z5" s="569"/>
      <c r="AA5" s="569"/>
      <c r="AB5" s="569"/>
      <c r="AC5" s="570"/>
      <c r="AD5" s="570"/>
      <c r="AE5" s="571"/>
      <c r="AF5" s="563" t="s">
        <v>0</v>
      </c>
      <c r="AG5" s="558" t="s">
        <v>1</v>
      </c>
      <c r="AH5" s="554"/>
      <c r="AI5" s="554"/>
      <c r="AJ5" s="554"/>
      <c r="AK5" s="554"/>
      <c r="AL5" s="554"/>
      <c r="AM5" s="554"/>
      <c r="AN5" s="554"/>
      <c r="AO5" s="554"/>
      <c r="AP5" s="554"/>
      <c r="AQ5" s="554"/>
      <c r="AR5" s="559"/>
      <c r="AS5" s="558" t="s">
        <v>2</v>
      </c>
      <c r="AT5" s="554"/>
      <c r="AU5" s="554"/>
      <c r="AV5" s="554"/>
      <c r="AW5" s="554"/>
      <c r="AX5" s="554"/>
      <c r="AY5" s="554"/>
      <c r="AZ5" s="554"/>
      <c r="BA5" s="554"/>
      <c r="BB5" s="559"/>
      <c r="BC5" s="568" t="s">
        <v>3</v>
      </c>
      <c r="BD5" s="569"/>
      <c r="BE5" s="569"/>
      <c r="BF5" s="569"/>
      <c r="BG5" s="569"/>
      <c r="BH5" s="569"/>
      <c r="BI5" s="572"/>
      <c r="BJ5" s="189" t="s">
        <v>50</v>
      </c>
    </row>
    <row r="6" spans="1:62" s="71" customFormat="1" ht="51" customHeight="1" x14ac:dyDescent="0.25">
      <c r="A6" s="438"/>
      <c r="B6" s="555" t="s">
        <v>23</v>
      </c>
      <c r="C6" s="556"/>
      <c r="D6" s="556"/>
      <c r="E6" s="557"/>
      <c r="F6" s="555" t="s">
        <v>24</v>
      </c>
      <c r="G6" s="556"/>
      <c r="H6" s="556"/>
      <c r="I6" s="557"/>
      <c r="J6" s="555" t="s">
        <v>25</v>
      </c>
      <c r="K6" s="556"/>
      <c r="L6" s="556"/>
      <c r="M6" s="556"/>
      <c r="N6" s="518" t="s">
        <v>25</v>
      </c>
      <c r="O6" s="425" t="s">
        <v>543</v>
      </c>
      <c r="P6" s="57" t="s">
        <v>544</v>
      </c>
      <c r="Q6" s="554" t="s">
        <v>23</v>
      </c>
      <c r="R6" s="554"/>
      <c r="S6" s="554"/>
      <c r="T6" s="559"/>
      <c r="U6" s="558" t="s">
        <v>26</v>
      </c>
      <c r="V6" s="554"/>
      <c r="W6" s="554"/>
      <c r="X6" s="559"/>
      <c r="Y6" s="558" t="s">
        <v>25</v>
      </c>
      <c r="Z6" s="554"/>
      <c r="AA6" s="554"/>
      <c r="AB6" s="554"/>
      <c r="AC6" s="518" t="s">
        <v>25</v>
      </c>
      <c r="AD6" s="425" t="s">
        <v>543</v>
      </c>
      <c r="AE6" s="57" t="s">
        <v>544</v>
      </c>
      <c r="AF6" s="576"/>
      <c r="AG6" s="564" t="s">
        <v>6</v>
      </c>
      <c r="AH6" s="560" t="s">
        <v>7</v>
      </c>
      <c r="AI6" s="560" t="s">
        <v>8</v>
      </c>
      <c r="AJ6" s="560" t="s">
        <v>9</v>
      </c>
      <c r="AK6" s="560" t="s">
        <v>10</v>
      </c>
      <c r="AL6" s="560" t="s">
        <v>794</v>
      </c>
      <c r="AM6" s="560" t="s">
        <v>11</v>
      </c>
      <c r="AN6" s="560" t="s">
        <v>12</v>
      </c>
      <c r="AO6" s="560" t="s">
        <v>940</v>
      </c>
      <c r="AP6" s="560" t="s">
        <v>123</v>
      </c>
      <c r="AQ6" s="560" t="s">
        <v>13</v>
      </c>
      <c r="AR6" s="563" t="s">
        <v>14</v>
      </c>
      <c r="AS6" s="577" t="s">
        <v>15</v>
      </c>
      <c r="AT6" s="560" t="s">
        <v>16</v>
      </c>
      <c r="AU6" s="561" t="s">
        <v>913</v>
      </c>
      <c r="AV6" s="561" t="s">
        <v>17</v>
      </c>
      <c r="AW6" s="554" t="s">
        <v>914</v>
      </c>
      <c r="AX6" s="554"/>
      <c r="AY6" s="554"/>
      <c r="AZ6" s="554"/>
      <c r="BA6" s="554"/>
      <c r="BB6" s="563" t="s">
        <v>18</v>
      </c>
      <c r="BC6" s="564" t="s">
        <v>19</v>
      </c>
      <c r="BD6" s="560" t="s">
        <v>20</v>
      </c>
      <c r="BE6" s="560" t="s">
        <v>916</v>
      </c>
      <c r="BF6" s="560" t="s">
        <v>21</v>
      </c>
      <c r="BG6" s="560" t="s">
        <v>16</v>
      </c>
      <c r="BH6" s="560" t="s">
        <v>22</v>
      </c>
      <c r="BI6" s="563" t="s">
        <v>915</v>
      </c>
      <c r="BJ6" s="189" t="s">
        <v>50</v>
      </c>
    </row>
    <row r="7" spans="1:62" s="72" customFormat="1" ht="48.75" x14ac:dyDescent="0.25">
      <c r="A7" s="445" t="s">
        <v>3</v>
      </c>
      <c r="B7" s="420" t="s">
        <v>30</v>
      </c>
      <c r="C7" s="421" t="s">
        <v>31</v>
      </c>
      <c r="D7" s="421" t="s">
        <v>32</v>
      </c>
      <c r="E7" s="422" t="s">
        <v>31</v>
      </c>
      <c r="F7" s="423" t="s">
        <v>33</v>
      </c>
      <c r="G7" s="512" t="s">
        <v>31</v>
      </c>
      <c r="H7" s="423" t="s">
        <v>34</v>
      </c>
      <c r="I7" s="424" t="s">
        <v>35</v>
      </c>
      <c r="J7" s="512" t="s">
        <v>33</v>
      </c>
      <c r="K7" s="512" t="s">
        <v>31</v>
      </c>
      <c r="L7" s="512" t="s">
        <v>34</v>
      </c>
      <c r="M7" s="512" t="s">
        <v>35</v>
      </c>
      <c r="N7" s="518" t="s">
        <v>33</v>
      </c>
      <c r="O7" s="425" t="s">
        <v>33</v>
      </c>
      <c r="P7" s="426" t="s">
        <v>33</v>
      </c>
      <c r="Q7" s="512" t="s">
        <v>30</v>
      </c>
      <c r="R7" s="512" t="s">
        <v>31</v>
      </c>
      <c r="S7" s="512" t="s">
        <v>32</v>
      </c>
      <c r="T7" s="513" t="s">
        <v>31</v>
      </c>
      <c r="U7" s="512" t="s">
        <v>33</v>
      </c>
      <c r="V7" s="512" t="s">
        <v>31</v>
      </c>
      <c r="W7" s="512" t="s">
        <v>34</v>
      </c>
      <c r="X7" s="513" t="s">
        <v>35</v>
      </c>
      <c r="Y7" s="512" t="s">
        <v>33</v>
      </c>
      <c r="Z7" s="512" t="s">
        <v>31</v>
      </c>
      <c r="AA7" s="512" t="s">
        <v>34</v>
      </c>
      <c r="AB7" s="512" t="s">
        <v>35</v>
      </c>
      <c r="AC7" s="518" t="s">
        <v>33</v>
      </c>
      <c r="AD7" s="425" t="s">
        <v>33</v>
      </c>
      <c r="AE7" s="426" t="s">
        <v>33</v>
      </c>
      <c r="AF7" s="557"/>
      <c r="AG7" s="555"/>
      <c r="AH7" s="556"/>
      <c r="AI7" s="556"/>
      <c r="AJ7" s="556"/>
      <c r="AK7" s="556"/>
      <c r="AL7" s="556"/>
      <c r="AM7" s="556"/>
      <c r="AN7" s="556"/>
      <c r="AO7" s="556"/>
      <c r="AP7" s="556"/>
      <c r="AQ7" s="556"/>
      <c r="AR7" s="557"/>
      <c r="AS7" s="578"/>
      <c r="AT7" s="556"/>
      <c r="AU7" s="562"/>
      <c r="AV7" s="562"/>
      <c r="AW7" s="18" t="s">
        <v>27</v>
      </c>
      <c r="AX7" s="18" t="s">
        <v>28</v>
      </c>
      <c r="AY7" s="18" t="s">
        <v>819</v>
      </c>
      <c r="AZ7" s="18" t="s">
        <v>29</v>
      </c>
      <c r="BA7" s="18" t="s">
        <v>781</v>
      </c>
      <c r="BB7" s="557"/>
      <c r="BC7" s="555"/>
      <c r="BD7" s="556"/>
      <c r="BE7" s="556"/>
      <c r="BF7" s="556"/>
      <c r="BG7" s="556"/>
      <c r="BH7" s="556"/>
      <c r="BI7" s="557"/>
      <c r="BJ7" s="189" t="s">
        <v>50</v>
      </c>
    </row>
    <row r="8" spans="1:62" s="72" customFormat="1" ht="12" customHeight="1" x14ac:dyDescent="0.2">
      <c r="A8" s="443" t="s">
        <v>513</v>
      </c>
      <c r="B8" s="122"/>
      <c r="C8" s="122"/>
      <c r="D8" s="76"/>
      <c r="E8" s="123"/>
      <c r="F8" s="122"/>
      <c r="G8" s="122"/>
      <c r="H8" s="122"/>
      <c r="I8" s="123"/>
      <c r="J8" s="122"/>
      <c r="K8" s="122"/>
      <c r="L8" s="122"/>
      <c r="M8" s="122"/>
      <c r="N8" s="519"/>
      <c r="O8" s="52"/>
      <c r="P8" s="53"/>
      <c r="Q8" s="76"/>
      <c r="R8" s="122"/>
      <c r="S8" s="76"/>
      <c r="T8" s="123"/>
      <c r="U8" s="122"/>
      <c r="V8" s="122"/>
      <c r="W8" s="122"/>
      <c r="X8" s="123"/>
      <c r="Y8" s="122"/>
      <c r="Z8" s="122"/>
      <c r="AA8" s="122"/>
      <c r="AB8" s="122"/>
      <c r="AC8" s="519"/>
      <c r="AD8" s="52"/>
      <c r="AE8" s="53"/>
      <c r="AF8" s="89"/>
      <c r="AG8" s="193"/>
      <c r="AH8" s="193"/>
      <c r="AI8" s="193"/>
      <c r="AJ8" s="193"/>
      <c r="AK8" s="193"/>
      <c r="AL8" s="193"/>
      <c r="AM8" s="193"/>
      <c r="AN8" s="193"/>
      <c r="AO8" s="193"/>
      <c r="AP8" s="193"/>
      <c r="AQ8" s="193"/>
      <c r="AR8" s="511"/>
      <c r="AS8" s="188"/>
      <c r="AT8" s="193"/>
      <c r="AU8" s="188"/>
      <c r="AV8" s="188"/>
      <c r="AW8" s="74"/>
      <c r="AX8" s="74"/>
      <c r="AY8" s="74"/>
      <c r="AZ8" s="74"/>
      <c r="BA8" s="74"/>
      <c r="BB8" s="511"/>
      <c r="BC8" s="189"/>
      <c r="BD8" s="193"/>
      <c r="BE8" s="193"/>
      <c r="BF8" s="193"/>
      <c r="BG8" s="193"/>
      <c r="BH8" s="193"/>
      <c r="BI8" s="511"/>
      <c r="BJ8" s="189" t="s">
        <v>50</v>
      </c>
    </row>
    <row r="9" spans="1:62" s="72" customFormat="1" ht="12" customHeight="1" x14ac:dyDescent="0.2">
      <c r="A9" s="481" t="s">
        <v>514</v>
      </c>
      <c r="B9" s="76" t="s">
        <v>41</v>
      </c>
      <c r="C9" s="122" t="s">
        <v>41</v>
      </c>
      <c r="D9" s="76">
        <f>137154.769568/897855.537896</f>
        <v>0.15275817075139192</v>
      </c>
      <c r="E9" s="123">
        <v>2.7203330855216399E-2</v>
      </c>
      <c r="F9" s="122" t="s">
        <v>41</v>
      </c>
      <c r="G9" s="122" t="s">
        <v>41</v>
      </c>
      <c r="H9" s="122" t="s">
        <v>41</v>
      </c>
      <c r="I9" s="123" t="s">
        <v>41</v>
      </c>
      <c r="J9" s="122" t="s">
        <v>41</v>
      </c>
      <c r="K9" s="122" t="s">
        <v>41</v>
      </c>
      <c r="L9" s="122" t="s">
        <v>41</v>
      </c>
      <c r="M9" s="122" t="s">
        <v>41</v>
      </c>
      <c r="N9" s="520" t="s">
        <v>41</v>
      </c>
      <c r="O9" s="184" t="s">
        <v>41</v>
      </c>
      <c r="P9" s="187">
        <f>D9</f>
        <v>0.15275817075139192</v>
      </c>
      <c r="Q9" s="76" t="s">
        <v>41</v>
      </c>
      <c r="R9" s="122" t="s">
        <v>41</v>
      </c>
      <c r="S9" s="76">
        <f>D9</f>
        <v>0.15275817075139192</v>
      </c>
      <c r="T9" s="123">
        <f>E9</f>
        <v>2.7203330855216399E-2</v>
      </c>
      <c r="U9" s="122" t="s">
        <v>41</v>
      </c>
      <c r="V9" s="122" t="s">
        <v>41</v>
      </c>
      <c r="W9" s="122" t="s">
        <v>41</v>
      </c>
      <c r="X9" s="123" t="s">
        <v>41</v>
      </c>
      <c r="Y9" s="122" t="s">
        <v>41</v>
      </c>
      <c r="Z9" s="122" t="s">
        <v>41</v>
      </c>
      <c r="AA9" s="122" t="s">
        <v>41</v>
      </c>
      <c r="AB9" s="122" t="s">
        <v>41</v>
      </c>
      <c r="AC9" s="520" t="s">
        <v>41</v>
      </c>
      <c r="AD9" s="184" t="s">
        <v>41</v>
      </c>
      <c r="AE9" s="187">
        <f>S9</f>
        <v>0.15275817075139192</v>
      </c>
      <c r="AF9" s="62" t="s">
        <v>1013</v>
      </c>
      <c r="AG9" s="186" t="s">
        <v>46</v>
      </c>
      <c r="AH9" s="185" t="s">
        <v>531</v>
      </c>
      <c r="AI9" s="185" t="s">
        <v>532</v>
      </c>
      <c r="AJ9" s="193" t="s">
        <v>720</v>
      </c>
      <c r="AK9" s="193" t="s">
        <v>41</v>
      </c>
      <c r="AL9" s="193" t="s">
        <v>721</v>
      </c>
      <c r="AM9" s="193" t="s">
        <v>47</v>
      </c>
      <c r="AN9" s="193" t="s">
        <v>43</v>
      </c>
      <c r="AO9" s="193" t="s">
        <v>37</v>
      </c>
      <c r="AP9" s="180" t="s">
        <v>41</v>
      </c>
      <c r="AQ9" s="78">
        <v>897855.53789599997</v>
      </c>
      <c r="AR9" s="511" t="s">
        <v>41</v>
      </c>
      <c r="AS9" s="142" t="s">
        <v>967</v>
      </c>
      <c r="AT9" s="185" t="s">
        <v>708</v>
      </c>
      <c r="AU9" s="188" t="s">
        <v>986</v>
      </c>
      <c r="AV9" s="474" t="s">
        <v>970</v>
      </c>
      <c r="AW9" s="74" t="s">
        <v>39</v>
      </c>
      <c r="AX9" s="74" t="s">
        <v>39</v>
      </c>
      <c r="AY9" s="74" t="s">
        <v>43</v>
      </c>
      <c r="AZ9" s="74" t="s">
        <v>43</v>
      </c>
      <c r="BA9" s="74" t="s">
        <v>43</v>
      </c>
      <c r="BB9" s="79" t="s">
        <v>714</v>
      </c>
      <c r="BC9" s="196" t="s">
        <v>715</v>
      </c>
      <c r="BD9" s="193" t="s">
        <v>44</v>
      </c>
      <c r="BE9" s="193" t="s">
        <v>1014</v>
      </c>
      <c r="BF9" s="193" t="s">
        <v>717</v>
      </c>
      <c r="BG9" s="185" t="s">
        <v>708</v>
      </c>
      <c r="BH9" s="193" t="s">
        <v>1168</v>
      </c>
      <c r="BI9" s="511" t="s">
        <v>41</v>
      </c>
      <c r="BJ9" s="189" t="s">
        <v>50</v>
      </c>
    </row>
    <row r="10" spans="1:62" s="72" customFormat="1" ht="12" customHeight="1" x14ac:dyDescent="0.2">
      <c r="A10" s="481" t="s">
        <v>810</v>
      </c>
      <c r="B10" s="76" t="s">
        <v>41</v>
      </c>
      <c r="C10" s="122" t="s">
        <v>41</v>
      </c>
      <c r="D10" s="76">
        <v>1</v>
      </c>
      <c r="E10" s="123" t="s">
        <v>37</v>
      </c>
      <c r="F10" s="122" t="s">
        <v>41</v>
      </c>
      <c r="G10" s="122" t="s">
        <v>41</v>
      </c>
      <c r="H10" s="122" t="s">
        <v>41</v>
      </c>
      <c r="I10" s="123" t="s">
        <v>41</v>
      </c>
      <c r="J10" s="122" t="s">
        <v>41</v>
      </c>
      <c r="K10" s="122" t="s">
        <v>41</v>
      </c>
      <c r="L10" s="122" t="s">
        <v>41</v>
      </c>
      <c r="M10" s="122" t="s">
        <v>41</v>
      </c>
      <c r="N10" s="520" t="s">
        <v>41</v>
      </c>
      <c r="O10" s="184" t="s">
        <v>41</v>
      </c>
      <c r="P10" s="187">
        <v>1</v>
      </c>
      <c r="Q10" s="76" t="s">
        <v>41</v>
      </c>
      <c r="R10" s="122" t="s">
        <v>41</v>
      </c>
      <c r="S10" s="76">
        <v>1</v>
      </c>
      <c r="T10" s="123" t="s">
        <v>37</v>
      </c>
      <c r="U10" s="122" t="s">
        <v>41</v>
      </c>
      <c r="V10" s="122" t="s">
        <v>41</v>
      </c>
      <c r="W10" s="122" t="s">
        <v>41</v>
      </c>
      <c r="X10" s="123" t="s">
        <v>41</v>
      </c>
      <c r="Y10" s="122" t="s">
        <v>41</v>
      </c>
      <c r="Z10" s="122" t="s">
        <v>41</v>
      </c>
      <c r="AA10" s="122" t="s">
        <v>41</v>
      </c>
      <c r="AB10" s="122" t="s">
        <v>41</v>
      </c>
      <c r="AC10" s="520" t="s">
        <v>41</v>
      </c>
      <c r="AD10" s="184" t="s">
        <v>41</v>
      </c>
      <c r="AE10" s="187">
        <v>1</v>
      </c>
      <c r="AF10" s="89" t="s">
        <v>1179</v>
      </c>
      <c r="AG10" s="186" t="s">
        <v>46</v>
      </c>
      <c r="AH10" s="185" t="s">
        <v>531</v>
      </c>
      <c r="AI10" s="189" t="s">
        <v>812</v>
      </c>
      <c r="AJ10" s="193">
        <v>2012</v>
      </c>
      <c r="AK10" s="193" t="s">
        <v>41</v>
      </c>
      <c r="AL10" s="193" t="s">
        <v>779</v>
      </c>
      <c r="AM10" s="193" t="s">
        <v>47</v>
      </c>
      <c r="AN10" s="193" t="s">
        <v>39</v>
      </c>
      <c r="AO10" s="193" t="s">
        <v>947</v>
      </c>
      <c r="AP10" s="193" t="s">
        <v>948</v>
      </c>
      <c r="AQ10" s="193" t="s">
        <v>37</v>
      </c>
      <c r="AR10" s="511" t="s">
        <v>41</v>
      </c>
      <c r="AS10" s="142" t="s">
        <v>968</v>
      </c>
      <c r="AT10" s="193" t="s">
        <v>42</v>
      </c>
      <c r="AU10" s="188" t="s">
        <v>987</v>
      </c>
      <c r="AV10" s="474" t="s">
        <v>972</v>
      </c>
      <c r="AW10" s="74" t="s">
        <v>39</v>
      </c>
      <c r="AX10" s="74" t="s">
        <v>39</v>
      </c>
      <c r="AY10" s="74" t="s">
        <v>39</v>
      </c>
      <c r="AZ10" s="74" t="s">
        <v>39</v>
      </c>
      <c r="BA10" s="74" t="s">
        <v>39</v>
      </c>
      <c r="BB10" s="511" t="s">
        <v>1167</v>
      </c>
      <c r="BC10" s="189" t="s">
        <v>783</v>
      </c>
      <c r="BD10" s="193" t="s">
        <v>44</v>
      </c>
      <c r="BE10" s="193" t="s">
        <v>1014</v>
      </c>
      <c r="BF10" s="193" t="s">
        <v>782</v>
      </c>
      <c r="BG10" s="193" t="s">
        <v>42</v>
      </c>
      <c r="BH10" s="193" t="s">
        <v>713</v>
      </c>
      <c r="BI10" s="511" t="s">
        <v>784</v>
      </c>
      <c r="BJ10" s="189" t="s">
        <v>50</v>
      </c>
    </row>
    <row r="11" spans="1:62" s="72" customFormat="1" ht="12" customHeight="1" x14ac:dyDescent="0.2">
      <c r="A11" s="82" t="s">
        <v>515</v>
      </c>
      <c r="B11" s="76"/>
      <c r="C11" s="122"/>
      <c r="D11" s="76"/>
      <c r="E11" s="123"/>
      <c r="F11" s="122"/>
      <c r="G11" s="122"/>
      <c r="H11" s="122"/>
      <c r="I11" s="123"/>
      <c r="J11" s="122"/>
      <c r="K11" s="122"/>
      <c r="L11" s="122"/>
      <c r="M11" s="122"/>
      <c r="N11" s="519"/>
      <c r="O11" s="52"/>
      <c r="P11" s="53"/>
      <c r="Q11" s="76"/>
      <c r="R11" s="122"/>
      <c r="S11" s="76"/>
      <c r="T11" s="123"/>
      <c r="U11" s="122"/>
      <c r="V11" s="122"/>
      <c r="W11" s="122"/>
      <c r="X11" s="123"/>
      <c r="Y11" s="122"/>
      <c r="Z11" s="122"/>
      <c r="AA11" s="122"/>
      <c r="AB11" s="122"/>
      <c r="AC11" s="519"/>
      <c r="AD11" s="52"/>
      <c r="AE11" s="53"/>
      <c r="AF11" s="89"/>
      <c r="AG11" s="193"/>
      <c r="AH11" s="193"/>
      <c r="AI11" s="193"/>
      <c r="AJ11" s="193"/>
      <c r="AK11" s="193"/>
      <c r="AL11" s="193"/>
      <c r="AM11" s="193"/>
      <c r="AN11" s="193"/>
      <c r="AO11" s="193"/>
      <c r="AP11" s="193"/>
      <c r="AQ11" s="193"/>
      <c r="AR11" s="511"/>
      <c r="AS11" s="188"/>
      <c r="AT11" s="193"/>
      <c r="AU11" s="188"/>
      <c r="AV11" s="474"/>
      <c r="AW11" s="74"/>
      <c r="AX11" s="74"/>
      <c r="AY11" s="74"/>
      <c r="AZ11" s="74"/>
      <c r="BA11" s="74"/>
      <c r="BB11" s="511"/>
      <c r="BC11" s="189"/>
      <c r="BD11" s="193"/>
      <c r="BE11" s="193"/>
      <c r="BF11" s="193"/>
      <c r="BG11" s="193"/>
      <c r="BH11" s="193"/>
      <c r="BI11" s="511"/>
      <c r="BJ11" s="189" t="s">
        <v>50</v>
      </c>
    </row>
    <row r="12" spans="1:62" s="72" customFormat="1" ht="12" customHeight="1" x14ac:dyDescent="0.2">
      <c r="A12" s="430" t="s">
        <v>517</v>
      </c>
      <c r="B12" s="76" t="s">
        <v>41</v>
      </c>
      <c r="C12" s="122" t="s">
        <v>41</v>
      </c>
      <c r="D12" s="76">
        <v>1.8875363481453546E-2</v>
      </c>
      <c r="E12" s="123" t="s">
        <v>37</v>
      </c>
      <c r="F12" s="122" t="s">
        <v>41</v>
      </c>
      <c r="G12" s="122" t="s">
        <v>41</v>
      </c>
      <c r="H12" s="122" t="s">
        <v>41</v>
      </c>
      <c r="I12" s="123" t="s">
        <v>41</v>
      </c>
      <c r="J12" s="122" t="s">
        <v>41</v>
      </c>
      <c r="K12" s="122" t="s">
        <v>41</v>
      </c>
      <c r="L12" s="122" t="s">
        <v>41</v>
      </c>
      <c r="M12" s="122" t="s">
        <v>41</v>
      </c>
      <c r="N12" s="520" t="s">
        <v>41</v>
      </c>
      <c r="O12" s="184" t="s">
        <v>41</v>
      </c>
      <c r="P12" s="187">
        <f>D12</f>
        <v>1.8875363481453546E-2</v>
      </c>
      <c r="Q12" s="76" t="s">
        <v>41</v>
      </c>
      <c r="R12" s="122" t="s">
        <v>41</v>
      </c>
      <c r="S12" s="76">
        <v>0</v>
      </c>
      <c r="T12" s="123" t="s">
        <v>37</v>
      </c>
      <c r="U12" s="122" t="s">
        <v>41</v>
      </c>
      <c r="V12" s="122" t="s">
        <v>41</v>
      </c>
      <c r="W12" s="122" t="s">
        <v>41</v>
      </c>
      <c r="X12" s="123" t="s">
        <v>41</v>
      </c>
      <c r="Y12" s="122" t="s">
        <v>41</v>
      </c>
      <c r="Z12" s="122" t="s">
        <v>41</v>
      </c>
      <c r="AA12" s="122" t="s">
        <v>41</v>
      </c>
      <c r="AB12" s="122" t="s">
        <v>41</v>
      </c>
      <c r="AC12" s="520" t="s">
        <v>41</v>
      </c>
      <c r="AD12" s="184" t="s">
        <v>41</v>
      </c>
      <c r="AE12" s="187">
        <f>S12</f>
        <v>0</v>
      </c>
      <c r="AF12" s="62" t="s">
        <v>1013</v>
      </c>
      <c r="AG12" s="186" t="s">
        <v>46</v>
      </c>
      <c r="AH12" s="185" t="s">
        <v>531</v>
      </c>
      <c r="AI12" s="185" t="s">
        <v>532</v>
      </c>
      <c r="AJ12" s="193" t="s">
        <v>720</v>
      </c>
      <c r="AK12" s="193" t="s">
        <v>41</v>
      </c>
      <c r="AL12" s="193" t="s">
        <v>721</v>
      </c>
      <c r="AM12" s="193" t="s">
        <v>47</v>
      </c>
      <c r="AN12" s="193" t="s">
        <v>39</v>
      </c>
      <c r="AO12" s="193" t="s">
        <v>37</v>
      </c>
      <c r="AP12" s="180" t="s">
        <v>41</v>
      </c>
      <c r="AQ12" s="83" t="s">
        <v>722</v>
      </c>
      <c r="AR12" s="511" t="s">
        <v>41</v>
      </c>
      <c r="AS12" s="142" t="s">
        <v>967</v>
      </c>
      <c r="AT12" s="185" t="s">
        <v>708</v>
      </c>
      <c r="AU12" s="188" t="s">
        <v>986</v>
      </c>
      <c r="AV12" s="474" t="s">
        <v>970</v>
      </c>
      <c r="AW12" s="74" t="s">
        <v>39</v>
      </c>
      <c r="AX12" s="74" t="s">
        <v>39</v>
      </c>
      <c r="AY12" s="74" t="s">
        <v>43</v>
      </c>
      <c r="AZ12" s="74" t="s">
        <v>43</v>
      </c>
      <c r="BA12" s="74" t="s">
        <v>43</v>
      </c>
      <c r="BB12" s="79" t="s">
        <v>709</v>
      </c>
      <c r="BC12" s="142" t="s">
        <v>710</v>
      </c>
      <c r="BD12" s="193" t="s">
        <v>44</v>
      </c>
      <c r="BE12" s="193" t="s">
        <v>1014</v>
      </c>
      <c r="BF12" s="193" t="s">
        <v>718</v>
      </c>
      <c r="BG12" s="185" t="s">
        <v>708</v>
      </c>
      <c r="BH12" s="193" t="s">
        <v>713</v>
      </c>
      <c r="BI12" s="511" t="s">
        <v>41</v>
      </c>
      <c r="BJ12" s="189" t="s">
        <v>50</v>
      </c>
    </row>
    <row r="13" spans="1:62" s="72" customFormat="1" ht="12" customHeight="1" x14ac:dyDescent="0.2">
      <c r="A13" s="430" t="s">
        <v>518</v>
      </c>
      <c r="B13" s="76" t="s">
        <v>41</v>
      </c>
      <c r="C13" s="122" t="s">
        <v>41</v>
      </c>
      <c r="D13" s="76">
        <v>6.6480960616580903E-2</v>
      </c>
      <c r="E13" s="123" t="s">
        <v>37</v>
      </c>
      <c r="F13" s="122" t="s">
        <v>41</v>
      </c>
      <c r="G13" s="122" t="s">
        <v>41</v>
      </c>
      <c r="H13" s="122" t="s">
        <v>41</v>
      </c>
      <c r="I13" s="123" t="s">
        <v>41</v>
      </c>
      <c r="J13" s="122" t="s">
        <v>41</v>
      </c>
      <c r="K13" s="122" t="s">
        <v>41</v>
      </c>
      <c r="L13" s="122" t="s">
        <v>41</v>
      </c>
      <c r="M13" s="122" t="s">
        <v>41</v>
      </c>
      <c r="N13" s="520" t="s">
        <v>41</v>
      </c>
      <c r="O13" s="184" t="s">
        <v>41</v>
      </c>
      <c r="P13" s="187">
        <f>D13</f>
        <v>6.6480960616580903E-2</v>
      </c>
      <c r="Q13" s="76" t="s">
        <v>41</v>
      </c>
      <c r="R13" s="122" t="s">
        <v>41</v>
      </c>
      <c r="S13" s="76">
        <v>4.5834466133499042E-2</v>
      </c>
      <c r="T13" s="123" t="s">
        <v>41</v>
      </c>
      <c r="U13" s="122" t="s">
        <v>41</v>
      </c>
      <c r="V13" s="122" t="s">
        <v>41</v>
      </c>
      <c r="W13" s="122" t="s">
        <v>41</v>
      </c>
      <c r="X13" s="123" t="s">
        <v>41</v>
      </c>
      <c r="Y13" s="122" t="s">
        <v>41</v>
      </c>
      <c r="Z13" s="122" t="s">
        <v>41</v>
      </c>
      <c r="AA13" s="122" t="s">
        <v>41</v>
      </c>
      <c r="AB13" s="122" t="s">
        <v>41</v>
      </c>
      <c r="AC13" s="520" t="s">
        <v>41</v>
      </c>
      <c r="AD13" s="184" t="s">
        <v>41</v>
      </c>
      <c r="AE13" s="187">
        <f>S13</f>
        <v>4.5834466133499042E-2</v>
      </c>
      <c r="AF13" s="62" t="s">
        <v>1013</v>
      </c>
      <c r="AG13" s="186" t="s">
        <v>46</v>
      </c>
      <c r="AH13" s="185" t="s">
        <v>531</v>
      </c>
      <c r="AI13" s="185" t="s">
        <v>532</v>
      </c>
      <c r="AJ13" s="193" t="s">
        <v>720</v>
      </c>
      <c r="AK13" s="193" t="s">
        <v>41</v>
      </c>
      <c r="AL13" s="193" t="s">
        <v>721</v>
      </c>
      <c r="AM13" s="193" t="s">
        <v>47</v>
      </c>
      <c r="AN13" s="193" t="s">
        <v>39</v>
      </c>
      <c r="AO13" s="193" t="s">
        <v>37</v>
      </c>
      <c r="AP13" s="180" t="s">
        <v>41</v>
      </c>
      <c r="AQ13" s="83" t="s">
        <v>723</v>
      </c>
      <c r="AR13" s="511" t="s">
        <v>41</v>
      </c>
      <c r="AS13" s="142" t="s">
        <v>967</v>
      </c>
      <c r="AT13" s="185" t="s">
        <v>708</v>
      </c>
      <c r="AU13" s="188" t="s">
        <v>986</v>
      </c>
      <c r="AV13" s="474" t="s">
        <v>970</v>
      </c>
      <c r="AW13" s="74" t="s">
        <v>39</v>
      </c>
      <c r="AX13" s="74" t="s">
        <v>39</v>
      </c>
      <c r="AY13" s="74" t="s">
        <v>43</v>
      </c>
      <c r="AZ13" s="74" t="s">
        <v>43</v>
      </c>
      <c r="BA13" s="74" t="s">
        <v>43</v>
      </c>
      <c r="BB13" s="79" t="s">
        <v>709</v>
      </c>
      <c r="BC13" s="142" t="s">
        <v>711</v>
      </c>
      <c r="BD13" s="193" t="s">
        <v>44</v>
      </c>
      <c r="BE13" s="193" t="s">
        <v>1014</v>
      </c>
      <c r="BF13" s="193" t="s">
        <v>719</v>
      </c>
      <c r="BG13" s="185" t="s">
        <v>708</v>
      </c>
      <c r="BH13" s="193" t="s">
        <v>713</v>
      </c>
      <c r="BI13" s="511" t="s">
        <v>41</v>
      </c>
      <c r="BJ13" s="189" t="s">
        <v>50</v>
      </c>
    </row>
    <row r="14" spans="1:62" s="72" customFormat="1" ht="12" customHeight="1" x14ac:dyDescent="0.2">
      <c r="A14" s="430" t="s">
        <v>519</v>
      </c>
      <c r="B14" s="76" t="s">
        <v>41</v>
      </c>
      <c r="C14" s="122" t="s">
        <v>41</v>
      </c>
      <c r="D14" s="76">
        <v>1.9427682356052899E-3</v>
      </c>
      <c r="E14" s="123" t="s">
        <v>37</v>
      </c>
      <c r="F14" s="122" t="s">
        <v>41</v>
      </c>
      <c r="G14" s="122" t="s">
        <v>41</v>
      </c>
      <c r="H14" s="122" t="s">
        <v>41</v>
      </c>
      <c r="I14" s="123" t="s">
        <v>41</v>
      </c>
      <c r="J14" s="122" t="s">
        <v>41</v>
      </c>
      <c r="K14" s="122" t="s">
        <v>41</v>
      </c>
      <c r="L14" s="122" t="s">
        <v>41</v>
      </c>
      <c r="M14" s="122" t="s">
        <v>41</v>
      </c>
      <c r="N14" s="520" t="s">
        <v>41</v>
      </c>
      <c r="O14" s="184" t="s">
        <v>41</v>
      </c>
      <c r="P14" s="187">
        <f>D14</f>
        <v>1.9427682356052899E-3</v>
      </c>
      <c r="Q14" s="76" t="s">
        <v>41</v>
      </c>
      <c r="R14" s="122" t="s">
        <v>41</v>
      </c>
      <c r="S14" s="76">
        <v>1.0236344354573803E-3</v>
      </c>
      <c r="T14" s="123" t="s">
        <v>41</v>
      </c>
      <c r="U14" s="122" t="s">
        <v>41</v>
      </c>
      <c r="V14" s="122" t="s">
        <v>41</v>
      </c>
      <c r="W14" s="122" t="s">
        <v>41</v>
      </c>
      <c r="X14" s="123" t="s">
        <v>41</v>
      </c>
      <c r="Y14" s="122" t="s">
        <v>41</v>
      </c>
      <c r="Z14" s="122" t="s">
        <v>41</v>
      </c>
      <c r="AA14" s="122" t="s">
        <v>41</v>
      </c>
      <c r="AB14" s="122" t="s">
        <v>41</v>
      </c>
      <c r="AC14" s="520" t="s">
        <v>41</v>
      </c>
      <c r="AD14" s="184" t="s">
        <v>41</v>
      </c>
      <c r="AE14" s="187">
        <f>S14</f>
        <v>1.0236344354573803E-3</v>
      </c>
      <c r="AF14" s="62" t="s">
        <v>1013</v>
      </c>
      <c r="AG14" s="186" t="s">
        <v>46</v>
      </c>
      <c r="AH14" s="185" t="s">
        <v>531</v>
      </c>
      <c r="AI14" s="185" t="s">
        <v>532</v>
      </c>
      <c r="AJ14" s="193" t="s">
        <v>720</v>
      </c>
      <c r="AK14" s="193" t="s">
        <v>41</v>
      </c>
      <c r="AL14" s="193" t="s">
        <v>721</v>
      </c>
      <c r="AM14" s="193" t="s">
        <v>47</v>
      </c>
      <c r="AN14" s="193" t="s">
        <v>39</v>
      </c>
      <c r="AO14" s="193" t="s">
        <v>37</v>
      </c>
      <c r="AP14" s="180" t="s">
        <v>41</v>
      </c>
      <c r="AQ14" s="83" t="s">
        <v>724</v>
      </c>
      <c r="AR14" s="511" t="s">
        <v>41</v>
      </c>
      <c r="AS14" s="142" t="s">
        <v>967</v>
      </c>
      <c r="AT14" s="185" t="s">
        <v>708</v>
      </c>
      <c r="AU14" s="188" t="s">
        <v>986</v>
      </c>
      <c r="AV14" s="474" t="s">
        <v>970</v>
      </c>
      <c r="AW14" s="74" t="s">
        <v>39</v>
      </c>
      <c r="AX14" s="74" t="s">
        <v>39</v>
      </c>
      <c r="AY14" s="74" t="s">
        <v>43</v>
      </c>
      <c r="AZ14" s="74" t="s">
        <v>43</v>
      </c>
      <c r="BA14" s="74" t="s">
        <v>43</v>
      </c>
      <c r="BB14" s="79" t="s">
        <v>709</v>
      </c>
      <c r="BC14" s="142" t="s">
        <v>711</v>
      </c>
      <c r="BD14" s="193" t="s">
        <v>44</v>
      </c>
      <c r="BE14" s="193" t="s">
        <v>1014</v>
      </c>
      <c r="BF14" s="193" t="s">
        <v>719</v>
      </c>
      <c r="BG14" s="185" t="s">
        <v>708</v>
      </c>
      <c r="BH14" s="193" t="s">
        <v>713</v>
      </c>
      <c r="BI14" s="511" t="s">
        <v>41</v>
      </c>
      <c r="BJ14" s="189" t="s">
        <v>50</v>
      </c>
    </row>
    <row r="15" spans="1:62" s="72" customFormat="1" ht="12" customHeight="1" x14ac:dyDescent="0.2">
      <c r="A15" s="481" t="s">
        <v>520</v>
      </c>
      <c r="B15" s="76" t="s">
        <v>41</v>
      </c>
      <c r="C15" s="122" t="s">
        <v>41</v>
      </c>
      <c r="D15" s="535">
        <f>992/'Table 2 Criminal justice'!B8</f>
        <v>1.8916857360793288E-4</v>
      </c>
      <c r="E15" s="123" t="s">
        <v>41</v>
      </c>
      <c r="F15" s="122" t="s">
        <v>41</v>
      </c>
      <c r="G15" s="122" t="s">
        <v>41</v>
      </c>
      <c r="H15" s="122" t="s">
        <v>41</v>
      </c>
      <c r="I15" s="123" t="s">
        <v>41</v>
      </c>
      <c r="J15" s="122" t="s">
        <v>41</v>
      </c>
      <c r="K15" s="122" t="s">
        <v>41</v>
      </c>
      <c r="L15" s="122" t="s">
        <v>41</v>
      </c>
      <c r="M15" s="122" t="s">
        <v>41</v>
      </c>
      <c r="N15" s="520" t="s">
        <v>41</v>
      </c>
      <c r="O15" s="184" t="s">
        <v>41</v>
      </c>
      <c r="P15" s="205">
        <f>D15</f>
        <v>1.8916857360793288E-4</v>
      </c>
      <c r="Q15" s="76" t="s">
        <v>41</v>
      </c>
      <c r="R15" s="122" t="s">
        <v>41</v>
      </c>
      <c r="S15" s="76">
        <f>264/'Table 2 Criminal justice'!B9</f>
        <v>1.227906976744186E-4</v>
      </c>
      <c r="T15" s="123" t="s">
        <v>41</v>
      </c>
      <c r="U15" s="122" t="s">
        <v>41</v>
      </c>
      <c r="V15" s="122" t="s">
        <v>41</v>
      </c>
      <c r="W15" s="122" t="s">
        <v>41</v>
      </c>
      <c r="X15" s="123" t="s">
        <v>41</v>
      </c>
      <c r="Y15" s="122" t="s">
        <v>41</v>
      </c>
      <c r="Z15" s="122" t="s">
        <v>41</v>
      </c>
      <c r="AA15" s="122" t="s">
        <v>41</v>
      </c>
      <c r="AB15" s="122" t="s">
        <v>41</v>
      </c>
      <c r="AC15" s="520" t="s">
        <v>41</v>
      </c>
      <c r="AD15" s="184" t="s">
        <v>41</v>
      </c>
      <c r="AE15" s="205">
        <f>S15</f>
        <v>1.227906976744186E-4</v>
      </c>
      <c r="AF15" s="89" t="s">
        <v>745</v>
      </c>
      <c r="AG15" s="186" t="s">
        <v>46</v>
      </c>
      <c r="AH15" s="190" t="s">
        <v>705</v>
      </c>
      <c r="AI15" s="185" t="s">
        <v>908</v>
      </c>
      <c r="AJ15" s="193">
        <v>2012</v>
      </c>
      <c r="AK15" s="193" t="s">
        <v>41</v>
      </c>
      <c r="AL15" s="193" t="s">
        <v>104</v>
      </c>
      <c r="AM15" s="193" t="s">
        <v>47</v>
      </c>
      <c r="AN15" s="193" t="s">
        <v>39</v>
      </c>
      <c r="AO15" s="193" t="s">
        <v>37</v>
      </c>
      <c r="AP15" s="435" t="s">
        <v>910</v>
      </c>
      <c r="AQ15" s="84" t="s">
        <v>746</v>
      </c>
      <c r="AR15" s="85" t="s">
        <v>41</v>
      </c>
      <c r="AS15" s="142" t="s">
        <v>969</v>
      </c>
      <c r="AT15" s="193" t="s">
        <v>951</v>
      </c>
      <c r="AU15" s="188" t="s">
        <v>917</v>
      </c>
      <c r="AV15" s="142" t="s">
        <v>971</v>
      </c>
      <c r="AW15" s="74" t="s">
        <v>39</v>
      </c>
      <c r="AX15" s="74" t="s">
        <v>43</v>
      </c>
      <c r="AY15" s="74" t="s">
        <v>43</v>
      </c>
      <c r="AZ15" s="74" t="s">
        <v>43</v>
      </c>
      <c r="BA15" s="74" t="s">
        <v>39</v>
      </c>
      <c r="BB15" s="511" t="s">
        <v>911</v>
      </c>
      <c r="BC15" s="189" t="s">
        <v>707</v>
      </c>
      <c r="BD15" s="193" t="s">
        <v>917</v>
      </c>
      <c r="BE15" s="193" t="s">
        <v>917</v>
      </c>
      <c r="BF15" s="193" t="s">
        <v>828</v>
      </c>
      <c r="BG15" s="193" t="s">
        <v>706</v>
      </c>
      <c r="BH15" s="193" t="s">
        <v>1015</v>
      </c>
      <c r="BI15" s="511" t="s">
        <v>41</v>
      </c>
      <c r="BJ15" s="189" t="s">
        <v>50</v>
      </c>
    </row>
    <row r="16" spans="1:62" s="72" customFormat="1" ht="12" customHeight="1" x14ac:dyDescent="0.2">
      <c r="A16" s="82" t="s">
        <v>785</v>
      </c>
      <c r="B16" s="76"/>
      <c r="C16" s="122"/>
      <c r="D16" s="76"/>
      <c r="E16" s="123"/>
      <c r="F16" s="122"/>
      <c r="G16" s="122"/>
      <c r="H16" s="122"/>
      <c r="I16" s="123"/>
      <c r="J16" s="122"/>
      <c r="K16" s="122"/>
      <c r="L16" s="122"/>
      <c r="M16" s="122"/>
      <c r="N16" s="520"/>
      <c r="O16" s="184"/>
      <c r="P16" s="187"/>
      <c r="Q16" s="76"/>
      <c r="R16" s="122"/>
      <c r="S16" s="76"/>
      <c r="T16" s="123"/>
      <c r="U16" s="122"/>
      <c r="V16" s="122"/>
      <c r="W16" s="122"/>
      <c r="X16" s="123"/>
      <c r="Y16" s="122"/>
      <c r="Z16" s="122"/>
      <c r="AA16" s="122"/>
      <c r="AB16" s="122"/>
      <c r="AC16" s="520"/>
      <c r="AD16" s="184"/>
      <c r="AE16" s="59"/>
      <c r="AF16" s="89"/>
      <c r="AG16" s="186"/>
      <c r="AH16" s="190"/>
      <c r="AI16" s="185"/>
      <c r="AJ16" s="193"/>
      <c r="AK16" s="193"/>
      <c r="AL16" s="193"/>
      <c r="AM16" s="180"/>
      <c r="AN16" s="193"/>
      <c r="AO16" s="193"/>
      <c r="AP16" s="180"/>
      <c r="AQ16" s="180"/>
      <c r="AR16" s="452"/>
      <c r="AS16" s="188"/>
      <c r="AT16" s="193"/>
      <c r="AU16" s="188"/>
      <c r="AV16" s="188"/>
      <c r="AW16" s="74"/>
      <c r="AX16" s="74"/>
      <c r="AY16" s="74"/>
      <c r="AZ16" s="74"/>
      <c r="BA16" s="74"/>
      <c r="BB16" s="203"/>
      <c r="BC16" s="189"/>
      <c r="BD16" s="193"/>
      <c r="BE16" s="185"/>
      <c r="BF16" s="189"/>
      <c r="BG16" s="192"/>
      <c r="BH16" s="189"/>
      <c r="BI16" s="511"/>
      <c r="BJ16" s="189" t="s">
        <v>50</v>
      </c>
    </row>
    <row r="17" spans="1:62" s="72" customFormat="1" ht="12" customHeight="1" x14ac:dyDescent="0.2">
      <c r="A17" s="431" t="s">
        <v>786</v>
      </c>
      <c r="B17" s="76">
        <v>0</v>
      </c>
      <c r="C17" s="183" t="s">
        <v>41</v>
      </c>
      <c r="D17" s="76">
        <f>(10765000/'Table 1 Results'!B7)*(6770000/10574000)*0.262*0.81</f>
        <v>4.6290312452946916E-2</v>
      </c>
      <c r="E17" s="198" t="s">
        <v>37</v>
      </c>
      <c r="F17" s="197" t="s">
        <v>41</v>
      </c>
      <c r="G17" s="197" t="s">
        <v>41</v>
      </c>
      <c r="H17" s="197" t="s">
        <v>41</v>
      </c>
      <c r="I17" s="198" t="s">
        <v>41</v>
      </c>
      <c r="J17" s="197" t="s">
        <v>41</v>
      </c>
      <c r="K17" s="197" t="s">
        <v>41</v>
      </c>
      <c r="L17" s="197" t="s">
        <v>41</v>
      </c>
      <c r="M17" s="197" t="s">
        <v>41</v>
      </c>
      <c r="N17" s="520" t="s">
        <v>41</v>
      </c>
      <c r="O17" s="184" t="s">
        <v>41</v>
      </c>
      <c r="P17" s="187">
        <f>D17</f>
        <v>4.6290312452946916E-2</v>
      </c>
      <c r="Q17" s="491" t="s">
        <v>41</v>
      </c>
      <c r="R17" s="197" t="s">
        <v>41</v>
      </c>
      <c r="S17" s="491" t="s">
        <v>41</v>
      </c>
      <c r="T17" s="198" t="s">
        <v>41</v>
      </c>
      <c r="U17" s="197" t="s">
        <v>41</v>
      </c>
      <c r="V17" s="197" t="s">
        <v>41</v>
      </c>
      <c r="W17" s="197" t="s">
        <v>41</v>
      </c>
      <c r="X17" s="198" t="s">
        <v>41</v>
      </c>
      <c r="Y17" s="197" t="s">
        <v>41</v>
      </c>
      <c r="Z17" s="197" t="s">
        <v>41</v>
      </c>
      <c r="AA17" s="197" t="s">
        <v>41</v>
      </c>
      <c r="AB17" s="197" t="s">
        <v>41</v>
      </c>
      <c r="AC17" s="520" t="s">
        <v>41</v>
      </c>
      <c r="AD17" s="184" t="s">
        <v>41</v>
      </c>
      <c r="AE17" s="187" t="s">
        <v>41</v>
      </c>
      <c r="AF17" s="89" t="s">
        <v>1176</v>
      </c>
      <c r="AG17" s="186" t="s">
        <v>46</v>
      </c>
      <c r="AH17" s="190" t="s">
        <v>531</v>
      </c>
      <c r="AI17" s="185" t="s">
        <v>812</v>
      </c>
      <c r="AJ17" s="197" t="s">
        <v>954</v>
      </c>
      <c r="AK17" s="193" t="s">
        <v>41</v>
      </c>
      <c r="AL17" s="193" t="s">
        <v>779</v>
      </c>
      <c r="AM17" s="180" t="s">
        <v>40</v>
      </c>
      <c r="AN17" s="193" t="s">
        <v>39</v>
      </c>
      <c r="AO17" s="193" t="s">
        <v>37</v>
      </c>
      <c r="AP17" s="180" t="s">
        <v>37</v>
      </c>
      <c r="AQ17" s="181" t="s">
        <v>37</v>
      </c>
      <c r="AR17" s="452" t="s">
        <v>37</v>
      </c>
      <c r="AS17" s="142" t="s">
        <v>957</v>
      </c>
      <c r="AT17" s="188" t="s">
        <v>42</v>
      </c>
      <c r="AU17" s="188" t="s">
        <v>987</v>
      </c>
      <c r="AV17" s="142" t="s">
        <v>973</v>
      </c>
      <c r="AW17" s="188" t="s">
        <v>43</v>
      </c>
      <c r="AX17" s="188" t="s">
        <v>39</v>
      </c>
      <c r="AY17" s="188" t="s">
        <v>43</v>
      </c>
      <c r="AZ17" s="188" t="s">
        <v>43</v>
      </c>
      <c r="BA17" s="188" t="s">
        <v>43</v>
      </c>
      <c r="BB17" s="511" t="s">
        <v>956</v>
      </c>
      <c r="BC17" s="142" t="s">
        <v>955</v>
      </c>
      <c r="BD17" s="186" t="s">
        <v>44</v>
      </c>
      <c r="BE17" s="485" t="s">
        <v>780</v>
      </c>
      <c r="BF17" s="190" t="s">
        <v>959</v>
      </c>
      <c r="BG17" s="192" t="s">
        <v>42</v>
      </c>
      <c r="BH17" s="189" t="s">
        <v>1177</v>
      </c>
      <c r="BI17" s="511" t="s">
        <v>41</v>
      </c>
      <c r="BJ17" s="189" t="s">
        <v>50</v>
      </c>
    </row>
    <row r="18" spans="1:62" s="72" customFormat="1" ht="12" customHeight="1" x14ac:dyDescent="0.2">
      <c r="A18" s="431" t="s">
        <v>787</v>
      </c>
      <c r="B18" s="76">
        <v>0</v>
      </c>
      <c r="C18" s="183" t="s">
        <v>41</v>
      </c>
      <c r="D18" s="76">
        <f>(10765000/'Table 1 Results'!B7)*(6770000/10574000)*0.262*0.16</f>
        <v>9.1437654228043296E-3</v>
      </c>
      <c r="E18" s="198" t="s">
        <v>37</v>
      </c>
      <c r="F18" s="197" t="s">
        <v>41</v>
      </c>
      <c r="G18" s="197" t="s">
        <v>41</v>
      </c>
      <c r="H18" s="197" t="s">
        <v>41</v>
      </c>
      <c r="I18" s="198" t="s">
        <v>41</v>
      </c>
      <c r="J18" s="197" t="s">
        <v>41</v>
      </c>
      <c r="K18" s="197" t="s">
        <v>41</v>
      </c>
      <c r="L18" s="197" t="s">
        <v>41</v>
      </c>
      <c r="M18" s="197" t="s">
        <v>41</v>
      </c>
      <c r="N18" s="520" t="s">
        <v>41</v>
      </c>
      <c r="O18" s="184" t="s">
        <v>41</v>
      </c>
      <c r="P18" s="187">
        <f>D18</f>
        <v>9.1437654228043296E-3</v>
      </c>
      <c r="Q18" s="491" t="s">
        <v>41</v>
      </c>
      <c r="R18" s="197" t="s">
        <v>41</v>
      </c>
      <c r="S18" s="491" t="s">
        <v>41</v>
      </c>
      <c r="T18" s="198" t="s">
        <v>41</v>
      </c>
      <c r="U18" s="197" t="s">
        <v>41</v>
      </c>
      <c r="V18" s="197" t="s">
        <v>41</v>
      </c>
      <c r="W18" s="197" t="s">
        <v>41</v>
      </c>
      <c r="X18" s="198" t="s">
        <v>41</v>
      </c>
      <c r="Y18" s="197" t="s">
        <v>41</v>
      </c>
      <c r="Z18" s="197" t="s">
        <v>41</v>
      </c>
      <c r="AA18" s="197" t="s">
        <v>41</v>
      </c>
      <c r="AB18" s="197" t="s">
        <v>41</v>
      </c>
      <c r="AC18" s="520" t="s">
        <v>41</v>
      </c>
      <c r="AD18" s="184" t="s">
        <v>41</v>
      </c>
      <c r="AE18" s="187" t="s">
        <v>41</v>
      </c>
      <c r="AF18" s="89" t="s">
        <v>1176</v>
      </c>
      <c r="AG18" s="186" t="s">
        <v>46</v>
      </c>
      <c r="AH18" s="190" t="s">
        <v>531</v>
      </c>
      <c r="AI18" s="185" t="s">
        <v>812</v>
      </c>
      <c r="AJ18" s="197" t="s">
        <v>954</v>
      </c>
      <c r="AK18" s="193" t="s">
        <v>41</v>
      </c>
      <c r="AL18" s="193" t="s">
        <v>779</v>
      </c>
      <c r="AM18" s="180" t="s">
        <v>40</v>
      </c>
      <c r="AN18" s="193" t="s">
        <v>39</v>
      </c>
      <c r="AO18" s="193" t="s">
        <v>37</v>
      </c>
      <c r="AP18" s="180" t="s">
        <v>37</v>
      </c>
      <c r="AQ18" s="181" t="s">
        <v>37</v>
      </c>
      <c r="AR18" s="452" t="s">
        <v>37</v>
      </c>
      <c r="AS18" s="142" t="s">
        <v>957</v>
      </c>
      <c r="AT18" s="188" t="s">
        <v>42</v>
      </c>
      <c r="AU18" s="188" t="s">
        <v>987</v>
      </c>
      <c r="AV18" s="142" t="s">
        <v>973</v>
      </c>
      <c r="AW18" s="188" t="s">
        <v>43</v>
      </c>
      <c r="AX18" s="188" t="s">
        <v>39</v>
      </c>
      <c r="AY18" s="188" t="s">
        <v>43</v>
      </c>
      <c r="AZ18" s="188" t="s">
        <v>43</v>
      </c>
      <c r="BA18" s="188" t="s">
        <v>43</v>
      </c>
      <c r="BB18" s="511" t="s">
        <v>956</v>
      </c>
      <c r="BC18" s="142" t="s">
        <v>955</v>
      </c>
      <c r="BD18" s="186" t="s">
        <v>44</v>
      </c>
      <c r="BE18" s="485" t="s">
        <v>780</v>
      </c>
      <c r="BF18" s="190" t="s">
        <v>959</v>
      </c>
      <c r="BG18" s="192" t="s">
        <v>42</v>
      </c>
      <c r="BH18" s="189" t="s">
        <v>1177</v>
      </c>
      <c r="BI18" s="511" t="s">
        <v>41</v>
      </c>
      <c r="BJ18" s="189" t="s">
        <v>50</v>
      </c>
    </row>
    <row r="19" spans="1:62" s="72" customFormat="1" ht="12" customHeight="1" x14ac:dyDescent="0.2">
      <c r="A19" s="431" t="s">
        <v>953</v>
      </c>
      <c r="B19" s="76">
        <v>0</v>
      </c>
      <c r="C19" s="183" t="s">
        <v>41</v>
      </c>
      <c r="D19" s="76">
        <f>(10765000/'Table 1 Results'!B7)*(6770000/10574000)*0.262*0.03</f>
        <v>1.7144560167758115E-3</v>
      </c>
      <c r="E19" s="198" t="s">
        <v>37</v>
      </c>
      <c r="F19" s="197" t="s">
        <v>41</v>
      </c>
      <c r="G19" s="197" t="s">
        <v>41</v>
      </c>
      <c r="H19" s="197" t="s">
        <v>41</v>
      </c>
      <c r="I19" s="198" t="s">
        <v>41</v>
      </c>
      <c r="J19" s="197" t="s">
        <v>41</v>
      </c>
      <c r="K19" s="197" t="s">
        <v>41</v>
      </c>
      <c r="L19" s="197" t="s">
        <v>41</v>
      </c>
      <c r="M19" s="197" t="s">
        <v>41</v>
      </c>
      <c r="N19" s="520" t="s">
        <v>41</v>
      </c>
      <c r="O19" s="184" t="s">
        <v>41</v>
      </c>
      <c r="P19" s="187">
        <f>D19</f>
        <v>1.7144560167758115E-3</v>
      </c>
      <c r="Q19" s="491" t="s">
        <v>41</v>
      </c>
      <c r="R19" s="197" t="s">
        <v>41</v>
      </c>
      <c r="S19" s="491" t="s">
        <v>41</v>
      </c>
      <c r="T19" s="198" t="s">
        <v>41</v>
      </c>
      <c r="U19" s="197" t="s">
        <v>41</v>
      </c>
      <c r="V19" s="197" t="s">
        <v>41</v>
      </c>
      <c r="W19" s="197" t="s">
        <v>41</v>
      </c>
      <c r="X19" s="198" t="s">
        <v>41</v>
      </c>
      <c r="Y19" s="197" t="s">
        <v>41</v>
      </c>
      <c r="Z19" s="197" t="s">
        <v>41</v>
      </c>
      <c r="AA19" s="197" t="s">
        <v>41</v>
      </c>
      <c r="AB19" s="197" t="s">
        <v>41</v>
      </c>
      <c r="AC19" s="520" t="s">
        <v>41</v>
      </c>
      <c r="AD19" s="184" t="s">
        <v>41</v>
      </c>
      <c r="AE19" s="187" t="s">
        <v>41</v>
      </c>
      <c r="AF19" s="89" t="s">
        <v>1176</v>
      </c>
      <c r="AG19" s="186" t="s">
        <v>46</v>
      </c>
      <c r="AH19" s="190" t="s">
        <v>531</v>
      </c>
      <c r="AI19" s="185" t="s">
        <v>812</v>
      </c>
      <c r="AJ19" s="197" t="s">
        <v>954</v>
      </c>
      <c r="AK19" s="193" t="s">
        <v>41</v>
      </c>
      <c r="AL19" s="193" t="s">
        <v>779</v>
      </c>
      <c r="AM19" s="180" t="s">
        <v>40</v>
      </c>
      <c r="AN19" s="193" t="s">
        <v>39</v>
      </c>
      <c r="AO19" s="193" t="s">
        <v>37</v>
      </c>
      <c r="AP19" s="180" t="s">
        <v>37</v>
      </c>
      <c r="AQ19" s="181" t="s">
        <v>37</v>
      </c>
      <c r="AR19" s="452" t="s">
        <v>37</v>
      </c>
      <c r="AS19" s="142" t="s">
        <v>957</v>
      </c>
      <c r="AT19" s="188" t="s">
        <v>42</v>
      </c>
      <c r="AU19" s="188" t="s">
        <v>987</v>
      </c>
      <c r="AV19" s="142" t="s">
        <v>973</v>
      </c>
      <c r="AW19" s="188" t="s">
        <v>43</v>
      </c>
      <c r="AX19" s="188" t="s">
        <v>39</v>
      </c>
      <c r="AY19" s="188" t="s">
        <v>43</v>
      </c>
      <c r="AZ19" s="188" t="s">
        <v>43</v>
      </c>
      <c r="BA19" s="188" t="s">
        <v>43</v>
      </c>
      <c r="BB19" s="511" t="s">
        <v>956</v>
      </c>
      <c r="BC19" s="142" t="s">
        <v>955</v>
      </c>
      <c r="BD19" s="186" t="s">
        <v>44</v>
      </c>
      <c r="BE19" s="485" t="s">
        <v>780</v>
      </c>
      <c r="BF19" s="190" t="s">
        <v>959</v>
      </c>
      <c r="BG19" s="192" t="s">
        <v>42</v>
      </c>
      <c r="BH19" s="189" t="s">
        <v>1177</v>
      </c>
      <c r="BI19" s="511" t="s">
        <v>41</v>
      </c>
      <c r="BJ19" s="189" t="s">
        <v>50</v>
      </c>
    </row>
    <row r="20" spans="1:62" s="72" customFormat="1" ht="12" customHeight="1" x14ac:dyDescent="0.2">
      <c r="A20" s="444" t="s">
        <v>538</v>
      </c>
      <c r="B20" s="76"/>
      <c r="C20" s="122"/>
      <c r="D20" s="76"/>
      <c r="E20" s="123"/>
      <c r="F20" s="122"/>
      <c r="G20" s="122"/>
      <c r="H20" s="122"/>
      <c r="I20" s="123"/>
      <c r="J20" s="122"/>
      <c r="K20" s="122"/>
      <c r="L20" s="122"/>
      <c r="M20" s="122"/>
      <c r="N20" s="520"/>
      <c r="O20" s="184"/>
      <c r="P20" s="187"/>
      <c r="Q20" s="76"/>
      <c r="R20" s="122"/>
      <c r="S20" s="76"/>
      <c r="T20" s="123"/>
      <c r="U20" s="122"/>
      <c r="V20" s="122"/>
      <c r="W20" s="122"/>
      <c r="X20" s="123"/>
      <c r="Y20" s="122"/>
      <c r="Z20" s="122"/>
      <c r="AA20" s="122"/>
      <c r="AB20" s="122"/>
      <c r="AC20" s="520"/>
      <c r="AD20" s="184"/>
      <c r="AE20" s="187"/>
      <c r="AF20" s="89"/>
      <c r="AG20" s="186"/>
      <c r="AH20" s="186"/>
      <c r="AI20" s="186"/>
      <c r="AJ20" s="186"/>
      <c r="AK20" s="186"/>
      <c r="AL20" s="186"/>
      <c r="AM20" s="186"/>
      <c r="AN20" s="186"/>
      <c r="AO20" s="186"/>
      <c r="AP20" s="186"/>
      <c r="AQ20" s="186"/>
      <c r="AR20" s="87"/>
      <c r="AS20" s="514"/>
      <c r="AT20" s="186"/>
      <c r="AU20" s="514"/>
      <c r="AV20" s="514"/>
      <c r="AW20" s="20"/>
      <c r="AX20" s="20"/>
      <c r="AY20" s="20"/>
      <c r="AZ20" s="20"/>
      <c r="BA20" s="20"/>
      <c r="BB20" s="87"/>
      <c r="BC20" s="185"/>
      <c r="BD20" s="186"/>
      <c r="BE20" s="186"/>
      <c r="BF20" s="186"/>
      <c r="BG20" s="186"/>
      <c r="BH20" s="186"/>
      <c r="BI20" s="87"/>
      <c r="BJ20" s="189" t="s">
        <v>50</v>
      </c>
    </row>
    <row r="21" spans="1:62" s="72" customFormat="1" ht="12" customHeight="1" x14ac:dyDescent="0.2">
      <c r="A21" s="82" t="s">
        <v>790</v>
      </c>
      <c r="B21" s="76"/>
      <c r="C21" s="122"/>
      <c r="D21" s="76"/>
      <c r="E21" s="123"/>
      <c r="F21" s="122"/>
      <c r="G21" s="122"/>
      <c r="H21" s="122"/>
      <c r="I21" s="123"/>
      <c r="J21" s="122"/>
      <c r="K21" s="122"/>
      <c r="L21" s="122"/>
      <c r="M21" s="122"/>
      <c r="N21" s="520"/>
      <c r="O21" s="184"/>
      <c r="P21" s="187"/>
      <c r="Q21" s="76"/>
      <c r="R21" s="122"/>
      <c r="S21" s="76"/>
      <c r="T21" s="123"/>
      <c r="U21" s="122"/>
      <c r="V21" s="122"/>
      <c r="W21" s="122"/>
      <c r="X21" s="123"/>
      <c r="Y21" s="122"/>
      <c r="Z21" s="122"/>
      <c r="AA21" s="122"/>
      <c r="AB21" s="122"/>
      <c r="AC21" s="520"/>
      <c r="AD21" s="184"/>
      <c r="AE21" s="187"/>
      <c r="AF21" s="89"/>
      <c r="AG21" s="186"/>
      <c r="AH21" s="186"/>
      <c r="AI21" s="186"/>
      <c r="AJ21" s="186"/>
      <c r="AK21" s="186"/>
      <c r="AL21" s="186"/>
      <c r="AM21" s="186"/>
      <c r="AN21" s="186"/>
      <c r="AO21" s="186"/>
      <c r="AP21" s="186"/>
      <c r="AQ21" s="186"/>
      <c r="AR21" s="87"/>
      <c r="AS21" s="514"/>
      <c r="AT21" s="186"/>
      <c r="AU21" s="514"/>
      <c r="AV21" s="514"/>
      <c r="AW21" s="20"/>
      <c r="AX21" s="20"/>
      <c r="AY21" s="20"/>
      <c r="AZ21" s="20"/>
      <c r="BA21" s="20"/>
      <c r="BB21" s="87"/>
      <c r="BC21" s="185"/>
      <c r="BD21" s="186"/>
      <c r="BE21" s="186"/>
      <c r="BF21" s="186"/>
      <c r="BG21" s="186"/>
      <c r="BH21" s="186"/>
      <c r="BI21" s="87"/>
      <c r="BJ21" s="189" t="s">
        <v>50</v>
      </c>
    </row>
    <row r="22" spans="1:62" s="30" customFormat="1" ht="12" customHeight="1" x14ac:dyDescent="0.2">
      <c r="A22" s="432" t="s">
        <v>899</v>
      </c>
      <c r="B22" s="76">
        <v>0.16800000000000001</v>
      </c>
      <c r="C22" s="122">
        <v>1.54E-2</v>
      </c>
      <c r="D22" s="76">
        <v>0.30399999999999999</v>
      </c>
      <c r="E22" s="123">
        <v>4.2999999999999997E-2</v>
      </c>
      <c r="F22" s="122">
        <v>1.73</v>
      </c>
      <c r="G22" s="122" t="s">
        <v>37</v>
      </c>
      <c r="H22" s="122">
        <v>2.06</v>
      </c>
      <c r="I22" s="123">
        <v>2.83</v>
      </c>
      <c r="J22" s="122" t="s">
        <v>37</v>
      </c>
      <c r="K22" s="122" t="s">
        <v>37</v>
      </c>
      <c r="L22" s="122" t="s">
        <v>37</v>
      </c>
      <c r="M22" s="122" t="s">
        <v>37</v>
      </c>
      <c r="N22" s="521">
        <f>IF(OR(J22="NR", J22="NA"),(F22/((1-B22)+(B22*F22))),J22)</f>
        <v>1.5410104753082019</v>
      </c>
      <c r="O22" s="194">
        <f t="shared" ref="O22:O23" si="0">N22*B22</f>
        <v>0.25888975985177792</v>
      </c>
      <c r="P22" s="200">
        <f t="shared" ref="P22:P23" si="1">O22-B22</f>
        <v>9.0889759851777913E-2</v>
      </c>
      <c r="Q22" s="76">
        <v>9.5000000000000001E-2</v>
      </c>
      <c r="R22" s="122">
        <v>1.24E-2</v>
      </c>
      <c r="S22" s="76">
        <v>0.13600000000000001</v>
      </c>
      <c r="T22" s="123">
        <v>2.7400000000000001E-2</v>
      </c>
      <c r="U22" s="122">
        <v>1.38</v>
      </c>
      <c r="V22" s="122" t="s">
        <v>37</v>
      </c>
      <c r="W22" s="122">
        <v>0.81</v>
      </c>
      <c r="X22" s="123">
        <v>2.35</v>
      </c>
      <c r="Y22" s="122" t="s">
        <v>37</v>
      </c>
      <c r="Z22" s="122" t="s">
        <v>792</v>
      </c>
      <c r="AA22" s="122" t="s">
        <v>792</v>
      </c>
      <c r="AB22" s="122" t="s">
        <v>792</v>
      </c>
      <c r="AC22" s="521">
        <v>0</v>
      </c>
      <c r="AD22" s="194">
        <v>0</v>
      </c>
      <c r="AE22" s="200">
        <v>0</v>
      </c>
      <c r="AF22" s="89" t="s">
        <v>791</v>
      </c>
      <c r="AG22" s="186" t="s">
        <v>46</v>
      </c>
      <c r="AH22" s="190" t="s">
        <v>531</v>
      </c>
      <c r="AI22" s="30" t="s">
        <v>964</v>
      </c>
      <c r="AJ22" s="186" t="s">
        <v>53</v>
      </c>
      <c r="AK22" s="186" t="s">
        <v>909</v>
      </c>
      <c r="AL22" s="193" t="s">
        <v>779</v>
      </c>
      <c r="AM22" s="186" t="s">
        <v>47</v>
      </c>
      <c r="AN22" s="186" t="s">
        <v>39</v>
      </c>
      <c r="AO22" s="186" t="s">
        <v>54</v>
      </c>
      <c r="AP22" s="88">
        <v>2254</v>
      </c>
      <c r="AQ22" s="193" t="s">
        <v>949</v>
      </c>
      <c r="AR22" s="87" t="s">
        <v>37</v>
      </c>
      <c r="AS22" s="97" t="s">
        <v>966</v>
      </c>
      <c r="AT22" s="185" t="s">
        <v>55</v>
      </c>
      <c r="AU22" s="185" t="s">
        <v>988</v>
      </c>
      <c r="AV22" s="189" t="s">
        <v>974</v>
      </c>
      <c r="AW22" s="186" t="s">
        <v>39</v>
      </c>
      <c r="AX22" s="186" t="s">
        <v>43</v>
      </c>
      <c r="AY22" s="186" t="s">
        <v>43</v>
      </c>
      <c r="AZ22" s="186" t="s">
        <v>39</v>
      </c>
      <c r="BA22" s="186" t="s">
        <v>43</v>
      </c>
      <c r="BB22" s="89" t="s">
        <v>939</v>
      </c>
      <c r="BC22" s="185" t="s">
        <v>937</v>
      </c>
      <c r="BD22" s="186" t="s">
        <v>51</v>
      </c>
      <c r="BE22" s="470" t="s">
        <v>56</v>
      </c>
      <c r="BF22" s="470" t="s">
        <v>936</v>
      </c>
      <c r="BG22" s="186" t="s">
        <v>48</v>
      </c>
      <c r="BH22" s="30" t="s">
        <v>921</v>
      </c>
      <c r="BI22" s="79" t="s">
        <v>981</v>
      </c>
      <c r="BJ22" s="189" t="s">
        <v>50</v>
      </c>
    </row>
    <row r="23" spans="1:62" s="30" customFormat="1" ht="12" customHeight="1" x14ac:dyDescent="0.2">
      <c r="A23" s="432" t="s">
        <v>88</v>
      </c>
      <c r="B23" s="76">
        <v>0.312</v>
      </c>
      <c r="C23" s="122" t="s">
        <v>37</v>
      </c>
      <c r="D23" s="76">
        <v>0.5</v>
      </c>
      <c r="E23" s="123" t="s">
        <v>37</v>
      </c>
      <c r="F23" s="122">
        <v>1.92</v>
      </c>
      <c r="G23" s="122" t="s">
        <v>37</v>
      </c>
      <c r="H23" s="122">
        <v>1.22</v>
      </c>
      <c r="I23" s="123">
        <v>3</v>
      </c>
      <c r="J23" s="122" t="s">
        <v>37</v>
      </c>
      <c r="K23" s="122" t="s">
        <v>37</v>
      </c>
      <c r="L23" s="122" t="s">
        <v>37</v>
      </c>
      <c r="M23" s="122" t="s">
        <v>37</v>
      </c>
      <c r="N23" s="521">
        <f>IF(OR(J23="NR", J23="NA"),(F23/((1-B23)+(B23*F23))),J23)</f>
        <v>1.4917951268025857</v>
      </c>
      <c r="O23" s="194">
        <f t="shared" si="0"/>
        <v>0.46544007956240674</v>
      </c>
      <c r="P23" s="200">
        <f t="shared" si="1"/>
        <v>0.15344007956240674</v>
      </c>
      <c r="Q23" s="76">
        <v>0.158</v>
      </c>
      <c r="R23" s="122" t="s">
        <v>37</v>
      </c>
      <c r="S23" s="76">
        <v>0.30399999999999999</v>
      </c>
      <c r="T23" s="123" t="s">
        <v>37</v>
      </c>
      <c r="U23" s="122">
        <v>2.08</v>
      </c>
      <c r="V23" s="122" t="s">
        <v>37</v>
      </c>
      <c r="W23" s="122">
        <v>0.8</v>
      </c>
      <c r="X23" s="123">
        <v>5.41</v>
      </c>
      <c r="Y23" s="122" t="s">
        <v>37</v>
      </c>
      <c r="Z23" s="122" t="s">
        <v>792</v>
      </c>
      <c r="AA23" s="122" t="s">
        <v>792</v>
      </c>
      <c r="AB23" s="122" t="s">
        <v>792</v>
      </c>
      <c r="AC23" s="521">
        <v>0</v>
      </c>
      <c r="AD23" s="194">
        <v>0</v>
      </c>
      <c r="AE23" s="200">
        <v>0</v>
      </c>
      <c r="AF23" s="89" t="s">
        <v>90</v>
      </c>
      <c r="AG23" s="186" t="s">
        <v>46</v>
      </c>
      <c r="AH23" s="185" t="s">
        <v>945</v>
      </c>
      <c r="AI23" s="185" t="s">
        <v>960</v>
      </c>
      <c r="AJ23" s="185" t="s">
        <v>91</v>
      </c>
      <c r="AK23" s="186" t="s">
        <v>909</v>
      </c>
      <c r="AL23" s="472" t="s">
        <v>941</v>
      </c>
      <c r="AM23" s="186" t="s">
        <v>47</v>
      </c>
      <c r="AN23" s="186" t="s">
        <v>39</v>
      </c>
      <c r="AO23" s="189" t="s">
        <v>943</v>
      </c>
      <c r="AP23" s="88">
        <v>1516</v>
      </c>
      <c r="AQ23" s="193" t="s">
        <v>961</v>
      </c>
      <c r="AR23" s="511" t="s">
        <v>963</v>
      </c>
      <c r="AS23" s="185" t="s">
        <v>965</v>
      </c>
      <c r="AT23" s="185" t="s">
        <v>925</v>
      </c>
      <c r="AU23" s="193" t="s">
        <v>989</v>
      </c>
      <c r="AV23" s="189" t="s">
        <v>975</v>
      </c>
      <c r="AW23" s="186" t="s">
        <v>39</v>
      </c>
      <c r="AX23" s="186" t="s">
        <v>39</v>
      </c>
      <c r="AY23" s="186" t="s">
        <v>43</v>
      </c>
      <c r="AZ23" s="186" t="s">
        <v>43</v>
      </c>
      <c r="BA23" s="186" t="s">
        <v>43</v>
      </c>
      <c r="BB23" s="203" t="s">
        <v>962</v>
      </c>
      <c r="BC23" s="185" t="s">
        <v>934</v>
      </c>
      <c r="BD23" s="186" t="s">
        <v>44</v>
      </c>
      <c r="BE23" s="185" t="s">
        <v>935</v>
      </c>
      <c r="BF23" s="185" t="s">
        <v>933</v>
      </c>
      <c r="BG23" s="186" t="s">
        <v>37</v>
      </c>
      <c r="BH23" s="30" t="s">
        <v>921</v>
      </c>
      <c r="BI23" s="89" t="s">
        <v>92</v>
      </c>
      <c r="BJ23" s="189" t="s">
        <v>50</v>
      </c>
    </row>
    <row r="24" spans="1:62" s="30" customFormat="1" ht="12" customHeight="1" x14ac:dyDescent="0.2">
      <c r="A24" s="82" t="s">
        <v>797</v>
      </c>
      <c r="B24" s="76"/>
      <c r="C24" s="122"/>
      <c r="D24" s="76"/>
      <c r="E24" s="123"/>
      <c r="F24" s="122"/>
      <c r="G24" s="122"/>
      <c r="H24" s="122"/>
      <c r="I24" s="123"/>
      <c r="J24" s="122"/>
      <c r="K24" s="122"/>
      <c r="L24" s="122"/>
      <c r="M24" s="122"/>
      <c r="N24" s="521"/>
      <c r="O24" s="184"/>
      <c r="P24" s="54"/>
      <c r="Q24" s="76"/>
      <c r="R24" s="122"/>
      <c r="S24" s="76"/>
      <c r="T24" s="123"/>
      <c r="U24" s="122"/>
      <c r="V24" s="122"/>
      <c r="W24" s="122"/>
      <c r="X24" s="123"/>
      <c r="Y24" s="122"/>
      <c r="Z24" s="122"/>
      <c r="AA24" s="122"/>
      <c r="AB24" s="122"/>
      <c r="AC24" s="521"/>
      <c r="AD24" s="184"/>
      <c r="AE24" s="54"/>
      <c r="AF24" s="89"/>
      <c r="AG24" s="186"/>
      <c r="AH24" s="185"/>
      <c r="AJ24" s="186"/>
      <c r="AK24" s="185"/>
      <c r="AL24" s="185"/>
      <c r="AM24" s="186"/>
      <c r="AN24" s="186"/>
      <c r="AO24" s="101"/>
      <c r="AP24" s="88"/>
      <c r="AQ24" s="102"/>
      <c r="AR24" s="103"/>
      <c r="AS24" s="514"/>
      <c r="AT24" s="186"/>
      <c r="AU24" s="185"/>
      <c r="AV24" s="186"/>
      <c r="AW24" s="186"/>
      <c r="AX24" s="186"/>
      <c r="AY24" s="186"/>
      <c r="AZ24" s="186"/>
      <c r="BA24" s="186"/>
      <c r="BB24" s="87"/>
      <c r="BC24" s="185"/>
      <c r="BD24" s="186"/>
      <c r="BE24" s="186"/>
      <c r="BG24" s="514"/>
      <c r="BI24" s="79"/>
      <c r="BJ24" s="189" t="s">
        <v>50</v>
      </c>
    </row>
    <row r="25" spans="1:62" s="30" customFormat="1" ht="12" customHeight="1" x14ac:dyDescent="0.2">
      <c r="A25" s="432" t="s">
        <v>57</v>
      </c>
      <c r="B25" s="76">
        <v>8.4000000000000005E-2</v>
      </c>
      <c r="C25" s="122" t="s">
        <v>37</v>
      </c>
      <c r="D25" s="76">
        <v>0.14499999999999999</v>
      </c>
      <c r="E25" s="123" t="s">
        <v>37</v>
      </c>
      <c r="F25" s="122">
        <v>1.39</v>
      </c>
      <c r="G25" s="122" t="s">
        <v>37</v>
      </c>
      <c r="H25" s="122">
        <v>1.18</v>
      </c>
      <c r="I25" s="123">
        <v>1.64</v>
      </c>
      <c r="J25" s="122" t="s">
        <v>37</v>
      </c>
      <c r="K25" s="122" t="s">
        <v>37</v>
      </c>
      <c r="L25" s="122" t="s">
        <v>37</v>
      </c>
      <c r="M25" s="122" t="s">
        <v>37</v>
      </c>
      <c r="N25" s="521">
        <f>IF(OR(J25="NR", J25="NA"),(F25/((1-B25)+(B25*F25))),J25)</f>
        <v>1.3459080522096127</v>
      </c>
      <c r="O25" s="194">
        <f t="shared" ref="O25:O26" si="2">N25*B25</f>
        <v>0.11305627638560747</v>
      </c>
      <c r="P25" s="200">
        <f t="shared" ref="P25:P26" si="3">O25-B25</f>
        <v>2.9056276385607469E-2</v>
      </c>
      <c r="Q25" s="76">
        <v>0.22800000000000001</v>
      </c>
      <c r="R25" s="122" t="s">
        <v>37</v>
      </c>
      <c r="S25" s="76">
        <v>0.36299999999999999</v>
      </c>
      <c r="T25" s="123" t="s">
        <v>37</v>
      </c>
      <c r="U25" s="122">
        <v>1.46</v>
      </c>
      <c r="V25" s="122" t="s">
        <v>37</v>
      </c>
      <c r="W25" s="122">
        <v>1.25</v>
      </c>
      <c r="X25" s="123">
        <v>1.71</v>
      </c>
      <c r="Y25" s="122" t="s">
        <v>37</v>
      </c>
      <c r="Z25" s="122" t="s">
        <v>37</v>
      </c>
      <c r="AA25" s="122" t="s">
        <v>37</v>
      </c>
      <c r="AB25" s="122" t="s">
        <v>37</v>
      </c>
      <c r="AC25" s="521">
        <f>IF(OR(Y25="NR", Y25="NA"),(U25/((1-Q25)+(Q25*U25))),Y25)</f>
        <v>1.3214104699152849</v>
      </c>
      <c r="AD25" s="194">
        <f t="shared" ref="AD25:AD26" si="4">AC25*Q25</f>
        <v>0.30128158714068498</v>
      </c>
      <c r="AE25" s="200">
        <f t="shared" ref="AE25:AE26" si="5">AD25-Q25</f>
        <v>7.3281587140684973E-2</v>
      </c>
      <c r="AF25" s="89" t="s">
        <v>118</v>
      </c>
      <c r="AG25" s="186" t="s">
        <v>46</v>
      </c>
      <c r="AH25" s="190" t="s">
        <v>531</v>
      </c>
      <c r="AI25" s="185" t="s">
        <v>923</v>
      </c>
      <c r="AJ25" s="186">
        <v>2005</v>
      </c>
      <c r="AK25" s="186" t="s">
        <v>909</v>
      </c>
      <c r="AL25" s="193" t="s">
        <v>779</v>
      </c>
      <c r="AM25" s="186" t="s">
        <v>47</v>
      </c>
      <c r="AN25" s="186" t="s">
        <v>39</v>
      </c>
      <c r="AO25" s="186" t="s">
        <v>37</v>
      </c>
      <c r="AP25" s="88">
        <v>70156</v>
      </c>
      <c r="AQ25" s="193" t="s">
        <v>950</v>
      </c>
      <c r="AR25" s="87" t="s">
        <v>37</v>
      </c>
      <c r="AS25" s="97" t="s">
        <v>982</v>
      </c>
      <c r="AT25" s="186" t="s">
        <v>42</v>
      </c>
      <c r="AU25" s="30" t="s">
        <v>985</v>
      </c>
      <c r="AV25" s="189" t="s">
        <v>976</v>
      </c>
      <c r="AW25" s="186" t="s">
        <v>39</v>
      </c>
      <c r="AX25" s="186" t="s">
        <v>39</v>
      </c>
      <c r="AY25" s="186" t="s">
        <v>43</v>
      </c>
      <c r="AZ25" s="186" t="s">
        <v>39</v>
      </c>
      <c r="BA25" s="186" t="s">
        <v>39</v>
      </c>
      <c r="BB25" s="87" t="s">
        <v>41</v>
      </c>
      <c r="BC25" s="185" t="s">
        <v>998</v>
      </c>
      <c r="BD25" s="186" t="s">
        <v>44</v>
      </c>
      <c r="BE25" s="185" t="s">
        <v>932</v>
      </c>
      <c r="BF25" s="185" t="s">
        <v>930</v>
      </c>
      <c r="BG25" s="186" t="s">
        <v>119</v>
      </c>
      <c r="BH25" s="30" t="s">
        <v>921</v>
      </c>
      <c r="BI25" s="467" t="s">
        <v>918</v>
      </c>
      <c r="BJ25" s="189" t="s">
        <v>50</v>
      </c>
    </row>
    <row r="26" spans="1:62" s="30" customFormat="1" ht="12" customHeight="1" x14ac:dyDescent="0.2">
      <c r="A26" s="432" t="s">
        <v>109</v>
      </c>
      <c r="B26" s="76">
        <v>7.0000000000000001E-3</v>
      </c>
      <c r="C26" s="122" t="s">
        <v>37</v>
      </c>
      <c r="D26" s="76">
        <v>0.56999999999999995</v>
      </c>
      <c r="E26" s="123" t="s">
        <v>37</v>
      </c>
      <c r="F26" s="122">
        <v>2.2599999999999998</v>
      </c>
      <c r="G26" s="122" t="s">
        <v>37</v>
      </c>
      <c r="H26" s="122">
        <v>1.19</v>
      </c>
      <c r="I26" s="123">
        <v>4.3099999999999996</v>
      </c>
      <c r="J26" s="122" t="s">
        <v>37</v>
      </c>
      <c r="K26" s="122" t="s">
        <v>37</v>
      </c>
      <c r="L26" s="122" t="s">
        <v>37</v>
      </c>
      <c r="M26" s="122" t="s">
        <v>37</v>
      </c>
      <c r="N26" s="521">
        <f>IF(OR(J26="NR", J26="NA"),(F26/((1-B26)+(B26*F26))),J26)</f>
        <v>2.2402410737297038</v>
      </c>
      <c r="O26" s="194">
        <f t="shared" si="2"/>
        <v>1.5681687516107927E-2</v>
      </c>
      <c r="P26" s="200">
        <f t="shared" si="3"/>
        <v>8.6816875161079277E-3</v>
      </c>
      <c r="Q26" s="76">
        <v>1.7999999999999999E-2</v>
      </c>
      <c r="R26" s="122" t="s">
        <v>37</v>
      </c>
      <c r="S26" s="76">
        <v>9.0999999999999998E-2</v>
      </c>
      <c r="T26" s="123" t="s">
        <v>37</v>
      </c>
      <c r="U26" s="122">
        <v>2.4900000000000002</v>
      </c>
      <c r="V26" s="122" t="s">
        <v>37</v>
      </c>
      <c r="W26" s="122">
        <v>1.57</v>
      </c>
      <c r="X26" s="123">
        <v>3.95</v>
      </c>
      <c r="Y26" s="122" t="s">
        <v>37</v>
      </c>
      <c r="Z26" s="122" t="s">
        <v>792</v>
      </c>
      <c r="AA26" s="122" t="s">
        <v>792</v>
      </c>
      <c r="AB26" s="122" t="s">
        <v>792</v>
      </c>
      <c r="AC26" s="521">
        <f>IF(OR(Y26="NR", Y26="NA"),(U26/((1-Q26)+(Q26*U26))),Y26)</f>
        <v>2.424962505599813</v>
      </c>
      <c r="AD26" s="194">
        <f t="shared" si="4"/>
        <v>4.3649325100796631E-2</v>
      </c>
      <c r="AE26" s="200">
        <f t="shared" si="5"/>
        <v>2.5649325100796632E-2</v>
      </c>
      <c r="AF26" s="89" t="s">
        <v>999</v>
      </c>
      <c r="AG26" s="186" t="s">
        <v>46</v>
      </c>
      <c r="AH26" s="190" t="s">
        <v>531</v>
      </c>
      <c r="AI26" s="30" t="s">
        <v>1007</v>
      </c>
      <c r="AJ26" s="186" t="s">
        <v>1008</v>
      </c>
      <c r="AK26" s="186" t="s">
        <v>909</v>
      </c>
      <c r="AL26" s="193" t="s">
        <v>779</v>
      </c>
      <c r="AM26" s="186" t="s">
        <v>47</v>
      </c>
      <c r="AN26" s="186" t="s">
        <v>39</v>
      </c>
      <c r="AO26" s="193" t="s">
        <v>1011</v>
      </c>
      <c r="AP26" s="88">
        <v>25778</v>
      </c>
      <c r="AQ26" s="193" t="s">
        <v>1010</v>
      </c>
      <c r="AR26" s="87" t="s">
        <v>37</v>
      </c>
      <c r="AS26" s="97" t="s">
        <v>1006</v>
      </c>
      <c r="AT26" s="186" t="s">
        <v>48</v>
      </c>
      <c r="AU26" s="30" t="s">
        <v>1009</v>
      </c>
      <c r="AV26" s="189" t="s">
        <v>1005</v>
      </c>
      <c r="AW26" s="186" t="s">
        <v>39</v>
      </c>
      <c r="AX26" s="186" t="s">
        <v>39</v>
      </c>
      <c r="AY26" s="186" t="s">
        <v>43</v>
      </c>
      <c r="AZ26" s="186" t="s">
        <v>39</v>
      </c>
      <c r="BA26" s="186" t="s">
        <v>39</v>
      </c>
      <c r="BB26" s="89" t="s">
        <v>1003</v>
      </c>
      <c r="BC26" s="185" t="s">
        <v>1000</v>
      </c>
      <c r="BD26" s="186" t="s">
        <v>51</v>
      </c>
      <c r="BE26" s="470" t="s">
        <v>1002</v>
      </c>
      <c r="BF26" s="470" t="s">
        <v>1001</v>
      </c>
      <c r="BG26" s="186" t="s">
        <v>48</v>
      </c>
      <c r="BH26" s="30" t="s">
        <v>921</v>
      </c>
      <c r="BI26" s="79" t="s">
        <v>1004</v>
      </c>
      <c r="BJ26" s="189" t="s">
        <v>50</v>
      </c>
    </row>
    <row r="27" spans="1:62" s="30" customFormat="1" ht="12" customHeight="1" x14ac:dyDescent="0.2">
      <c r="A27" s="432" t="s">
        <v>113</v>
      </c>
      <c r="B27" s="76">
        <v>0.14899999999999999</v>
      </c>
      <c r="C27" s="122" t="s">
        <v>37</v>
      </c>
      <c r="D27" s="76">
        <v>0.33800000000000002</v>
      </c>
      <c r="E27" s="123" t="s">
        <v>37</v>
      </c>
      <c r="F27" s="122">
        <v>1.96</v>
      </c>
      <c r="G27" s="122" t="s">
        <v>37</v>
      </c>
      <c r="H27" s="122">
        <v>1.73</v>
      </c>
      <c r="I27" s="123">
        <v>2.21</v>
      </c>
      <c r="J27" s="122" t="s">
        <v>37</v>
      </c>
      <c r="K27" s="122" t="s">
        <v>37</v>
      </c>
      <c r="L27" s="122" t="s">
        <v>37</v>
      </c>
      <c r="M27" s="122" t="s">
        <v>37</v>
      </c>
      <c r="N27" s="521">
        <f>IF(OR(J27="NR", J27="NA"),(F27/((1-B27)+(B27*F27))),J27)</f>
        <v>1.7147256438969765</v>
      </c>
      <c r="O27" s="194">
        <f t="shared" ref="O27" si="6">N27*B27</f>
        <v>0.25549412094064949</v>
      </c>
      <c r="P27" s="200">
        <f t="shared" ref="P27" si="7">O27-B27</f>
        <v>0.1064941209406495</v>
      </c>
      <c r="Q27" s="76">
        <v>0.19900000000000001</v>
      </c>
      <c r="R27" s="122" t="s">
        <v>37</v>
      </c>
      <c r="S27" s="76">
        <v>0.36499999999999999</v>
      </c>
      <c r="T27" s="123" t="s">
        <v>37</v>
      </c>
      <c r="U27" s="122">
        <v>1.73</v>
      </c>
      <c r="V27" s="122" t="s">
        <v>37</v>
      </c>
      <c r="W27" s="122">
        <v>1.46</v>
      </c>
      <c r="X27" s="123">
        <v>2.04</v>
      </c>
      <c r="Y27" s="122" t="s">
        <v>37</v>
      </c>
      <c r="Z27" s="122" t="s">
        <v>37</v>
      </c>
      <c r="AA27" s="122" t="s">
        <v>37</v>
      </c>
      <c r="AB27" s="122" t="s">
        <v>37</v>
      </c>
      <c r="AC27" s="521">
        <f>IF(OR(Y27="NR", Y27="NA"),(U27/((1-Q27)+(Q27*U27))),Y27)</f>
        <v>1.5105608284509329</v>
      </c>
      <c r="AD27" s="194">
        <f t="shared" ref="AD27" si="8">AC27*Q27</f>
        <v>0.30060160486173565</v>
      </c>
      <c r="AE27" s="200">
        <f t="shared" ref="AE27" si="9">AD27-Q27</f>
        <v>0.10160160486173564</v>
      </c>
      <c r="AF27" s="89" t="s">
        <v>118</v>
      </c>
      <c r="AG27" s="186" t="s">
        <v>46</v>
      </c>
      <c r="AH27" s="190" t="s">
        <v>531</v>
      </c>
      <c r="AI27" s="185" t="s">
        <v>923</v>
      </c>
      <c r="AJ27" s="186">
        <v>2005</v>
      </c>
      <c r="AK27" s="186" t="s">
        <v>909</v>
      </c>
      <c r="AL27" s="193" t="s">
        <v>779</v>
      </c>
      <c r="AM27" s="186" t="s">
        <v>47</v>
      </c>
      <c r="AN27" s="186" t="s">
        <v>39</v>
      </c>
      <c r="AO27" s="186" t="s">
        <v>37</v>
      </c>
      <c r="AP27" s="88">
        <v>70156</v>
      </c>
      <c r="AQ27" s="193" t="s">
        <v>950</v>
      </c>
      <c r="AR27" s="87" t="s">
        <v>37</v>
      </c>
      <c r="AS27" s="97" t="s">
        <v>982</v>
      </c>
      <c r="AT27" s="186" t="s">
        <v>42</v>
      </c>
      <c r="AU27" s="30" t="s">
        <v>985</v>
      </c>
      <c r="AV27" s="189" t="s">
        <v>976</v>
      </c>
      <c r="AW27" s="186" t="s">
        <v>39</v>
      </c>
      <c r="AX27" s="186" t="s">
        <v>39</v>
      </c>
      <c r="AY27" s="186" t="s">
        <v>43</v>
      </c>
      <c r="AZ27" s="186" t="s">
        <v>39</v>
      </c>
      <c r="BA27" s="186" t="s">
        <v>39</v>
      </c>
      <c r="BB27" s="87" t="s">
        <v>41</v>
      </c>
      <c r="BC27" s="185" t="s">
        <v>929</v>
      </c>
      <c r="BD27" s="186" t="s">
        <v>44</v>
      </c>
      <c r="BE27" s="185" t="s">
        <v>712</v>
      </c>
      <c r="BF27" s="185" t="s">
        <v>931</v>
      </c>
      <c r="BG27" s="186" t="s">
        <v>119</v>
      </c>
      <c r="BH27" s="30" t="s">
        <v>921</v>
      </c>
      <c r="BI27" s="467" t="s">
        <v>918</v>
      </c>
      <c r="BJ27" s="189" t="s">
        <v>50</v>
      </c>
    </row>
    <row r="28" spans="1:62" s="30" customFormat="1" ht="12" customHeight="1" x14ac:dyDescent="0.2">
      <c r="A28" s="82" t="s">
        <v>798</v>
      </c>
      <c r="B28" s="76"/>
      <c r="C28" s="122"/>
      <c r="D28" s="76"/>
      <c r="E28" s="123"/>
      <c r="F28" s="122"/>
      <c r="G28" s="122"/>
      <c r="H28" s="122"/>
      <c r="I28" s="123"/>
      <c r="J28" s="122"/>
      <c r="K28" s="122"/>
      <c r="L28" s="122"/>
      <c r="M28" s="122"/>
      <c r="N28" s="521"/>
      <c r="O28" s="184"/>
      <c r="P28" s="54"/>
      <c r="Q28" s="76"/>
      <c r="R28" s="122"/>
      <c r="S28" s="76"/>
      <c r="T28" s="123"/>
      <c r="U28" s="122"/>
      <c r="V28" s="122"/>
      <c r="W28" s="122"/>
      <c r="X28" s="123"/>
      <c r="Y28" s="122"/>
      <c r="Z28" s="122"/>
      <c r="AA28" s="122"/>
      <c r="AB28" s="122"/>
      <c r="AC28" s="521"/>
      <c r="AD28" s="184"/>
      <c r="AE28" s="54"/>
      <c r="AF28" s="89"/>
      <c r="AG28" s="186"/>
      <c r="AH28" s="185"/>
      <c r="AJ28" s="186"/>
      <c r="AK28" s="185"/>
      <c r="AL28" s="185"/>
      <c r="AM28" s="186"/>
      <c r="AN28" s="186"/>
      <c r="AO28" s="101"/>
      <c r="AP28" s="88"/>
      <c r="AQ28" s="102"/>
      <c r="AR28" s="103"/>
      <c r="AS28" s="514"/>
      <c r="AT28" s="186"/>
      <c r="AU28" s="185"/>
      <c r="AV28" s="186"/>
      <c r="AW28" s="186"/>
      <c r="AX28" s="186"/>
      <c r="AY28" s="186"/>
      <c r="AZ28" s="186"/>
      <c r="BA28" s="186"/>
      <c r="BB28" s="87"/>
      <c r="BC28" s="185"/>
      <c r="BD28" s="186"/>
      <c r="BG28" s="514"/>
      <c r="BI28" s="79"/>
      <c r="BJ28" s="189" t="s">
        <v>50</v>
      </c>
    </row>
    <row r="29" spans="1:62" ht="12" customHeight="1" x14ac:dyDescent="0.2">
      <c r="A29" s="431" t="s">
        <v>122</v>
      </c>
      <c r="B29" s="76">
        <v>9.4E-2</v>
      </c>
      <c r="C29" s="122" t="s">
        <v>37</v>
      </c>
      <c r="D29" s="76">
        <v>0.16</v>
      </c>
      <c r="E29" s="123" t="s">
        <v>37</v>
      </c>
      <c r="F29" s="122">
        <v>1.43</v>
      </c>
      <c r="G29" s="122" t="s">
        <v>37</v>
      </c>
      <c r="H29" s="122">
        <v>1.22</v>
      </c>
      <c r="I29" s="123">
        <v>1.66</v>
      </c>
      <c r="J29" s="122" t="s">
        <v>37</v>
      </c>
      <c r="K29" s="122" t="s">
        <v>37</v>
      </c>
      <c r="L29" s="122" t="s">
        <v>37</v>
      </c>
      <c r="M29" s="122" t="s">
        <v>37</v>
      </c>
      <c r="N29" s="521">
        <f t="shared" ref="N29" si="10">IF(OR(J29="NR", J29="NA"),(F29/((1-B29)+(B29*F29))),J29)</f>
        <v>1.3744449356990445</v>
      </c>
      <c r="O29" s="194">
        <f t="shared" ref="O29" si="11">N29*B29</f>
        <v>0.12919782395571017</v>
      </c>
      <c r="P29" s="200">
        <f t="shared" ref="P29" si="12">O29-B29</f>
        <v>3.5197823955710167E-2</v>
      </c>
      <c r="Q29" s="76">
        <v>6.0999999999999999E-2</v>
      </c>
      <c r="R29" s="122" t="s">
        <v>37</v>
      </c>
      <c r="S29" s="76">
        <v>8.6999999999999994E-2</v>
      </c>
      <c r="T29" s="123" t="s">
        <v>37</v>
      </c>
      <c r="U29" s="122">
        <v>1.33</v>
      </c>
      <c r="V29" s="122" t="s">
        <v>37</v>
      </c>
      <c r="W29" s="122">
        <v>1.03</v>
      </c>
      <c r="X29" s="123">
        <v>1.71</v>
      </c>
      <c r="Y29" s="122" t="s">
        <v>37</v>
      </c>
      <c r="Z29" s="122" t="s">
        <v>37</v>
      </c>
      <c r="AA29" s="122" t="s">
        <v>37</v>
      </c>
      <c r="AB29" s="122" t="s">
        <v>37</v>
      </c>
      <c r="AC29" s="521">
        <f>IF(OR(Y29="NR", Y29="NA"),(U29/((1-Q29)+(Q29*U29))),Y29)</f>
        <v>1.303755403723055</v>
      </c>
      <c r="AD29" s="194">
        <f>AC29*Q29</f>
        <v>7.9529079627106355E-2</v>
      </c>
      <c r="AE29" s="200">
        <f>AD29-Q29</f>
        <v>1.8529079627106357E-2</v>
      </c>
      <c r="AF29" s="89" t="s">
        <v>118</v>
      </c>
      <c r="AG29" s="186" t="s">
        <v>46</v>
      </c>
      <c r="AH29" s="190" t="s">
        <v>531</v>
      </c>
      <c r="AI29" s="185" t="s">
        <v>923</v>
      </c>
      <c r="AJ29" s="186">
        <v>2005</v>
      </c>
      <c r="AK29" s="186" t="s">
        <v>909</v>
      </c>
      <c r="AL29" s="193" t="s">
        <v>779</v>
      </c>
      <c r="AM29" s="186" t="s">
        <v>47</v>
      </c>
      <c r="AN29" s="186" t="s">
        <v>39</v>
      </c>
      <c r="AO29" s="186" t="s">
        <v>37</v>
      </c>
      <c r="AP29" s="88">
        <v>70156</v>
      </c>
      <c r="AQ29" s="193" t="s">
        <v>950</v>
      </c>
      <c r="AR29" s="87" t="s">
        <v>37</v>
      </c>
      <c r="AS29" s="97" t="s">
        <v>982</v>
      </c>
      <c r="AT29" s="186" t="s">
        <v>42</v>
      </c>
      <c r="AU29" s="30" t="s">
        <v>985</v>
      </c>
      <c r="AV29" s="189" t="s">
        <v>976</v>
      </c>
      <c r="AW29" s="186" t="s">
        <v>39</v>
      </c>
      <c r="AX29" s="186" t="s">
        <v>39</v>
      </c>
      <c r="AY29" s="186" t="s">
        <v>43</v>
      </c>
      <c r="AZ29" s="186" t="s">
        <v>39</v>
      </c>
      <c r="BA29" s="186" t="s">
        <v>39</v>
      </c>
      <c r="BB29" s="87" t="s">
        <v>41</v>
      </c>
      <c r="BC29" s="185" t="s">
        <v>122</v>
      </c>
      <c r="BD29" s="186" t="s">
        <v>44</v>
      </c>
      <c r="BE29" s="185" t="s">
        <v>932</v>
      </c>
      <c r="BF29" s="185" t="s">
        <v>927</v>
      </c>
      <c r="BG29" s="186" t="s">
        <v>42</v>
      </c>
      <c r="BH29" s="30" t="s">
        <v>921</v>
      </c>
      <c r="BI29" s="467" t="s">
        <v>918</v>
      </c>
      <c r="BJ29" s="189" t="s">
        <v>50</v>
      </c>
    </row>
    <row r="30" spans="1:62" ht="12" customHeight="1" x14ac:dyDescent="0.2">
      <c r="A30" s="431" t="s">
        <v>802</v>
      </c>
      <c r="B30" s="76">
        <v>2E-3</v>
      </c>
      <c r="C30" s="122" t="s">
        <v>37</v>
      </c>
      <c r="D30" s="76">
        <v>0.02</v>
      </c>
      <c r="E30" s="123" t="s">
        <v>37</v>
      </c>
      <c r="F30" s="122">
        <v>10.6</v>
      </c>
      <c r="G30" s="122" t="s">
        <v>37</v>
      </c>
      <c r="H30" s="122">
        <v>1.1000000000000001</v>
      </c>
      <c r="I30" s="123">
        <v>251</v>
      </c>
      <c r="J30" s="122" t="s">
        <v>37</v>
      </c>
      <c r="K30" s="122" t="s">
        <v>37</v>
      </c>
      <c r="L30" s="122" t="s">
        <v>37</v>
      </c>
      <c r="M30" s="122" t="s">
        <v>37</v>
      </c>
      <c r="N30" s="521">
        <f>IF(OR(J30="NR", J30="NA"),(F30/((1-B30)+(B30*F30))),J30)</f>
        <v>10.400313971742541</v>
      </c>
      <c r="O30" s="194">
        <f>N30*B30</f>
        <v>2.0800627943485084E-2</v>
      </c>
      <c r="P30" s="200">
        <f>O30-B30</f>
        <v>1.8800627943485082E-2</v>
      </c>
      <c r="Q30" s="76" t="s">
        <v>41</v>
      </c>
      <c r="R30" s="122" t="s">
        <v>41</v>
      </c>
      <c r="S30" s="76" t="s">
        <v>41</v>
      </c>
      <c r="T30" s="123" t="s">
        <v>41</v>
      </c>
      <c r="U30" s="122" t="s">
        <v>41</v>
      </c>
      <c r="V30" s="122" t="s">
        <v>41</v>
      </c>
      <c r="W30" s="122" t="s">
        <v>41</v>
      </c>
      <c r="X30" s="123" t="s">
        <v>41</v>
      </c>
      <c r="Y30" s="122" t="s">
        <v>41</v>
      </c>
      <c r="Z30" s="122" t="s">
        <v>41</v>
      </c>
      <c r="AA30" s="122" t="s">
        <v>41</v>
      </c>
      <c r="AB30" s="122" t="s">
        <v>41</v>
      </c>
      <c r="AC30" s="520" t="s">
        <v>37</v>
      </c>
      <c r="AD30" s="184" t="s">
        <v>37</v>
      </c>
      <c r="AE30" s="187" t="s">
        <v>37</v>
      </c>
      <c r="AF30" s="62" t="s">
        <v>795</v>
      </c>
      <c r="AG30" s="197" t="s">
        <v>46</v>
      </c>
      <c r="AH30" s="185" t="s">
        <v>945</v>
      </c>
      <c r="AI30" s="196" t="s">
        <v>796</v>
      </c>
      <c r="AJ30" s="197" t="s">
        <v>525</v>
      </c>
      <c r="AK30" s="196" t="s">
        <v>944</v>
      </c>
      <c r="AL30" s="197" t="s">
        <v>527</v>
      </c>
      <c r="AM30" s="197" t="s">
        <v>40</v>
      </c>
      <c r="AN30" s="197" t="s">
        <v>41</v>
      </c>
      <c r="AO30" s="197" t="s">
        <v>37</v>
      </c>
      <c r="AP30" s="92">
        <v>1152</v>
      </c>
      <c r="AQ30" s="191" t="s">
        <v>912</v>
      </c>
      <c r="AR30" s="198">
        <v>530</v>
      </c>
      <c r="AS30" s="97" t="s">
        <v>977</v>
      </c>
      <c r="AT30" s="196" t="s">
        <v>978</v>
      </c>
      <c r="AU30" s="192" t="s">
        <v>990</v>
      </c>
      <c r="AV30" s="191" t="s">
        <v>979</v>
      </c>
      <c r="AW30" s="197" t="s">
        <v>39</v>
      </c>
      <c r="AX30" s="197" t="s">
        <v>39</v>
      </c>
      <c r="AY30" s="197" t="s">
        <v>39</v>
      </c>
      <c r="AZ30" s="197" t="s">
        <v>43</v>
      </c>
      <c r="BA30" s="197" t="s">
        <v>39</v>
      </c>
      <c r="BB30" s="63" t="s">
        <v>980</v>
      </c>
      <c r="BC30" s="196" t="s">
        <v>802</v>
      </c>
      <c r="BD30" s="196" t="s">
        <v>958</v>
      </c>
      <c r="BE30" s="190" t="s">
        <v>526</v>
      </c>
      <c r="BF30" s="196" t="s">
        <v>922</v>
      </c>
      <c r="BG30" s="197" t="s">
        <v>42</v>
      </c>
      <c r="BH30" s="30" t="s">
        <v>921</v>
      </c>
      <c r="BI30" s="63" t="s">
        <v>919</v>
      </c>
      <c r="BJ30" s="189" t="s">
        <v>50</v>
      </c>
    </row>
    <row r="31" spans="1:62" ht="12" customHeight="1" x14ac:dyDescent="0.2">
      <c r="A31" s="431" t="s">
        <v>820</v>
      </c>
      <c r="B31" s="76">
        <v>0.122</v>
      </c>
      <c r="C31" s="122" t="s">
        <v>37</v>
      </c>
      <c r="D31" s="76">
        <v>0.19</v>
      </c>
      <c r="E31" s="123" t="s">
        <v>37</v>
      </c>
      <c r="F31" s="122" t="s">
        <v>37</v>
      </c>
      <c r="G31" s="122" t="s">
        <v>37</v>
      </c>
      <c r="H31" s="122" t="s">
        <v>37</v>
      </c>
      <c r="I31" s="123" t="s">
        <v>37</v>
      </c>
      <c r="J31" s="122">
        <v>1.57</v>
      </c>
      <c r="K31" s="122" t="s">
        <v>37</v>
      </c>
      <c r="L31" s="122">
        <v>1.18</v>
      </c>
      <c r="M31" s="122">
        <v>2.1</v>
      </c>
      <c r="N31" s="521">
        <f>IF(OR(J31="NR", J31="NA"),(F31/((1-B31)+(B31*F31))),J31)</f>
        <v>1.57</v>
      </c>
      <c r="O31" s="194">
        <f>N31*B31</f>
        <v>0.19154000000000002</v>
      </c>
      <c r="P31" s="200">
        <f>O31-B31</f>
        <v>6.9540000000000018E-2</v>
      </c>
      <c r="Q31" s="76" t="s">
        <v>41</v>
      </c>
      <c r="R31" s="122" t="s">
        <v>41</v>
      </c>
      <c r="S31" s="76" t="s">
        <v>41</v>
      </c>
      <c r="T31" s="123" t="s">
        <v>41</v>
      </c>
      <c r="U31" s="122" t="s">
        <v>41</v>
      </c>
      <c r="V31" s="122" t="s">
        <v>41</v>
      </c>
      <c r="W31" s="122" t="s">
        <v>41</v>
      </c>
      <c r="X31" s="123" t="s">
        <v>41</v>
      </c>
      <c r="Y31" s="122" t="s">
        <v>41</v>
      </c>
      <c r="Z31" s="122" t="s">
        <v>41</v>
      </c>
      <c r="AA31" s="122" t="s">
        <v>41</v>
      </c>
      <c r="AB31" s="122" t="s">
        <v>41</v>
      </c>
      <c r="AC31" s="520" t="s">
        <v>37</v>
      </c>
      <c r="AD31" s="184" t="s">
        <v>37</v>
      </c>
      <c r="AE31" s="187" t="s">
        <v>37</v>
      </c>
      <c r="AF31" s="62" t="s">
        <v>793</v>
      </c>
      <c r="AG31" s="197" t="s">
        <v>46</v>
      </c>
      <c r="AH31" s="185" t="s">
        <v>945</v>
      </c>
      <c r="AI31" s="196" t="s">
        <v>924</v>
      </c>
      <c r="AJ31" s="20" t="s">
        <v>946</v>
      </c>
      <c r="AK31" s="186" t="s">
        <v>909</v>
      </c>
      <c r="AL31" s="197" t="s">
        <v>78</v>
      </c>
      <c r="AM31" s="197" t="s">
        <v>40</v>
      </c>
      <c r="AN31" s="197" t="s">
        <v>41</v>
      </c>
      <c r="AO31" s="189" t="s">
        <v>942</v>
      </c>
      <c r="AP31" s="92">
        <v>1928</v>
      </c>
      <c r="AQ31" s="197">
        <v>242</v>
      </c>
      <c r="AR31" s="93">
        <v>1686</v>
      </c>
      <c r="AS31" s="97" t="s">
        <v>982</v>
      </c>
      <c r="AT31" s="196" t="s">
        <v>48</v>
      </c>
      <c r="AU31" s="192" t="s">
        <v>991</v>
      </c>
      <c r="AV31" s="191" t="s">
        <v>984</v>
      </c>
      <c r="AW31" s="197" t="s">
        <v>39</v>
      </c>
      <c r="AX31" s="197" t="s">
        <v>39</v>
      </c>
      <c r="AY31" s="197" t="s">
        <v>39</v>
      </c>
      <c r="AZ31" s="197" t="s">
        <v>39</v>
      </c>
      <c r="BA31" s="186" t="s">
        <v>39</v>
      </c>
      <c r="BB31" s="468" t="s">
        <v>952</v>
      </c>
      <c r="BC31" s="196" t="s">
        <v>820</v>
      </c>
      <c r="BD31" s="185" t="s">
        <v>992</v>
      </c>
      <c r="BE31" s="185" t="s">
        <v>994</v>
      </c>
      <c r="BF31" s="185" t="s">
        <v>997</v>
      </c>
      <c r="BG31" s="185" t="s">
        <v>938</v>
      </c>
      <c r="BH31" s="67" t="s">
        <v>920</v>
      </c>
      <c r="BI31" s="198" t="s">
        <v>794</v>
      </c>
      <c r="BJ31" s="189" t="s">
        <v>50</v>
      </c>
    </row>
    <row r="32" spans="1:62" ht="12" customHeight="1" x14ac:dyDescent="0.2">
      <c r="A32" s="431" t="s">
        <v>832</v>
      </c>
      <c r="B32" s="76">
        <v>5.8000000000000003E-2</v>
      </c>
      <c r="C32" s="122" t="s">
        <v>37</v>
      </c>
      <c r="D32" s="76">
        <v>9.5000000000000001E-2</v>
      </c>
      <c r="E32" s="123" t="s">
        <v>37</v>
      </c>
      <c r="F32" s="122" t="s">
        <v>37</v>
      </c>
      <c r="G32" s="122" t="s">
        <v>37</v>
      </c>
      <c r="H32" s="122" t="s">
        <v>37</v>
      </c>
      <c r="I32" s="123" t="s">
        <v>37</v>
      </c>
      <c r="J32" s="122">
        <v>1.76</v>
      </c>
      <c r="K32" s="122" t="s">
        <v>37</v>
      </c>
      <c r="L32" s="122">
        <v>1.1399999999999999</v>
      </c>
      <c r="M32" s="122">
        <v>2.7</v>
      </c>
      <c r="N32" s="521">
        <f>IF(OR(J32="NR", J32="NA"),(F32/((1-B32)+(B32*F32))),J32)</f>
        <v>1.76</v>
      </c>
      <c r="O32" s="194">
        <f>N32*B32</f>
        <v>0.10208</v>
      </c>
      <c r="P32" s="200">
        <f>O32-B32</f>
        <v>4.4080000000000001E-2</v>
      </c>
      <c r="Q32" s="76" t="s">
        <v>41</v>
      </c>
      <c r="R32" s="122" t="s">
        <v>41</v>
      </c>
      <c r="S32" s="76" t="s">
        <v>41</v>
      </c>
      <c r="T32" s="123" t="s">
        <v>41</v>
      </c>
      <c r="U32" s="122" t="s">
        <v>41</v>
      </c>
      <c r="V32" s="122" t="s">
        <v>41</v>
      </c>
      <c r="W32" s="122" t="s">
        <v>41</v>
      </c>
      <c r="X32" s="123" t="s">
        <v>41</v>
      </c>
      <c r="Y32" s="122" t="s">
        <v>41</v>
      </c>
      <c r="Z32" s="122" t="s">
        <v>41</v>
      </c>
      <c r="AA32" s="122" t="s">
        <v>41</v>
      </c>
      <c r="AB32" s="122" t="s">
        <v>41</v>
      </c>
      <c r="AC32" s="520" t="s">
        <v>37</v>
      </c>
      <c r="AD32" s="184" t="s">
        <v>37</v>
      </c>
      <c r="AE32" s="187" t="s">
        <v>37</v>
      </c>
      <c r="AF32" s="62" t="s">
        <v>793</v>
      </c>
      <c r="AG32" s="197" t="s">
        <v>46</v>
      </c>
      <c r="AH32" s="185" t="s">
        <v>945</v>
      </c>
      <c r="AI32" s="196" t="s">
        <v>924</v>
      </c>
      <c r="AJ32" s="20" t="s">
        <v>946</v>
      </c>
      <c r="AK32" s="186" t="s">
        <v>909</v>
      </c>
      <c r="AL32" s="197" t="s">
        <v>78</v>
      </c>
      <c r="AM32" s="197" t="s">
        <v>40</v>
      </c>
      <c r="AN32" s="197" t="s">
        <v>41</v>
      </c>
      <c r="AO32" s="189" t="s">
        <v>942</v>
      </c>
      <c r="AP32" s="92">
        <v>1928</v>
      </c>
      <c r="AQ32" s="197">
        <v>242</v>
      </c>
      <c r="AR32" s="93">
        <v>1686</v>
      </c>
      <c r="AS32" s="97" t="s">
        <v>982</v>
      </c>
      <c r="AT32" s="196" t="s">
        <v>983</v>
      </c>
      <c r="AU32" s="192" t="s">
        <v>991</v>
      </c>
      <c r="AV32" s="191" t="s">
        <v>984</v>
      </c>
      <c r="AW32" s="197" t="s">
        <v>39</v>
      </c>
      <c r="AX32" s="197" t="s">
        <v>39</v>
      </c>
      <c r="AY32" s="197" t="s">
        <v>39</v>
      </c>
      <c r="AZ32" s="197" t="s">
        <v>39</v>
      </c>
      <c r="BA32" s="186" t="s">
        <v>39</v>
      </c>
      <c r="BB32" s="468" t="s">
        <v>952</v>
      </c>
      <c r="BC32" s="196" t="s">
        <v>993</v>
      </c>
      <c r="BD32" s="185" t="s">
        <v>992</v>
      </c>
      <c r="BE32" s="185" t="s">
        <v>994</v>
      </c>
      <c r="BF32" s="185" t="s">
        <v>997</v>
      </c>
      <c r="BG32" s="185" t="s">
        <v>938</v>
      </c>
      <c r="BH32" s="67" t="s">
        <v>920</v>
      </c>
      <c r="BI32" s="198" t="s">
        <v>794</v>
      </c>
      <c r="BJ32" s="189" t="s">
        <v>50</v>
      </c>
    </row>
    <row r="33" spans="1:62" ht="12" customHeight="1" x14ac:dyDescent="0.2">
      <c r="A33" s="431" t="s">
        <v>545</v>
      </c>
      <c r="B33" s="76">
        <v>0.03</v>
      </c>
      <c r="C33" s="122" t="s">
        <v>37</v>
      </c>
      <c r="D33" s="76">
        <v>4.2000000000000003E-2</v>
      </c>
      <c r="E33" s="123" t="s">
        <v>37</v>
      </c>
      <c r="F33" s="122">
        <v>1.43</v>
      </c>
      <c r="G33" s="122" t="s">
        <v>37</v>
      </c>
      <c r="H33" s="122">
        <v>1.06</v>
      </c>
      <c r="I33" s="123">
        <v>1.94</v>
      </c>
      <c r="J33" s="122" t="s">
        <v>37</v>
      </c>
      <c r="K33" s="122" t="s">
        <v>37</v>
      </c>
      <c r="L33" s="122" t="s">
        <v>37</v>
      </c>
      <c r="M33" s="122" t="s">
        <v>37</v>
      </c>
      <c r="N33" s="521">
        <f>IF(OR(J33="NR", J33="NA"),(F33/((1-B33)+(B33*F33))),J33)</f>
        <v>1.4117879356303684</v>
      </c>
      <c r="O33" s="194">
        <f t="shared" ref="O33" si="13">N33*B33</f>
        <v>4.2353638068911049E-2</v>
      </c>
      <c r="P33" s="200">
        <f t="shared" ref="P33" si="14">O33-B33</f>
        <v>1.2353638068911051E-2</v>
      </c>
      <c r="Q33" s="76">
        <v>5.3999999999999999E-2</v>
      </c>
      <c r="R33" s="122" t="s">
        <v>37</v>
      </c>
      <c r="S33" s="76">
        <v>4.2999999999999997E-2</v>
      </c>
      <c r="T33" s="123" t="s">
        <v>37</v>
      </c>
      <c r="U33" s="122">
        <v>0</v>
      </c>
      <c r="V33" s="122" t="s">
        <v>41</v>
      </c>
      <c r="W33" s="122">
        <v>0</v>
      </c>
      <c r="X33" s="123">
        <v>0</v>
      </c>
      <c r="Y33" s="122" t="s">
        <v>37</v>
      </c>
      <c r="Z33" s="122" t="s">
        <v>37</v>
      </c>
      <c r="AA33" s="122" t="s">
        <v>37</v>
      </c>
      <c r="AB33" s="122" t="s">
        <v>37</v>
      </c>
      <c r="AC33" s="521">
        <v>0</v>
      </c>
      <c r="AD33" s="194">
        <v>0</v>
      </c>
      <c r="AE33" s="200">
        <v>0</v>
      </c>
      <c r="AF33" s="89" t="s">
        <v>118</v>
      </c>
      <c r="AG33" s="186" t="s">
        <v>46</v>
      </c>
      <c r="AH33" s="190" t="s">
        <v>531</v>
      </c>
      <c r="AI33" s="185" t="s">
        <v>923</v>
      </c>
      <c r="AJ33" s="186">
        <v>2005</v>
      </c>
      <c r="AK33" s="186" t="s">
        <v>909</v>
      </c>
      <c r="AL33" s="193" t="s">
        <v>779</v>
      </c>
      <c r="AM33" s="186" t="s">
        <v>47</v>
      </c>
      <c r="AN33" s="186" t="s">
        <v>39</v>
      </c>
      <c r="AO33" s="186" t="s">
        <v>37</v>
      </c>
      <c r="AP33" s="88">
        <v>70156</v>
      </c>
      <c r="AQ33" s="193" t="s">
        <v>950</v>
      </c>
      <c r="AR33" s="87" t="s">
        <v>37</v>
      </c>
      <c r="AS33" s="97" t="s">
        <v>982</v>
      </c>
      <c r="AT33" s="186" t="s">
        <v>42</v>
      </c>
      <c r="AU33" s="30" t="s">
        <v>985</v>
      </c>
      <c r="AV33" s="189" t="s">
        <v>976</v>
      </c>
      <c r="AW33" s="186" t="s">
        <v>39</v>
      </c>
      <c r="AX33" s="186" t="s">
        <v>39</v>
      </c>
      <c r="AY33" s="186" t="s">
        <v>43</v>
      </c>
      <c r="AZ33" s="186" t="s">
        <v>39</v>
      </c>
      <c r="BA33" s="186" t="s">
        <v>39</v>
      </c>
      <c r="BB33" s="87" t="s">
        <v>41</v>
      </c>
      <c r="BC33" s="185" t="s">
        <v>928</v>
      </c>
      <c r="BD33" s="186" t="s">
        <v>44</v>
      </c>
      <c r="BE33" s="185" t="s">
        <v>932</v>
      </c>
      <c r="BF33" s="185" t="s">
        <v>927</v>
      </c>
      <c r="BG33" s="186" t="s">
        <v>42</v>
      </c>
      <c r="BH33" s="30" t="s">
        <v>45</v>
      </c>
      <c r="BI33" s="467" t="s">
        <v>918</v>
      </c>
      <c r="BJ33" s="189" t="s">
        <v>50</v>
      </c>
    </row>
    <row r="34" spans="1:62" ht="12" customHeight="1" x14ac:dyDescent="0.2">
      <c r="A34" s="431" t="s">
        <v>121</v>
      </c>
      <c r="B34" s="76">
        <v>0.28599999999999998</v>
      </c>
      <c r="C34" s="122" t="s">
        <v>37</v>
      </c>
      <c r="D34" s="76">
        <v>0.36</v>
      </c>
      <c r="E34" s="123" t="s">
        <v>37</v>
      </c>
      <c r="F34" s="122">
        <v>1.36</v>
      </c>
      <c r="G34" s="122" t="s">
        <v>37</v>
      </c>
      <c r="H34" s="122">
        <v>1.2</v>
      </c>
      <c r="I34" s="123">
        <v>1.53</v>
      </c>
      <c r="J34" s="122" t="s">
        <v>37</v>
      </c>
      <c r="K34" s="122" t="s">
        <v>37</v>
      </c>
      <c r="L34" s="122" t="s">
        <v>37</v>
      </c>
      <c r="M34" s="122" t="s">
        <v>37</v>
      </c>
      <c r="N34" s="521">
        <f t="shared" ref="N34" si="15">IF(OR(J34="NR", J34="NA"),(F34/((1-B34)+(B34*F34))),J34)</f>
        <v>1.2330456226880395</v>
      </c>
      <c r="O34" s="194">
        <f t="shared" ref="O34" si="16">N34*B34</f>
        <v>0.35265104808877928</v>
      </c>
      <c r="P34" s="200">
        <f t="shared" ref="P34" si="17">O34-B34</f>
        <v>6.6651048088779308E-2</v>
      </c>
      <c r="Q34" s="76">
        <v>0.23599999999999999</v>
      </c>
      <c r="R34" s="122" t="s">
        <v>37</v>
      </c>
      <c r="S34" s="76">
        <v>0.247</v>
      </c>
      <c r="T34" s="123" t="s">
        <v>37</v>
      </c>
      <c r="U34" s="122">
        <v>1.26</v>
      </c>
      <c r="V34" s="122" t="s">
        <v>37</v>
      </c>
      <c r="W34" s="122">
        <v>1.07</v>
      </c>
      <c r="X34" s="123">
        <v>1.49</v>
      </c>
      <c r="Y34" s="122" t="s">
        <v>37</v>
      </c>
      <c r="Z34" s="122" t="s">
        <v>37</v>
      </c>
      <c r="AA34" s="122" t="s">
        <v>37</v>
      </c>
      <c r="AB34" s="122" t="s">
        <v>37</v>
      </c>
      <c r="AC34" s="521">
        <f>IF(OR(Y34="NR", Y34="NA"),(U34/((1-Q34)+(Q34*U34))),Y34)</f>
        <v>1.1871561016054872</v>
      </c>
      <c r="AD34" s="194">
        <f>AC34*Q34</f>
        <v>0.28016883997889497</v>
      </c>
      <c r="AE34" s="200">
        <f>AD34-Q34</f>
        <v>4.416883997889498E-2</v>
      </c>
      <c r="AF34" s="89" t="s">
        <v>118</v>
      </c>
      <c r="AG34" s="186" t="s">
        <v>46</v>
      </c>
      <c r="AH34" s="190" t="s">
        <v>531</v>
      </c>
      <c r="AI34" s="185" t="s">
        <v>923</v>
      </c>
      <c r="AJ34" s="186">
        <v>2005</v>
      </c>
      <c r="AK34" s="186" t="s">
        <v>38</v>
      </c>
      <c r="AL34" s="193" t="s">
        <v>779</v>
      </c>
      <c r="AM34" s="186" t="s">
        <v>47</v>
      </c>
      <c r="AN34" s="186" t="s">
        <v>39</v>
      </c>
      <c r="AO34" s="186" t="s">
        <v>37</v>
      </c>
      <c r="AP34" s="88">
        <v>70156</v>
      </c>
      <c r="AQ34" s="193" t="s">
        <v>950</v>
      </c>
      <c r="AR34" s="87" t="s">
        <v>37</v>
      </c>
      <c r="AS34" s="478" t="s">
        <v>982</v>
      </c>
      <c r="AT34" s="186" t="s">
        <v>42</v>
      </c>
      <c r="AU34" s="30" t="s">
        <v>985</v>
      </c>
      <c r="AV34" s="189" t="s">
        <v>976</v>
      </c>
      <c r="AW34" s="186" t="s">
        <v>39</v>
      </c>
      <c r="AX34" s="186" t="s">
        <v>39</v>
      </c>
      <c r="AY34" s="186" t="s">
        <v>43</v>
      </c>
      <c r="AZ34" s="186" t="s">
        <v>39</v>
      </c>
      <c r="BA34" s="186" t="s">
        <v>39</v>
      </c>
      <c r="BB34" s="87" t="s">
        <v>41</v>
      </c>
      <c r="BC34" s="185" t="s">
        <v>926</v>
      </c>
      <c r="BD34" s="186" t="s">
        <v>44</v>
      </c>
      <c r="BE34" s="185" t="s">
        <v>932</v>
      </c>
      <c r="BF34" s="185" t="s">
        <v>1140</v>
      </c>
      <c r="BG34" s="186" t="s">
        <v>42</v>
      </c>
      <c r="BH34" s="30" t="s">
        <v>45</v>
      </c>
      <c r="BI34" s="467" t="s">
        <v>918</v>
      </c>
      <c r="BJ34" s="189" t="s">
        <v>50</v>
      </c>
    </row>
    <row r="35" spans="1:62" ht="12" customHeight="1" x14ac:dyDescent="0.2">
      <c r="A35" s="433" t="s">
        <v>799</v>
      </c>
      <c r="B35" s="76">
        <v>1.0999999999999999E-2</v>
      </c>
      <c r="C35" s="122" t="s">
        <v>37</v>
      </c>
      <c r="D35" s="76">
        <v>3.6999999999999998E-2</v>
      </c>
      <c r="E35" s="123" t="s">
        <v>37</v>
      </c>
      <c r="F35" s="122" t="s">
        <v>37</v>
      </c>
      <c r="G35" s="122" t="s">
        <v>37</v>
      </c>
      <c r="H35" s="122" t="s">
        <v>37</v>
      </c>
      <c r="I35" s="123" t="s">
        <v>37</v>
      </c>
      <c r="J35" s="122">
        <v>3.15</v>
      </c>
      <c r="K35" s="122" t="s">
        <v>37</v>
      </c>
      <c r="L35" s="122">
        <v>1.45</v>
      </c>
      <c r="M35" s="122">
        <v>6.86</v>
      </c>
      <c r="N35" s="521">
        <f>IF(OR(J35="NR", J35="NA"),(F35/((1-B35)+(B35*F35))),J35)</f>
        <v>3.15</v>
      </c>
      <c r="O35" s="194">
        <f t="shared" ref="O35:O37" si="18">N35*B35</f>
        <v>3.465E-2</v>
      </c>
      <c r="P35" s="200">
        <f t="shared" ref="P35:P37" si="19">O35-B35</f>
        <v>2.3650000000000001E-2</v>
      </c>
      <c r="Q35" s="76" t="s">
        <v>37</v>
      </c>
      <c r="R35" s="122" t="s">
        <v>37</v>
      </c>
      <c r="S35" s="76" t="s">
        <v>37</v>
      </c>
      <c r="T35" s="123" t="s">
        <v>37</v>
      </c>
      <c r="U35" s="122" t="s">
        <v>37</v>
      </c>
      <c r="V35" s="122" t="s">
        <v>37</v>
      </c>
      <c r="W35" s="122" t="s">
        <v>37</v>
      </c>
      <c r="X35" s="123" t="s">
        <v>37</v>
      </c>
      <c r="Y35" s="122" t="s">
        <v>37</v>
      </c>
      <c r="Z35" s="122" t="s">
        <v>37</v>
      </c>
      <c r="AA35" s="122" t="s">
        <v>37</v>
      </c>
      <c r="AB35" s="122" t="s">
        <v>37</v>
      </c>
      <c r="AC35" s="520" t="s">
        <v>37</v>
      </c>
      <c r="AD35" s="184" t="s">
        <v>37</v>
      </c>
      <c r="AE35" s="187" t="s">
        <v>37</v>
      </c>
      <c r="AF35" s="62" t="s">
        <v>793</v>
      </c>
      <c r="AG35" s="197" t="s">
        <v>46</v>
      </c>
      <c r="AH35" s="185" t="s">
        <v>945</v>
      </c>
      <c r="AI35" s="196" t="s">
        <v>924</v>
      </c>
      <c r="AJ35" s="20" t="s">
        <v>946</v>
      </c>
      <c r="AK35" s="186" t="s">
        <v>909</v>
      </c>
      <c r="AL35" s="197" t="s">
        <v>78</v>
      </c>
      <c r="AM35" s="197" t="s">
        <v>40</v>
      </c>
      <c r="AN35" s="197" t="s">
        <v>41</v>
      </c>
      <c r="AO35" s="189" t="s">
        <v>942</v>
      </c>
      <c r="AP35" s="92">
        <v>1928</v>
      </c>
      <c r="AQ35" s="197">
        <v>242</v>
      </c>
      <c r="AR35" s="93">
        <v>1686</v>
      </c>
      <c r="AS35" s="478" t="s">
        <v>982</v>
      </c>
      <c r="AT35" s="196" t="s">
        <v>48</v>
      </c>
      <c r="AU35" s="192" t="s">
        <v>991</v>
      </c>
      <c r="AV35" s="191" t="s">
        <v>984</v>
      </c>
      <c r="AW35" s="197" t="s">
        <v>39</v>
      </c>
      <c r="AX35" s="197" t="s">
        <v>39</v>
      </c>
      <c r="AY35" s="197" t="s">
        <v>39</v>
      </c>
      <c r="AZ35" s="197" t="s">
        <v>39</v>
      </c>
      <c r="BA35" s="186" t="s">
        <v>39</v>
      </c>
      <c r="BB35" s="468" t="s">
        <v>952</v>
      </c>
      <c r="BC35" s="196" t="s">
        <v>995</v>
      </c>
      <c r="BD35" s="185" t="s">
        <v>992</v>
      </c>
      <c r="BE35" s="185" t="s">
        <v>994</v>
      </c>
      <c r="BF35" s="185" t="s">
        <v>997</v>
      </c>
      <c r="BG35" s="185" t="s">
        <v>938</v>
      </c>
      <c r="BH35" s="67" t="s">
        <v>920</v>
      </c>
      <c r="BI35" s="198" t="s">
        <v>794</v>
      </c>
      <c r="BJ35" s="189" t="s">
        <v>50</v>
      </c>
    </row>
    <row r="36" spans="1:62" ht="12" customHeight="1" x14ac:dyDescent="0.2">
      <c r="A36" s="431" t="s">
        <v>120</v>
      </c>
      <c r="B36" s="76">
        <v>0.02</v>
      </c>
      <c r="C36" s="122" t="s">
        <v>37</v>
      </c>
      <c r="D36" s="76">
        <v>3.2000000000000001E-2</v>
      </c>
      <c r="E36" s="123" t="s">
        <v>37</v>
      </c>
      <c r="F36" s="122">
        <v>1.49</v>
      </c>
      <c r="G36" s="122" t="s">
        <v>37</v>
      </c>
      <c r="H36" s="122">
        <v>1.08</v>
      </c>
      <c r="I36" s="123">
        <v>2.0699999999999998</v>
      </c>
      <c r="J36" s="122" t="s">
        <v>37</v>
      </c>
      <c r="K36" s="122" t="s">
        <v>37</v>
      </c>
      <c r="L36" s="122" t="s">
        <v>37</v>
      </c>
      <c r="M36" s="122" t="s">
        <v>37</v>
      </c>
      <c r="N36" s="521">
        <f>IF(OR(J36="NR", J36="NA"),(F36/((1-B36)+(B36*F36))),J36)</f>
        <v>1.4755397108338284</v>
      </c>
      <c r="O36" s="194">
        <f t="shared" si="18"/>
        <v>2.9510794216676569E-2</v>
      </c>
      <c r="P36" s="200">
        <f t="shared" si="19"/>
        <v>9.5107942166765685E-3</v>
      </c>
      <c r="Q36" s="76">
        <v>2.4E-2</v>
      </c>
      <c r="R36" s="122" t="s">
        <v>37</v>
      </c>
      <c r="S36" s="76">
        <v>2.3E-2</v>
      </c>
      <c r="T36" s="123" t="s">
        <v>37</v>
      </c>
      <c r="U36" s="122">
        <v>1.23</v>
      </c>
      <c r="V36" s="122" t="s">
        <v>37</v>
      </c>
      <c r="W36" s="122">
        <v>0.79</v>
      </c>
      <c r="X36" s="123">
        <v>1.94</v>
      </c>
      <c r="Y36" s="122" t="s">
        <v>37</v>
      </c>
      <c r="Z36" s="122" t="s">
        <v>37</v>
      </c>
      <c r="AA36" s="122" t="s">
        <v>37</v>
      </c>
      <c r="AB36" s="122" t="s">
        <v>37</v>
      </c>
      <c r="AC36" s="521">
        <v>0</v>
      </c>
      <c r="AD36" s="194">
        <v>0</v>
      </c>
      <c r="AE36" s="200">
        <v>0</v>
      </c>
      <c r="AF36" s="89" t="s">
        <v>118</v>
      </c>
      <c r="AG36" s="186" t="s">
        <v>46</v>
      </c>
      <c r="AH36" s="190" t="s">
        <v>531</v>
      </c>
      <c r="AI36" s="185" t="s">
        <v>923</v>
      </c>
      <c r="AJ36" s="186">
        <v>2005</v>
      </c>
      <c r="AK36" s="186" t="s">
        <v>909</v>
      </c>
      <c r="AL36" s="193" t="s">
        <v>779</v>
      </c>
      <c r="AM36" s="186" t="s">
        <v>47</v>
      </c>
      <c r="AN36" s="186" t="s">
        <v>39</v>
      </c>
      <c r="AO36" s="186" t="s">
        <v>37</v>
      </c>
      <c r="AP36" s="88">
        <v>70156</v>
      </c>
      <c r="AQ36" s="193" t="s">
        <v>950</v>
      </c>
      <c r="AR36" s="87" t="s">
        <v>37</v>
      </c>
      <c r="AS36" s="478" t="s">
        <v>982</v>
      </c>
      <c r="AT36" s="186" t="s">
        <v>42</v>
      </c>
      <c r="AU36" s="30" t="s">
        <v>985</v>
      </c>
      <c r="AV36" s="189" t="s">
        <v>976</v>
      </c>
      <c r="AW36" s="186" t="s">
        <v>39</v>
      </c>
      <c r="AX36" s="186" t="s">
        <v>39</v>
      </c>
      <c r="AY36" s="186" t="s">
        <v>43</v>
      </c>
      <c r="AZ36" s="186" t="s">
        <v>39</v>
      </c>
      <c r="BA36" s="186" t="s">
        <v>39</v>
      </c>
      <c r="BB36" s="87" t="s">
        <v>41</v>
      </c>
      <c r="BC36" s="185" t="s">
        <v>120</v>
      </c>
      <c r="BD36" s="186" t="s">
        <v>44</v>
      </c>
      <c r="BE36" s="185" t="s">
        <v>932</v>
      </c>
      <c r="BF36" s="185" t="s">
        <v>927</v>
      </c>
      <c r="BG36" s="186" t="s">
        <v>42</v>
      </c>
      <c r="BH36" s="30" t="s">
        <v>45</v>
      </c>
      <c r="BI36" s="467" t="s">
        <v>918</v>
      </c>
      <c r="BJ36" s="189" t="s">
        <v>50</v>
      </c>
    </row>
    <row r="37" spans="1:62" ht="12" customHeight="1" x14ac:dyDescent="0.2">
      <c r="A37" s="434" t="s">
        <v>813</v>
      </c>
      <c r="B37" s="490">
        <v>0.11700000000000001</v>
      </c>
      <c r="C37" s="125" t="s">
        <v>37</v>
      </c>
      <c r="D37" s="490">
        <v>0.21099999999999999</v>
      </c>
      <c r="E37" s="126" t="s">
        <v>37</v>
      </c>
      <c r="F37" s="125" t="s">
        <v>37</v>
      </c>
      <c r="G37" s="125" t="s">
        <v>37</v>
      </c>
      <c r="H37" s="125" t="s">
        <v>37</v>
      </c>
      <c r="I37" s="126" t="s">
        <v>37</v>
      </c>
      <c r="J37" s="125">
        <v>1.79</v>
      </c>
      <c r="K37" s="125" t="s">
        <v>37</v>
      </c>
      <c r="L37" s="125">
        <v>1.36</v>
      </c>
      <c r="M37" s="125">
        <v>2.36</v>
      </c>
      <c r="N37" s="522">
        <f>IF(OR(J37="NR", J37="NA"),(F37/((1-B37)+(B37*F37))),J37)</f>
        <v>1.79</v>
      </c>
      <c r="O37" s="121">
        <f t="shared" si="18"/>
        <v>0.20943000000000001</v>
      </c>
      <c r="P37" s="124">
        <f t="shared" si="19"/>
        <v>9.2429999999999998E-2</v>
      </c>
      <c r="Q37" s="490" t="s">
        <v>41</v>
      </c>
      <c r="R37" s="125" t="s">
        <v>41</v>
      </c>
      <c r="S37" s="490" t="s">
        <v>41</v>
      </c>
      <c r="T37" s="126" t="s">
        <v>41</v>
      </c>
      <c r="U37" s="125" t="s">
        <v>41</v>
      </c>
      <c r="V37" s="125" t="s">
        <v>41</v>
      </c>
      <c r="W37" s="125" t="s">
        <v>41</v>
      </c>
      <c r="X37" s="126" t="s">
        <v>41</v>
      </c>
      <c r="Y37" s="125" t="s">
        <v>41</v>
      </c>
      <c r="Z37" s="125" t="s">
        <v>41</v>
      </c>
      <c r="AA37" s="125" t="s">
        <v>41</v>
      </c>
      <c r="AB37" s="125" t="s">
        <v>41</v>
      </c>
      <c r="AC37" s="523" t="s">
        <v>37</v>
      </c>
      <c r="AD37" s="427" t="s">
        <v>37</v>
      </c>
      <c r="AE37" s="428" t="s">
        <v>37</v>
      </c>
      <c r="AF37" s="282" t="s">
        <v>793</v>
      </c>
      <c r="AG37" s="108" t="s">
        <v>46</v>
      </c>
      <c r="AH37" s="114" t="s">
        <v>945</v>
      </c>
      <c r="AI37" s="113" t="s">
        <v>924</v>
      </c>
      <c r="AJ37" s="172" t="s">
        <v>946</v>
      </c>
      <c r="AK37" s="510" t="s">
        <v>909</v>
      </c>
      <c r="AL37" s="108" t="s">
        <v>78</v>
      </c>
      <c r="AM37" s="108" t="s">
        <v>40</v>
      </c>
      <c r="AN37" s="108" t="s">
        <v>41</v>
      </c>
      <c r="AO37" s="473" t="s">
        <v>942</v>
      </c>
      <c r="AP37" s="436">
        <v>1928</v>
      </c>
      <c r="AQ37" s="108">
        <v>242</v>
      </c>
      <c r="AR37" s="119">
        <v>1686</v>
      </c>
      <c r="AS37" s="227" t="s">
        <v>982</v>
      </c>
      <c r="AT37" s="113" t="s">
        <v>48</v>
      </c>
      <c r="AU37" s="475" t="s">
        <v>991</v>
      </c>
      <c r="AV37" s="479" t="s">
        <v>984</v>
      </c>
      <c r="AW37" s="108" t="s">
        <v>39</v>
      </c>
      <c r="AX37" s="108" t="s">
        <v>39</v>
      </c>
      <c r="AY37" s="108" t="s">
        <v>39</v>
      </c>
      <c r="AZ37" s="108" t="s">
        <v>39</v>
      </c>
      <c r="BA37" s="510" t="s">
        <v>39</v>
      </c>
      <c r="BB37" s="469" t="s">
        <v>952</v>
      </c>
      <c r="BC37" s="113" t="s">
        <v>996</v>
      </c>
      <c r="BD37" s="114" t="s">
        <v>992</v>
      </c>
      <c r="BE37" s="114" t="s">
        <v>994</v>
      </c>
      <c r="BF37" s="114" t="s">
        <v>997</v>
      </c>
      <c r="BG37" s="114" t="s">
        <v>938</v>
      </c>
      <c r="BH37" s="243" t="s">
        <v>920</v>
      </c>
      <c r="BI37" s="429" t="s">
        <v>794</v>
      </c>
      <c r="BJ37" s="189" t="s">
        <v>50</v>
      </c>
    </row>
    <row r="38" spans="1:62" ht="12" customHeight="1" x14ac:dyDescent="0.2">
      <c r="A38" s="190" t="s">
        <v>1164</v>
      </c>
      <c r="AG38" s="330"/>
      <c r="AH38" s="335"/>
      <c r="AI38" s="335"/>
      <c r="AJ38" s="335"/>
      <c r="AK38" s="335"/>
      <c r="AL38" s="335"/>
      <c r="BJ38" s="189" t="s">
        <v>50</v>
      </c>
    </row>
  </sheetData>
  <mergeCells count="39">
    <mergeCell ref="B4:AE4"/>
    <mergeCell ref="B5:P5"/>
    <mergeCell ref="Q5:AE5"/>
    <mergeCell ref="J6:M6"/>
    <mergeCell ref="BG6:BG7"/>
    <mergeCell ref="BC5:BI5"/>
    <mergeCell ref="AF4:BI4"/>
    <mergeCell ref="AF5:AF7"/>
    <mergeCell ref="AG5:AR5"/>
    <mergeCell ref="AS5:BB5"/>
    <mergeCell ref="AG6:AG7"/>
    <mergeCell ref="AH6:AH7"/>
    <mergeCell ref="AI6:AI7"/>
    <mergeCell ref="AS6:AS7"/>
    <mergeCell ref="AT6:AT7"/>
    <mergeCell ref="AJ6:AJ7"/>
    <mergeCell ref="BI6:BI7"/>
    <mergeCell ref="BB6:BB7"/>
    <mergeCell ref="BC6:BC7"/>
    <mergeCell ref="BE6:BE7"/>
    <mergeCell ref="BF6:BF7"/>
    <mergeCell ref="BD6:BD7"/>
    <mergeCell ref="BH6:BH7"/>
    <mergeCell ref="AW6:BA6"/>
    <mergeCell ref="B6:E6"/>
    <mergeCell ref="F6:I6"/>
    <mergeCell ref="Y6:AB6"/>
    <mergeCell ref="Q6:T6"/>
    <mergeCell ref="U6:X6"/>
    <mergeCell ref="AO6:AO7"/>
    <mergeCell ref="AP6:AP7"/>
    <mergeCell ref="AQ6:AQ7"/>
    <mergeCell ref="AU6:AU7"/>
    <mergeCell ref="AR6:AR7"/>
    <mergeCell ref="AK6:AK7"/>
    <mergeCell ref="AL6:AL7"/>
    <mergeCell ref="AM6:AM7"/>
    <mergeCell ref="AN6:AN7"/>
    <mergeCell ref="AV6:AV7"/>
  </mergeCells>
  <phoneticPr fontId="8" type="noConversion"/>
  <pageMargins left="0.7" right="0.7" top="0.75" bottom="0.75" header="0.3" footer="0.3"/>
  <pageSetup orientation="portrait" horizontalDpi="4294967292" verticalDpi="4294967292"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R85"/>
  <sheetViews>
    <sheetView zoomScaleNormal="100" workbookViewId="0">
      <pane xSplit="1" ySplit="7" topLeftCell="B8" activePane="bottomRight" state="frozen"/>
      <selection pane="topRight" activeCell="C1" sqref="C1"/>
      <selection pane="bottomLeft" activeCell="A8" sqref="A8"/>
      <selection pane="bottomRight"/>
    </sheetView>
  </sheetViews>
  <sheetFormatPr defaultColWidth="10.7109375" defaultRowHeight="12" customHeight="1" x14ac:dyDescent="0.2"/>
  <cols>
    <col min="1" max="1" width="25.7109375" style="179" customWidth="1"/>
    <col min="2" max="3" width="10.7109375" style="21"/>
    <col min="4" max="4" width="12" style="21" bestFit="1" customWidth="1"/>
    <col min="5" max="5" width="15.140625" style="21" bestFit="1" customWidth="1"/>
    <col min="6" max="11" width="10.7109375" style="21"/>
    <col min="12" max="12" width="10.7109375" style="179"/>
    <col min="13" max="13" width="10.7109375" style="21"/>
    <col min="14" max="15" width="10.7109375" style="179"/>
    <col min="16" max="21" width="10.7109375" style="21"/>
    <col min="22" max="23" width="10.7109375" style="179"/>
    <col min="24" max="24" width="10.7109375" style="21"/>
    <col min="25" max="30" width="10.7109375" style="179"/>
    <col min="31" max="16384" width="10.7109375" style="67"/>
  </cols>
  <sheetData>
    <row r="2" spans="1:37" ht="18.75" x14ac:dyDescent="0.2">
      <c r="A2" s="1" t="s">
        <v>897</v>
      </c>
      <c r="B2" s="177"/>
      <c r="C2" s="177"/>
      <c r="D2" s="208"/>
      <c r="E2" s="209"/>
      <c r="F2" s="178"/>
      <c r="G2" s="178"/>
      <c r="H2" s="178"/>
      <c r="I2" s="178"/>
      <c r="J2" s="178"/>
      <c r="K2" s="127"/>
      <c r="L2" s="41"/>
      <c r="M2" s="178"/>
      <c r="N2" s="41"/>
      <c r="O2" s="41"/>
      <c r="P2" s="178"/>
      <c r="Q2" s="178"/>
      <c r="R2" s="178"/>
      <c r="S2" s="178"/>
      <c r="T2" s="178"/>
      <c r="U2" s="178"/>
      <c r="V2" s="41"/>
      <c r="W2" s="41"/>
      <c r="X2" s="178"/>
      <c r="Y2" s="41"/>
      <c r="Z2" s="41"/>
      <c r="AA2" s="41"/>
      <c r="AB2" s="41"/>
      <c r="AC2" s="41"/>
      <c r="AD2" s="41"/>
    </row>
    <row r="3" spans="1:37" x14ac:dyDescent="0.2">
      <c r="A3" s="67"/>
      <c r="B3" s="128"/>
      <c r="C3" s="128"/>
      <c r="D3" s="127"/>
      <c r="E3" s="174"/>
      <c r="F3" s="174"/>
      <c r="G3" s="174"/>
      <c r="H3" s="174"/>
      <c r="I3" s="174"/>
      <c r="J3" s="174"/>
      <c r="K3" s="128"/>
      <c r="L3" s="67"/>
      <c r="M3" s="20"/>
      <c r="N3" s="174"/>
      <c r="O3" s="174"/>
      <c r="P3" s="174"/>
      <c r="Q3" s="174"/>
      <c r="R3" s="174"/>
      <c r="S3" s="174"/>
      <c r="T3" s="174"/>
      <c r="U3" s="206"/>
      <c r="V3" s="174"/>
      <c r="W3" s="174"/>
      <c r="X3" s="206"/>
      <c r="Y3" s="174"/>
      <c r="Z3" s="174"/>
      <c r="AA3" s="174"/>
      <c r="AB3" s="174"/>
      <c r="AC3" s="174"/>
      <c r="AD3" s="174"/>
    </row>
    <row r="4" spans="1:37" s="130" customFormat="1" ht="15.75" customHeight="1" x14ac:dyDescent="0.2">
      <c r="A4" s="129"/>
      <c r="B4" s="584" t="s">
        <v>539</v>
      </c>
      <c r="C4" s="585"/>
      <c r="D4" s="585"/>
      <c r="E4" s="585"/>
      <c r="F4" s="585"/>
      <c r="G4" s="585"/>
      <c r="H4" s="585"/>
      <c r="I4" s="585"/>
      <c r="J4" s="585"/>
      <c r="K4" s="588" t="s">
        <v>809</v>
      </c>
      <c r="L4" s="579" t="s">
        <v>540</v>
      </c>
      <c r="M4" s="579"/>
      <c r="N4" s="579"/>
      <c r="O4" s="579"/>
      <c r="P4" s="579"/>
      <c r="Q4" s="579"/>
      <c r="R4" s="579"/>
      <c r="S4" s="579"/>
      <c r="T4" s="579"/>
      <c r="U4" s="579"/>
      <c r="V4" s="579"/>
      <c r="W4" s="579"/>
      <c r="X4" s="579"/>
      <c r="Y4" s="579"/>
      <c r="Z4" s="579"/>
      <c r="AA4" s="579"/>
      <c r="AB4" s="579"/>
      <c r="AC4" s="579"/>
      <c r="AD4" s="580"/>
    </row>
    <row r="5" spans="1:37" s="130" customFormat="1" ht="12" customHeight="1" x14ac:dyDescent="0.2">
      <c r="A5" s="131"/>
      <c r="B5" s="586"/>
      <c r="C5" s="587"/>
      <c r="D5" s="587"/>
      <c r="E5" s="587"/>
      <c r="F5" s="587"/>
      <c r="G5" s="587"/>
      <c r="H5" s="587"/>
      <c r="I5" s="587"/>
      <c r="J5" s="587"/>
      <c r="K5" s="589"/>
      <c r="L5" s="581" t="s">
        <v>0</v>
      </c>
      <c r="M5" s="590" t="s">
        <v>1</v>
      </c>
      <c r="N5" s="590"/>
      <c r="O5" s="590"/>
      <c r="P5" s="590"/>
      <c r="Q5" s="590"/>
      <c r="R5" s="590"/>
      <c r="S5" s="590"/>
      <c r="T5" s="590"/>
      <c r="U5" s="590"/>
      <c r="V5" s="591" t="s">
        <v>3</v>
      </c>
      <c r="W5" s="590"/>
      <c r="X5" s="590"/>
      <c r="Y5" s="590"/>
      <c r="Z5" s="590"/>
      <c r="AA5" s="590"/>
      <c r="AB5" s="590"/>
      <c r="AC5" s="590"/>
      <c r="AD5" s="592"/>
    </row>
    <row r="6" spans="1:37" s="130" customFormat="1" ht="12" customHeight="1" x14ac:dyDescent="0.2">
      <c r="A6" s="131"/>
      <c r="B6" s="591" t="s">
        <v>58</v>
      </c>
      <c r="C6" s="590"/>
      <c r="D6" s="590"/>
      <c r="E6" s="590"/>
      <c r="F6" s="590"/>
      <c r="G6" s="590"/>
      <c r="H6" s="590"/>
      <c r="I6" s="590"/>
      <c r="J6" s="577" t="s">
        <v>59</v>
      </c>
      <c r="K6" s="589"/>
      <c r="L6" s="582"/>
      <c r="M6" s="564" t="s">
        <v>6</v>
      </c>
      <c r="N6" s="594" t="s">
        <v>7</v>
      </c>
      <c r="O6" s="560" t="s">
        <v>8</v>
      </c>
      <c r="P6" s="561" t="s">
        <v>9</v>
      </c>
      <c r="Q6" s="561" t="s">
        <v>10</v>
      </c>
      <c r="R6" s="561" t="s">
        <v>60</v>
      </c>
      <c r="S6" s="561" t="s">
        <v>11</v>
      </c>
      <c r="T6" s="561" t="s">
        <v>12</v>
      </c>
      <c r="U6" s="581" t="s">
        <v>61</v>
      </c>
      <c r="V6" s="561" t="s">
        <v>15</v>
      </c>
      <c r="W6" s="561" t="s">
        <v>541</v>
      </c>
      <c r="X6" s="561" t="s">
        <v>62</v>
      </c>
      <c r="Y6" s="561" t="s">
        <v>63</v>
      </c>
      <c r="Z6" s="561" t="s">
        <v>64</v>
      </c>
      <c r="AA6" s="595" t="s">
        <v>65</v>
      </c>
      <c r="AB6" s="595"/>
      <c r="AC6" s="561" t="s">
        <v>66</v>
      </c>
      <c r="AD6" s="581" t="s">
        <v>67</v>
      </c>
    </row>
    <row r="7" spans="1:37" s="130" customFormat="1" ht="84" x14ac:dyDescent="0.25">
      <c r="A7" s="445" t="s">
        <v>3</v>
      </c>
      <c r="B7" s="45" t="s">
        <v>1161</v>
      </c>
      <c r="C7" s="46" t="s">
        <v>542</v>
      </c>
      <c r="D7" s="47" t="s">
        <v>1162</v>
      </c>
      <c r="E7" s="414" t="s">
        <v>68</v>
      </c>
      <c r="F7" s="414" t="s">
        <v>69</v>
      </c>
      <c r="G7" s="414" t="s">
        <v>70</v>
      </c>
      <c r="H7" s="414" t="s">
        <v>71</v>
      </c>
      <c r="I7" s="414" t="s">
        <v>1163</v>
      </c>
      <c r="J7" s="593"/>
      <c r="K7" s="589"/>
      <c r="L7" s="583"/>
      <c r="M7" s="555"/>
      <c r="N7" s="552"/>
      <c r="O7" s="556"/>
      <c r="P7" s="562"/>
      <c r="Q7" s="562"/>
      <c r="R7" s="562"/>
      <c r="S7" s="562"/>
      <c r="T7" s="562"/>
      <c r="U7" s="583"/>
      <c r="V7" s="562"/>
      <c r="W7" s="562"/>
      <c r="X7" s="562"/>
      <c r="Y7" s="562"/>
      <c r="Z7" s="562"/>
      <c r="AA7" s="415" t="s">
        <v>72</v>
      </c>
      <c r="AB7" s="415" t="s">
        <v>73</v>
      </c>
      <c r="AC7" s="562"/>
      <c r="AD7" s="583"/>
    </row>
    <row r="8" spans="1:37" s="105" customFormat="1" ht="12" customHeight="1" x14ac:dyDescent="0.2">
      <c r="A8" s="373" t="s">
        <v>513</v>
      </c>
      <c r="B8" s="132"/>
      <c r="C8" s="133"/>
      <c r="D8" s="168"/>
      <c r="E8" s="134"/>
      <c r="F8" s="134"/>
      <c r="G8" s="134"/>
      <c r="H8" s="135"/>
      <c r="I8" s="414"/>
      <c r="J8" s="136"/>
      <c r="K8" s="48"/>
      <c r="L8" s="416"/>
      <c r="M8" s="418"/>
      <c r="N8" s="24"/>
      <c r="O8" s="137"/>
      <c r="P8" s="414"/>
      <c r="Q8" s="414"/>
      <c r="R8" s="414"/>
      <c r="S8" s="414"/>
      <c r="T8" s="414"/>
      <c r="U8" s="416"/>
      <c r="V8" s="414"/>
      <c r="W8" s="414"/>
      <c r="X8" s="414"/>
      <c r="Y8" s="414"/>
      <c r="Z8" s="414"/>
      <c r="AA8" s="414"/>
      <c r="AB8" s="414"/>
      <c r="AC8" s="414"/>
      <c r="AD8" s="416"/>
      <c r="AE8" s="174" t="s">
        <v>50</v>
      </c>
    </row>
    <row r="9" spans="1:37" s="105" customFormat="1" ht="12" customHeight="1" x14ac:dyDescent="0.2">
      <c r="A9" s="81" t="s">
        <v>514</v>
      </c>
      <c r="B9" s="168">
        <v>1099.60092102874</v>
      </c>
      <c r="C9" s="139" t="s">
        <v>530</v>
      </c>
      <c r="D9" s="168">
        <f>B9</f>
        <v>1099.60092102874</v>
      </c>
      <c r="E9" s="140">
        <v>2058.2363511442099</v>
      </c>
      <c r="F9" s="419" t="s">
        <v>37</v>
      </c>
      <c r="G9" s="419" t="s">
        <v>37</v>
      </c>
      <c r="H9" s="74">
        <v>2010</v>
      </c>
      <c r="I9" s="188" t="s">
        <v>82</v>
      </c>
      <c r="J9" s="141">
        <f>'DATA Inflation GDP'!AA10/'DATA Inflation GDP'!W10</f>
        <v>1.0737755122201806</v>
      </c>
      <c r="K9" s="44">
        <f>D9*J9</f>
        <v>1180.7245422154176</v>
      </c>
      <c r="L9" s="62" t="s">
        <v>1013</v>
      </c>
      <c r="M9" s="99" t="s">
        <v>46</v>
      </c>
      <c r="N9" s="185" t="s">
        <v>77</v>
      </c>
      <c r="O9" s="193" t="s">
        <v>1014</v>
      </c>
      <c r="P9" s="419" t="s">
        <v>720</v>
      </c>
      <c r="Q9" s="419" t="s">
        <v>103</v>
      </c>
      <c r="R9" s="419" t="s">
        <v>721</v>
      </c>
      <c r="S9" s="419" t="s">
        <v>47</v>
      </c>
      <c r="T9" s="419" t="s">
        <v>43</v>
      </c>
      <c r="U9" s="331" t="s">
        <v>1017</v>
      </c>
      <c r="V9" s="142" t="s">
        <v>716</v>
      </c>
      <c r="W9" s="142" t="s">
        <v>1169</v>
      </c>
      <c r="X9" s="188" t="s">
        <v>533</v>
      </c>
      <c r="Y9" s="95" t="s">
        <v>43</v>
      </c>
      <c r="Z9" s="188" t="s">
        <v>43</v>
      </c>
      <c r="AA9" s="188" t="s">
        <v>43</v>
      </c>
      <c r="AB9" s="188" t="s">
        <v>43</v>
      </c>
      <c r="AC9" s="97" t="s">
        <v>1020</v>
      </c>
      <c r="AD9" s="98" t="s">
        <v>41</v>
      </c>
      <c r="AE9" s="174" t="s">
        <v>50</v>
      </c>
    </row>
    <row r="10" spans="1:37" s="105" customFormat="1" ht="12" customHeight="1" x14ac:dyDescent="0.2">
      <c r="A10" s="501" t="s">
        <v>810</v>
      </c>
      <c r="B10" s="168">
        <v>730.01</v>
      </c>
      <c r="C10" s="139" t="s">
        <v>42</v>
      </c>
      <c r="D10" s="168">
        <f>B10</f>
        <v>730.01</v>
      </c>
      <c r="E10" s="143" t="s">
        <v>37</v>
      </c>
      <c r="F10" s="143" t="s">
        <v>37</v>
      </c>
      <c r="G10" s="143" t="s">
        <v>37</v>
      </c>
      <c r="H10" s="419">
        <v>2016</v>
      </c>
      <c r="I10" s="419" t="s">
        <v>41</v>
      </c>
      <c r="J10" s="141">
        <v>1</v>
      </c>
      <c r="K10" s="44">
        <f>D10*J10</f>
        <v>730.01</v>
      </c>
      <c r="L10" s="144" t="s">
        <v>1179</v>
      </c>
      <c r="M10" s="99" t="s">
        <v>46</v>
      </c>
      <c r="N10" s="185" t="s">
        <v>77</v>
      </c>
      <c r="O10" s="480" t="s">
        <v>780</v>
      </c>
      <c r="P10" s="188">
        <v>2012</v>
      </c>
      <c r="Q10" s="419" t="s">
        <v>103</v>
      </c>
      <c r="R10" s="480" t="s">
        <v>779</v>
      </c>
      <c r="S10" s="188" t="s">
        <v>47</v>
      </c>
      <c r="T10" s="419" t="s">
        <v>39</v>
      </c>
      <c r="U10" s="417" t="s">
        <v>1016</v>
      </c>
      <c r="V10" s="142" t="s">
        <v>1018</v>
      </c>
      <c r="W10" s="142" t="s">
        <v>1069</v>
      </c>
      <c r="X10" s="419" t="s">
        <v>86</v>
      </c>
      <c r="Y10" s="95" t="s">
        <v>39</v>
      </c>
      <c r="Z10" s="419" t="s">
        <v>43</v>
      </c>
      <c r="AA10" s="419" t="s">
        <v>43</v>
      </c>
      <c r="AB10" s="419" t="s">
        <v>43</v>
      </c>
      <c r="AC10" s="142" t="s">
        <v>1070</v>
      </c>
      <c r="AD10" s="145" t="s">
        <v>1042</v>
      </c>
      <c r="AE10" s="174" t="s">
        <v>50</v>
      </c>
      <c r="AF10" s="174"/>
      <c r="AH10" s="174"/>
      <c r="AI10" s="174"/>
      <c r="AJ10" s="174"/>
      <c r="AK10" s="174"/>
    </row>
    <row r="11" spans="1:37" s="105" customFormat="1" ht="12" customHeight="1" x14ac:dyDescent="0.2">
      <c r="A11" s="111" t="s">
        <v>515</v>
      </c>
      <c r="B11" s="168"/>
      <c r="C11" s="139"/>
      <c r="D11" s="168"/>
      <c r="E11" s="419"/>
      <c r="F11" s="419"/>
      <c r="G11" s="419"/>
      <c r="H11" s="74"/>
      <c r="I11" s="74"/>
      <c r="J11" s="141"/>
      <c r="K11" s="44"/>
      <c r="L11" s="144"/>
      <c r="M11" s="99"/>
      <c r="N11" s="97"/>
      <c r="O11" s="97"/>
      <c r="P11" s="419"/>
      <c r="Q11" s="419"/>
      <c r="R11" s="419"/>
      <c r="S11" s="419"/>
      <c r="T11" s="419"/>
      <c r="U11" s="98"/>
      <c r="V11" s="419"/>
      <c r="W11" s="97"/>
      <c r="X11" s="419"/>
      <c r="Y11" s="419"/>
      <c r="Z11" s="419"/>
      <c r="AA11" s="419"/>
      <c r="AB11" s="419"/>
      <c r="AC11" s="97"/>
      <c r="AD11" s="144"/>
      <c r="AE11" s="174" t="s">
        <v>50</v>
      </c>
      <c r="AF11" s="174"/>
      <c r="AH11" s="174"/>
      <c r="AI11" s="174"/>
      <c r="AJ11" s="174"/>
      <c r="AK11" s="174"/>
    </row>
    <row r="12" spans="1:37" s="105" customFormat="1" ht="12" customHeight="1" x14ac:dyDescent="0.2">
      <c r="A12" s="112" t="s">
        <v>517</v>
      </c>
      <c r="B12" s="168">
        <v>166</v>
      </c>
      <c r="C12" s="139" t="s">
        <v>530</v>
      </c>
      <c r="D12" s="168">
        <f>B12</f>
        <v>166</v>
      </c>
      <c r="E12" s="419" t="s">
        <v>37</v>
      </c>
      <c r="F12" s="419" t="s">
        <v>37</v>
      </c>
      <c r="G12" s="419" t="s">
        <v>37</v>
      </c>
      <c r="H12" s="74">
        <v>2013</v>
      </c>
      <c r="I12" s="74" t="s">
        <v>76</v>
      </c>
      <c r="J12" s="141">
        <f>'DATA Inflation PCE'!AA46/'DATA Inflation PCE'!Z46</f>
        <v>1.0143419520579593</v>
      </c>
      <c r="K12" s="44">
        <f>D12*J12</f>
        <v>168.38076404162123</v>
      </c>
      <c r="L12" s="144" t="s">
        <v>534</v>
      </c>
      <c r="M12" s="99" t="s">
        <v>46</v>
      </c>
      <c r="N12" s="97" t="s">
        <v>77</v>
      </c>
      <c r="O12" s="97" t="s">
        <v>102</v>
      </c>
      <c r="P12" s="419">
        <v>2013</v>
      </c>
      <c r="Q12" s="419" t="s">
        <v>103</v>
      </c>
      <c r="R12" s="419" t="s">
        <v>37</v>
      </c>
      <c r="S12" s="419" t="s">
        <v>37</v>
      </c>
      <c r="T12" s="419" t="s">
        <v>43</v>
      </c>
      <c r="U12" s="332" t="s">
        <v>37</v>
      </c>
      <c r="V12" s="97" t="s">
        <v>535</v>
      </c>
      <c r="W12" s="142" t="s">
        <v>1019</v>
      </c>
      <c r="X12" s="97" t="s">
        <v>79</v>
      </c>
      <c r="Y12" s="95" t="s">
        <v>43</v>
      </c>
      <c r="Z12" s="419" t="s">
        <v>39</v>
      </c>
      <c r="AA12" s="419" t="s">
        <v>39</v>
      </c>
      <c r="AB12" s="419" t="s">
        <v>43</v>
      </c>
      <c r="AC12" s="97" t="s">
        <v>536</v>
      </c>
      <c r="AD12" s="98" t="s">
        <v>41</v>
      </c>
      <c r="AE12" s="174" t="s">
        <v>50</v>
      </c>
      <c r="AF12" s="174"/>
      <c r="AH12" s="174"/>
      <c r="AI12" s="174"/>
      <c r="AJ12" s="174"/>
      <c r="AK12" s="174"/>
    </row>
    <row r="13" spans="1:37" s="105" customFormat="1" ht="12" customHeight="1" x14ac:dyDescent="0.2">
      <c r="A13" s="112" t="s">
        <v>518</v>
      </c>
      <c r="B13" s="168"/>
      <c r="C13" s="139"/>
      <c r="D13" s="168"/>
      <c r="E13" s="489"/>
      <c r="F13" s="489"/>
      <c r="G13" s="489"/>
      <c r="H13" s="74"/>
      <c r="I13" s="74"/>
      <c r="J13" s="141"/>
      <c r="K13" s="44"/>
      <c r="L13" s="144"/>
      <c r="M13" s="99"/>
      <c r="N13" s="97"/>
      <c r="O13" s="97"/>
      <c r="P13" s="489"/>
      <c r="Q13" s="489"/>
      <c r="R13" s="489"/>
      <c r="S13" s="489"/>
      <c r="T13" s="489"/>
      <c r="U13" s="332"/>
      <c r="V13" s="97"/>
      <c r="W13" s="142"/>
      <c r="X13" s="97"/>
      <c r="Y13" s="95"/>
      <c r="Z13" s="489"/>
      <c r="AA13" s="489"/>
      <c r="AB13" s="489"/>
      <c r="AC13" s="97"/>
      <c r="AD13" s="98"/>
      <c r="AE13" s="489"/>
      <c r="AF13" s="489"/>
      <c r="AH13" s="489"/>
      <c r="AI13" s="489"/>
      <c r="AJ13" s="489"/>
      <c r="AK13" s="489"/>
    </row>
    <row r="14" spans="1:37" s="105" customFormat="1" ht="12" customHeight="1" x14ac:dyDescent="0.2">
      <c r="A14" s="147" t="s">
        <v>74</v>
      </c>
      <c r="B14" s="168">
        <v>2674</v>
      </c>
      <c r="C14" s="139" t="s">
        <v>42</v>
      </c>
      <c r="D14" s="168">
        <f>B14</f>
        <v>2674</v>
      </c>
      <c r="E14" s="419" t="s">
        <v>37</v>
      </c>
      <c r="F14" s="419" t="s">
        <v>37</v>
      </c>
      <c r="G14" s="419" t="s">
        <v>37</v>
      </c>
      <c r="H14" s="74">
        <v>2010</v>
      </c>
      <c r="I14" s="74" t="s">
        <v>76</v>
      </c>
      <c r="J14" s="141">
        <f>'DATA Inflation PCE'!AA46/'DATA Inflation PCE'!W46</f>
        <v>1.0697397914433291</v>
      </c>
      <c r="K14" s="44">
        <f>D14*J14</f>
        <v>2860.4842023194619</v>
      </c>
      <c r="L14" s="144" t="s">
        <v>725</v>
      </c>
      <c r="M14" s="99" t="s">
        <v>46</v>
      </c>
      <c r="N14" s="97" t="s">
        <v>83</v>
      </c>
      <c r="O14" s="97" t="s">
        <v>52</v>
      </c>
      <c r="P14" s="419">
        <v>2010</v>
      </c>
      <c r="Q14" s="419" t="s">
        <v>103</v>
      </c>
      <c r="R14" s="419" t="s">
        <v>104</v>
      </c>
      <c r="S14" s="419" t="s">
        <v>47</v>
      </c>
      <c r="T14" s="419" t="s">
        <v>39</v>
      </c>
      <c r="U14" s="332" t="s">
        <v>52</v>
      </c>
      <c r="V14" s="97" t="s">
        <v>1074</v>
      </c>
      <c r="W14" s="142" t="s">
        <v>1077</v>
      </c>
      <c r="X14" s="97" t="s">
        <v>79</v>
      </c>
      <c r="Y14" s="95" t="s">
        <v>43</v>
      </c>
      <c r="Z14" s="419" t="s">
        <v>39</v>
      </c>
      <c r="AA14" s="480" t="s">
        <v>39</v>
      </c>
      <c r="AB14" s="419" t="s">
        <v>43</v>
      </c>
      <c r="AC14" s="97" t="s">
        <v>1076</v>
      </c>
      <c r="AD14" s="145" t="s">
        <v>1042</v>
      </c>
      <c r="AE14" s="174" t="s">
        <v>50</v>
      </c>
      <c r="AF14" s="174"/>
      <c r="AH14" s="174"/>
      <c r="AI14" s="174"/>
      <c r="AJ14" s="174"/>
      <c r="AK14" s="174"/>
    </row>
    <row r="15" spans="1:37" s="105" customFormat="1" ht="12" customHeight="1" x14ac:dyDescent="0.2">
      <c r="A15" s="147" t="s">
        <v>80</v>
      </c>
      <c r="B15" s="168">
        <v>3904</v>
      </c>
      <c r="C15" s="139" t="s">
        <v>42</v>
      </c>
      <c r="D15" s="168">
        <f>B15</f>
        <v>3904</v>
      </c>
      <c r="E15" s="489" t="s">
        <v>37</v>
      </c>
      <c r="F15" s="489" t="s">
        <v>37</v>
      </c>
      <c r="G15" s="489" t="s">
        <v>37</v>
      </c>
      <c r="H15" s="74">
        <v>2010</v>
      </c>
      <c r="I15" s="74" t="s">
        <v>82</v>
      </c>
      <c r="J15" s="141">
        <f>'DATA Inflation GDP'!AA10/'DATA Inflation GDP'!W10</f>
        <v>1.0737755122201806</v>
      </c>
      <c r="K15" s="44">
        <f>D15*J15</f>
        <v>4192.0195997075853</v>
      </c>
      <c r="L15" s="144" t="s">
        <v>725</v>
      </c>
      <c r="M15" s="99" t="s">
        <v>46</v>
      </c>
      <c r="N15" s="97" t="s">
        <v>83</v>
      </c>
      <c r="O15" s="97" t="s">
        <v>52</v>
      </c>
      <c r="P15" s="489">
        <v>2010</v>
      </c>
      <c r="Q15" s="489" t="s">
        <v>103</v>
      </c>
      <c r="R15" s="489" t="s">
        <v>104</v>
      </c>
      <c r="S15" s="489" t="s">
        <v>47</v>
      </c>
      <c r="T15" s="489" t="s">
        <v>39</v>
      </c>
      <c r="U15" s="332" t="s">
        <v>52</v>
      </c>
      <c r="V15" s="97" t="s">
        <v>1073</v>
      </c>
      <c r="W15" s="142" t="s">
        <v>1079</v>
      </c>
      <c r="X15" s="97" t="s">
        <v>86</v>
      </c>
      <c r="Y15" s="95" t="s">
        <v>43</v>
      </c>
      <c r="Z15" s="489" t="s">
        <v>43</v>
      </c>
      <c r="AA15" s="489" t="s">
        <v>39</v>
      </c>
      <c r="AB15" s="489" t="s">
        <v>43</v>
      </c>
      <c r="AC15" s="97" t="s">
        <v>1076</v>
      </c>
      <c r="AD15" s="145" t="s">
        <v>1042</v>
      </c>
      <c r="AE15" s="489" t="s">
        <v>50</v>
      </c>
      <c r="AF15" s="489"/>
      <c r="AH15" s="489"/>
      <c r="AI15" s="489"/>
      <c r="AJ15" s="489"/>
      <c r="AK15" s="489"/>
    </row>
    <row r="16" spans="1:37" s="105" customFormat="1" ht="12" customHeight="1" x14ac:dyDescent="0.2">
      <c r="A16" s="112" t="s">
        <v>519</v>
      </c>
      <c r="B16" s="168"/>
      <c r="C16" s="139"/>
      <c r="D16" s="168"/>
      <c r="E16" s="489"/>
      <c r="F16" s="489"/>
      <c r="G16" s="489"/>
      <c r="H16" s="74"/>
      <c r="I16" s="74"/>
      <c r="J16" s="141"/>
      <c r="K16" s="44"/>
      <c r="L16" s="144"/>
      <c r="M16" s="99"/>
      <c r="N16" s="97"/>
      <c r="O16" s="97"/>
      <c r="P16" s="489"/>
      <c r="Q16" s="489"/>
      <c r="R16" s="489"/>
      <c r="S16" s="489"/>
      <c r="T16" s="489"/>
      <c r="U16" s="332"/>
      <c r="V16" s="97"/>
      <c r="W16" s="142"/>
      <c r="X16" s="97"/>
      <c r="Y16" s="95"/>
      <c r="Z16" s="489"/>
      <c r="AA16" s="489"/>
      <c r="AB16" s="489"/>
      <c r="AC16" s="97"/>
      <c r="AD16" s="145"/>
      <c r="AE16" s="489"/>
      <c r="AF16" s="489"/>
      <c r="AH16" s="489"/>
      <c r="AI16" s="489"/>
      <c r="AJ16" s="489"/>
      <c r="AK16" s="489"/>
    </row>
    <row r="17" spans="1:37" s="105" customFormat="1" ht="12" customHeight="1" x14ac:dyDescent="0.2">
      <c r="A17" s="147" t="s">
        <v>74</v>
      </c>
      <c r="B17" s="168">
        <v>28858</v>
      </c>
      <c r="C17" s="139" t="s">
        <v>42</v>
      </c>
      <c r="D17" s="168">
        <f>B17</f>
        <v>28858</v>
      </c>
      <c r="E17" s="419" t="s">
        <v>37</v>
      </c>
      <c r="F17" s="419" t="s">
        <v>37</v>
      </c>
      <c r="G17" s="419" t="s">
        <v>37</v>
      </c>
      <c r="H17" s="74">
        <v>2010</v>
      </c>
      <c r="I17" s="74" t="s">
        <v>76</v>
      </c>
      <c r="J17" s="141">
        <f>'DATA Inflation PCE'!AA46/'DATA Inflation PCE'!W46</f>
        <v>1.0697397914433291</v>
      </c>
      <c r="K17" s="44">
        <f>D17*J17</f>
        <v>30870.55090147159</v>
      </c>
      <c r="L17" s="144" t="s">
        <v>725</v>
      </c>
      <c r="M17" s="99" t="s">
        <v>46</v>
      </c>
      <c r="N17" s="97" t="s">
        <v>83</v>
      </c>
      <c r="O17" s="97" t="s">
        <v>52</v>
      </c>
      <c r="P17" s="419">
        <v>2010</v>
      </c>
      <c r="Q17" s="419" t="s">
        <v>103</v>
      </c>
      <c r="R17" s="419" t="s">
        <v>104</v>
      </c>
      <c r="S17" s="419" t="s">
        <v>47</v>
      </c>
      <c r="T17" s="419" t="s">
        <v>39</v>
      </c>
      <c r="U17" s="332" t="s">
        <v>52</v>
      </c>
      <c r="V17" s="97" t="s">
        <v>1072</v>
      </c>
      <c r="W17" s="142" t="s">
        <v>1078</v>
      </c>
      <c r="X17" s="97" t="s">
        <v>79</v>
      </c>
      <c r="Y17" s="95" t="s">
        <v>43</v>
      </c>
      <c r="Z17" s="419" t="s">
        <v>39</v>
      </c>
      <c r="AA17" s="480" t="s">
        <v>39</v>
      </c>
      <c r="AB17" s="419" t="s">
        <v>43</v>
      </c>
      <c r="AC17" s="97" t="s">
        <v>1076</v>
      </c>
      <c r="AD17" s="145" t="s">
        <v>1042</v>
      </c>
      <c r="AE17" s="174" t="s">
        <v>50</v>
      </c>
      <c r="AF17" s="174"/>
      <c r="AH17" s="174"/>
      <c r="AI17" s="174"/>
      <c r="AJ17" s="174"/>
      <c r="AK17" s="174"/>
    </row>
    <row r="18" spans="1:37" s="105" customFormat="1" ht="12" customHeight="1" x14ac:dyDescent="0.2">
      <c r="A18" s="147" t="s">
        <v>80</v>
      </c>
      <c r="B18" s="168">
        <v>118076</v>
      </c>
      <c r="C18" s="139" t="s">
        <v>42</v>
      </c>
      <c r="D18" s="168">
        <f>B18</f>
        <v>118076</v>
      </c>
      <c r="E18" s="489" t="s">
        <v>37</v>
      </c>
      <c r="F18" s="489" t="s">
        <v>37</v>
      </c>
      <c r="G18" s="489" t="s">
        <v>37</v>
      </c>
      <c r="H18" s="74">
        <v>2010</v>
      </c>
      <c r="I18" s="74" t="s">
        <v>82</v>
      </c>
      <c r="J18" s="141">
        <f>'DATA Inflation GDP'!AA10/'DATA Inflation GDP'!W10</f>
        <v>1.0737755122201806</v>
      </c>
      <c r="K18" s="44">
        <f>D18*J18</f>
        <v>126787.11738091004</v>
      </c>
      <c r="L18" s="144" t="s">
        <v>725</v>
      </c>
      <c r="M18" s="99" t="s">
        <v>46</v>
      </c>
      <c r="N18" s="97" t="s">
        <v>83</v>
      </c>
      <c r="O18" s="97" t="s">
        <v>52</v>
      </c>
      <c r="P18" s="489">
        <v>2010</v>
      </c>
      <c r="Q18" s="489" t="s">
        <v>103</v>
      </c>
      <c r="R18" s="489" t="s">
        <v>104</v>
      </c>
      <c r="S18" s="489" t="s">
        <v>47</v>
      </c>
      <c r="T18" s="489" t="s">
        <v>39</v>
      </c>
      <c r="U18" s="332" t="s">
        <v>52</v>
      </c>
      <c r="V18" s="97" t="s">
        <v>1071</v>
      </c>
      <c r="W18" s="142" t="s">
        <v>1079</v>
      </c>
      <c r="X18" s="97" t="s">
        <v>86</v>
      </c>
      <c r="Y18" s="95" t="s">
        <v>43</v>
      </c>
      <c r="Z18" s="489" t="s">
        <v>43</v>
      </c>
      <c r="AA18" s="489" t="s">
        <v>39</v>
      </c>
      <c r="AB18" s="489" t="s">
        <v>43</v>
      </c>
      <c r="AC18" s="97" t="s">
        <v>1076</v>
      </c>
      <c r="AD18" s="145" t="s">
        <v>1042</v>
      </c>
      <c r="AE18" s="489" t="s">
        <v>50</v>
      </c>
      <c r="AF18" s="489"/>
      <c r="AH18" s="489"/>
      <c r="AI18" s="489"/>
      <c r="AJ18" s="489"/>
      <c r="AK18" s="489"/>
    </row>
    <row r="19" spans="1:37" s="105" customFormat="1" ht="12" customHeight="1" x14ac:dyDescent="0.2">
      <c r="A19" s="81" t="s">
        <v>520</v>
      </c>
      <c r="B19" s="168"/>
      <c r="C19" s="139"/>
      <c r="D19" s="168"/>
      <c r="E19" s="143"/>
      <c r="F19" s="143"/>
      <c r="G19" s="143"/>
      <c r="H19" s="419"/>
      <c r="I19" s="419"/>
      <c r="J19" s="141"/>
      <c r="K19" s="44"/>
      <c r="L19" s="144"/>
      <c r="M19" s="99"/>
      <c r="N19" s="97"/>
      <c r="O19" s="97"/>
      <c r="P19" s="188"/>
      <c r="Q19" s="419"/>
      <c r="R19" s="419"/>
      <c r="S19" s="419"/>
      <c r="T19" s="419"/>
      <c r="U19" s="332"/>
      <c r="V19" s="97"/>
      <c r="W19" s="142"/>
      <c r="X19" s="419"/>
      <c r="Y19" s="95"/>
      <c r="Z19" s="419"/>
      <c r="AA19" s="419"/>
      <c r="AB19" s="419"/>
      <c r="AC19" s="97"/>
      <c r="AD19" s="145"/>
      <c r="AE19" s="174" t="s">
        <v>50</v>
      </c>
      <c r="AF19" s="174"/>
      <c r="AH19" s="174"/>
      <c r="AI19" s="174"/>
      <c r="AJ19" s="174"/>
      <c r="AK19" s="174"/>
    </row>
    <row r="20" spans="1:37" s="105" customFormat="1" ht="12" customHeight="1" x14ac:dyDescent="0.2">
      <c r="A20" s="147" t="s">
        <v>74</v>
      </c>
      <c r="B20" s="168">
        <v>11707</v>
      </c>
      <c r="C20" s="139" t="s">
        <v>42</v>
      </c>
      <c r="D20" s="168">
        <f>B20</f>
        <v>11707</v>
      </c>
      <c r="E20" s="143" t="s">
        <v>37</v>
      </c>
      <c r="F20" s="143" t="s">
        <v>37</v>
      </c>
      <c r="G20" s="143" t="s">
        <v>37</v>
      </c>
      <c r="H20" s="74">
        <v>2014</v>
      </c>
      <c r="I20" s="74" t="s">
        <v>76</v>
      </c>
      <c r="J20" s="141">
        <v>1</v>
      </c>
      <c r="K20" s="44">
        <f>D20*J20</f>
        <v>11707</v>
      </c>
      <c r="L20" s="144" t="s">
        <v>725</v>
      </c>
      <c r="M20" s="99" t="s">
        <v>46</v>
      </c>
      <c r="N20" s="97" t="s">
        <v>83</v>
      </c>
      <c r="O20" s="97" t="s">
        <v>52</v>
      </c>
      <c r="P20" s="188">
        <v>2014</v>
      </c>
      <c r="Q20" s="419" t="s">
        <v>103</v>
      </c>
      <c r="R20" s="419" t="s">
        <v>104</v>
      </c>
      <c r="S20" s="419" t="s">
        <v>47</v>
      </c>
      <c r="T20" s="419" t="s">
        <v>39</v>
      </c>
      <c r="U20" s="332" t="s">
        <v>52</v>
      </c>
      <c r="V20" s="97" t="s">
        <v>1021</v>
      </c>
      <c r="W20" s="142" t="s">
        <v>1078</v>
      </c>
      <c r="X20" s="419" t="s">
        <v>86</v>
      </c>
      <c r="Y20" s="95" t="s">
        <v>43</v>
      </c>
      <c r="Z20" s="419" t="s">
        <v>39</v>
      </c>
      <c r="AA20" s="419" t="s">
        <v>43</v>
      </c>
      <c r="AB20" s="419" t="s">
        <v>39</v>
      </c>
      <c r="AC20" s="97" t="s">
        <v>1076</v>
      </c>
      <c r="AD20" s="145" t="s">
        <v>1042</v>
      </c>
      <c r="AE20" s="174" t="s">
        <v>50</v>
      </c>
      <c r="AF20" s="174"/>
      <c r="AH20" s="174"/>
      <c r="AI20" s="174"/>
      <c r="AJ20" s="174"/>
      <c r="AK20" s="174"/>
    </row>
    <row r="21" spans="1:37" s="105" customFormat="1" ht="12" customHeight="1" x14ac:dyDescent="0.2">
      <c r="A21" s="147" t="s">
        <v>80</v>
      </c>
      <c r="B21" s="168">
        <v>1659520</v>
      </c>
      <c r="C21" s="139" t="s">
        <v>42</v>
      </c>
      <c r="D21" s="168">
        <f>B21</f>
        <v>1659520</v>
      </c>
      <c r="E21" s="143" t="s">
        <v>37</v>
      </c>
      <c r="F21" s="143" t="s">
        <v>37</v>
      </c>
      <c r="G21" s="143" t="s">
        <v>37</v>
      </c>
      <c r="H21" s="74">
        <v>2014</v>
      </c>
      <c r="I21" s="419" t="s">
        <v>82</v>
      </c>
      <c r="J21" s="141">
        <v>1</v>
      </c>
      <c r="K21" s="44">
        <f>D21*J21</f>
        <v>1659520</v>
      </c>
      <c r="L21" s="144" t="s">
        <v>725</v>
      </c>
      <c r="M21" s="99" t="s">
        <v>46</v>
      </c>
      <c r="N21" s="97" t="s">
        <v>83</v>
      </c>
      <c r="O21" s="97" t="s">
        <v>52</v>
      </c>
      <c r="P21" s="188">
        <v>2014</v>
      </c>
      <c r="Q21" s="419" t="s">
        <v>103</v>
      </c>
      <c r="R21" s="419" t="s">
        <v>104</v>
      </c>
      <c r="S21" s="419" t="s">
        <v>47</v>
      </c>
      <c r="T21" s="419" t="s">
        <v>39</v>
      </c>
      <c r="U21" s="332" t="s">
        <v>52</v>
      </c>
      <c r="V21" s="97" t="s">
        <v>537</v>
      </c>
      <c r="W21" s="142" t="s">
        <v>1080</v>
      </c>
      <c r="X21" s="419" t="s">
        <v>86</v>
      </c>
      <c r="Y21" s="95" t="s">
        <v>43</v>
      </c>
      <c r="Z21" s="419" t="s">
        <v>39</v>
      </c>
      <c r="AA21" s="419" t="s">
        <v>43</v>
      </c>
      <c r="AB21" s="419" t="s">
        <v>39</v>
      </c>
      <c r="AC21" s="97" t="s">
        <v>1076</v>
      </c>
      <c r="AD21" s="145" t="s">
        <v>1042</v>
      </c>
      <c r="AE21" s="174" t="s">
        <v>50</v>
      </c>
      <c r="AF21" s="174"/>
      <c r="AH21" s="174"/>
      <c r="AI21" s="174"/>
      <c r="AJ21" s="174"/>
      <c r="AK21" s="174"/>
    </row>
    <row r="22" spans="1:37" s="105" customFormat="1" ht="12" customHeight="1" x14ac:dyDescent="0.2">
      <c r="A22" s="82" t="s">
        <v>785</v>
      </c>
      <c r="B22" s="168"/>
      <c r="C22" s="139"/>
      <c r="D22" s="168"/>
      <c r="E22" s="143"/>
      <c r="F22" s="143"/>
      <c r="G22" s="143"/>
      <c r="H22" s="419"/>
      <c r="I22" s="419"/>
      <c r="J22" s="141"/>
      <c r="K22" s="44"/>
      <c r="L22" s="144"/>
      <c r="M22" s="99"/>
      <c r="N22" s="97"/>
      <c r="O22" s="97"/>
      <c r="P22" s="188"/>
      <c r="Q22" s="419"/>
      <c r="R22" s="419"/>
      <c r="S22" s="419"/>
      <c r="T22" s="419"/>
      <c r="U22" s="332"/>
      <c r="V22" s="97"/>
      <c r="W22" s="142"/>
      <c r="X22" s="419"/>
      <c r="Y22" s="95"/>
      <c r="Z22" s="419"/>
      <c r="AA22" s="419"/>
      <c r="AB22" s="419"/>
      <c r="AC22" s="97"/>
      <c r="AD22" s="145"/>
      <c r="AE22" s="174" t="s">
        <v>50</v>
      </c>
      <c r="AF22" s="174"/>
      <c r="AH22" s="174"/>
      <c r="AI22" s="174"/>
      <c r="AJ22" s="174"/>
      <c r="AK22" s="174"/>
    </row>
    <row r="23" spans="1:37" s="105" customFormat="1" ht="12" customHeight="1" x14ac:dyDescent="0.2">
      <c r="A23" s="112" t="s">
        <v>786</v>
      </c>
      <c r="B23" s="168">
        <v>14832.635000000002</v>
      </c>
      <c r="C23" s="139" t="s">
        <v>530</v>
      </c>
      <c r="D23" s="168">
        <f>B23</f>
        <v>14832.635000000002</v>
      </c>
      <c r="E23" s="146" t="s">
        <v>37</v>
      </c>
      <c r="F23" s="419" t="s">
        <v>37</v>
      </c>
      <c r="G23" s="419" t="s">
        <v>37</v>
      </c>
      <c r="H23" s="419">
        <v>2010</v>
      </c>
      <c r="I23" s="74" t="s">
        <v>76</v>
      </c>
      <c r="J23" s="141">
        <f>'DATA Inflation PCE'!AA46/'DATA Inflation PCE'!W46</f>
        <v>1.0697397914433291</v>
      </c>
      <c r="K23" s="44">
        <f>D23*J23</f>
        <v>15867.059871455025</v>
      </c>
      <c r="L23" s="144" t="s">
        <v>788</v>
      </c>
      <c r="M23" s="99" t="s">
        <v>46</v>
      </c>
      <c r="N23" s="97" t="s">
        <v>77</v>
      </c>
      <c r="O23" s="97" t="s">
        <v>1022</v>
      </c>
      <c r="P23" s="489">
        <v>2010</v>
      </c>
      <c r="Q23" s="489" t="s">
        <v>103</v>
      </c>
      <c r="R23" s="489" t="s">
        <v>1023</v>
      </c>
      <c r="S23" s="489" t="s">
        <v>40</v>
      </c>
      <c r="T23" s="489" t="s">
        <v>39</v>
      </c>
      <c r="U23" s="488" t="s">
        <v>1024</v>
      </c>
      <c r="V23" s="478" t="s">
        <v>1043</v>
      </c>
      <c r="W23" s="142" t="s">
        <v>1025</v>
      </c>
      <c r="X23" s="97" t="s">
        <v>79</v>
      </c>
      <c r="Y23" s="95" t="s">
        <v>43</v>
      </c>
      <c r="Z23" s="489" t="s">
        <v>39</v>
      </c>
      <c r="AA23" s="489" t="s">
        <v>43</v>
      </c>
      <c r="AB23" s="489" t="s">
        <v>43</v>
      </c>
      <c r="AC23" s="97" t="s">
        <v>536</v>
      </c>
      <c r="AD23" s="98" t="s">
        <v>41</v>
      </c>
      <c r="AE23" s="489" t="s">
        <v>50</v>
      </c>
      <c r="AF23" s="174"/>
      <c r="AH23" s="174"/>
      <c r="AI23" s="174"/>
      <c r="AJ23" s="174"/>
      <c r="AK23" s="174"/>
    </row>
    <row r="24" spans="1:37" s="105" customFormat="1" ht="12" customHeight="1" x14ac:dyDescent="0.2">
      <c r="A24" s="112" t="s">
        <v>787</v>
      </c>
      <c r="B24" s="168">
        <v>504</v>
      </c>
      <c r="C24" s="139" t="s">
        <v>530</v>
      </c>
      <c r="D24" s="168">
        <f>B24</f>
        <v>504</v>
      </c>
      <c r="E24" s="419" t="s">
        <v>37</v>
      </c>
      <c r="F24" s="419" t="s">
        <v>37</v>
      </c>
      <c r="G24" s="419" t="s">
        <v>37</v>
      </c>
      <c r="H24" s="74">
        <v>2012</v>
      </c>
      <c r="I24" s="74" t="s">
        <v>76</v>
      </c>
      <c r="J24" s="141">
        <f>'DATA Inflation PCE'!AA46/'DATA Inflation PCE'!Y46</f>
        <v>1.0271944600411753</v>
      </c>
      <c r="K24" s="44">
        <f>D24*J24</f>
        <v>517.70600786075238</v>
      </c>
      <c r="L24" s="144" t="s">
        <v>789</v>
      </c>
      <c r="M24" s="99" t="s">
        <v>46</v>
      </c>
      <c r="N24" s="97" t="s">
        <v>77</v>
      </c>
      <c r="O24" s="97" t="s">
        <v>1026</v>
      </c>
      <c r="P24" s="489">
        <v>2012</v>
      </c>
      <c r="Q24" s="489" t="s">
        <v>103</v>
      </c>
      <c r="R24" s="489" t="s">
        <v>37</v>
      </c>
      <c r="S24" s="489" t="s">
        <v>40</v>
      </c>
      <c r="T24" s="489" t="s">
        <v>39</v>
      </c>
      <c r="U24" s="144" t="s">
        <v>1027</v>
      </c>
      <c r="V24" s="478" t="s">
        <v>1048</v>
      </c>
      <c r="W24" s="142" t="s">
        <v>1049</v>
      </c>
      <c r="X24" s="97" t="s">
        <v>1028</v>
      </c>
      <c r="Y24" s="95" t="s">
        <v>43</v>
      </c>
      <c r="Z24" s="489" t="s">
        <v>39</v>
      </c>
      <c r="AA24" s="489" t="s">
        <v>43</v>
      </c>
      <c r="AB24" s="489" t="s">
        <v>43</v>
      </c>
      <c r="AC24" s="97" t="s">
        <v>1029</v>
      </c>
      <c r="AD24" s="98" t="s">
        <v>41</v>
      </c>
      <c r="AE24" s="489" t="s">
        <v>50</v>
      </c>
      <c r="AF24" s="174"/>
      <c r="AH24" s="174"/>
      <c r="AI24" s="174"/>
      <c r="AJ24" s="174"/>
      <c r="AK24" s="174"/>
    </row>
    <row r="25" spans="1:37" s="105" customFormat="1" ht="12" customHeight="1" x14ac:dyDescent="0.2">
      <c r="A25" s="112" t="s">
        <v>953</v>
      </c>
      <c r="B25" s="168">
        <f>B23*(1+(757/6600))</f>
        <v>16533.893287121216</v>
      </c>
      <c r="C25" s="139" t="s">
        <v>530</v>
      </c>
      <c r="D25" s="168">
        <f>B25</f>
        <v>16533.893287121216</v>
      </c>
      <c r="E25" s="419" t="s">
        <v>37</v>
      </c>
      <c r="F25" s="419" t="s">
        <v>37</v>
      </c>
      <c r="G25" s="419" t="s">
        <v>37</v>
      </c>
      <c r="H25" s="471">
        <v>2010</v>
      </c>
      <c r="I25" s="74" t="s">
        <v>76</v>
      </c>
      <c r="J25" s="141">
        <f>'DATA Inflation PCE'!AA46/'DATA Inflation PCE'!W46</f>
        <v>1.0697397914433291</v>
      </c>
      <c r="K25" s="44">
        <f>D25*J25</f>
        <v>17686.963556711307</v>
      </c>
      <c r="L25" s="144" t="s">
        <v>1012</v>
      </c>
      <c r="M25" s="99" t="s">
        <v>46</v>
      </c>
      <c r="N25" s="97" t="s">
        <v>77</v>
      </c>
      <c r="O25" s="97" t="s">
        <v>1081</v>
      </c>
      <c r="P25" s="188" t="s">
        <v>1084</v>
      </c>
      <c r="Q25" s="97" t="s">
        <v>1082</v>
      </c>
      <c r="R25" s="419" t="s">
        <v>41</v>
      </c>
      <c r="S25" s="419" t="s">
        <v>41</v>
      </c>
      <c r="T25" s="419" t="s">
        <v>41</v>
      </c>
      <c r="U25" s="503" t="s">
        <v>1083</v>
      </c>
      <c r="V25" s="97" t="s">
        <v>1085</v>
      </c>
      <c r="W25" s="142" t="s">
        <v>1087</v>
      </c>
      <c r="X25" s="97" t="s">
        <v>79</v>
      </c>
      <c r="Y25" s="95" t="s">
        <v>39</v>
      </c>
      <c r="Z25" s="419" t="s">
        <v>39</v>
      </c>
      <c r="AA25" s="489" t="s">
        <v>43</v>
      </c>
      <c r="AB25" s="489" t="s">
        <v>43</v>
      </c>
      <c r="AC25" s="97" t="s">
        <v>1086</v>
      </c>
      <c r="AD25" s="98" t="s">
        <v>41</v>
      </c>
      <c r="AE25" s="174" t="s">
        <v>50</v>
      </c>
      <c r="AF25" s="174"/>
      <c r="AH25" s="174"/>
      <c r="AI25" s="174"/>
      <c r="AJ25" s="174"/>
      <c r="AK25" s="174"/>
    </row>
    <row r="26" spans="1:37" s="105" customFormat="1" ht="12" customHeight="1" x14ac:dyDescent="0.2">
      <c r="A26" s="373" t="s">
        <v>538</v>
      </c>
      <c r="B26" s="168"/>
      <c r="C26" s="140"/>
      <c r="D26" s="168"/>
      <c r="E26" s="143"/>
      <c r="F26" s="143"/>
      <c r="G26" s="419"/>
      <c r="H26" s="419"/>
      <c r="I26" s="149"/>
      <c r="J26" s="138"/>
      <c r="K26" s="50"/>
      <c r="L26" s="150"/>
      <c r="M26" s="99"/>
      <c r="N26" s="97"/>
      <c r="O26" s="97"/>
      <c r="P26" s="188"/>
      <c r="Q26" s="419"/>
      <c r="R26" s="419"/>
      <c r="S26" s="419"/>
      <c r="T26" s="419"/>
      <c r="U26" s="332"/>
      <c r="V26" s="97"/>
      <c r="W26" s="142"/>
      <c r="X26" s="419"/>
      <c r="Y26" s="95"/>
      <c r="Z26" s="419"/>
      <c r="AA26" s="419"/>
      <c r="AB26" s="419"/>
      <c r="AC26" s="97"/>
      <c r="AD26" s="145"/>
      <c r="AE26" s="174" t="s">
        <v>50</v>
      </c>
      <c r="AF26" s="174"/>
      <c r="AG26" s="174"/>
      <c r="AH26" s="174"/>
      <c r="AI26" s="174"/>
      <c r="AJ26" s="174"/>
      <c r="AK26" s="174"/>
    </row>
    <row r="27" spans="1:37" s="130" customFormat="1" ht="12" customHeight="1" x14ac:dyDescent="0.2">
      <c r="A27" s="111" t="s">
        <v>124</v>
      </c>
      <c r="B27" s="168"/>
      <c r="C27" s="151"/>
      <c r="D27" s="168"/>
      <c r="E27" s="152"/>
      <c r="F27" s="152"/>
      <c r="G27" s="152"/>
      <c r="H27" s="152"/>
      <c r="I27" s="152"/>
      <c r="J27" s="153"/>
      <c r="K27" s="49"/>
      <c r="L27" s="155"/>
      <c r="M27" s="333"/>
      <c r="N27" s="110"/>
      <c r="O27" s="110"/>
      <c r="P27" s="152"/>
      <c r="Q27" s="152"/>
      <c r="R27" s="152"/>
      <c r="S27" s="152"/>
      <c r="T27" s="152"/>
      <c r="U27" s="155"/>
      <c r="V27" s="154"/>
      <c r="W27" s="154"/>
      <c r="X27" s="152"/>
      <c r="Y27" s="152"/>
      <c r="Z27" s="152"/>
      <c r="AA27" s="152"/>
      <c r="AB27" s="152"/>
      <c r="AC27" s="154"/>
      <c r="AD27" s="155"/>
      <c r="AE27" s="174" t="s">
        <v>50</v>
      </c>
    </row>
    <row r="28" spans="1:37" ht="12" customHeight="1" x14ac:dyDescent="0.2">
      <c r="A28" s="156" t="s">
        <v>899</v>
      </c>
      <c r="B28" s="168"/>
      <c r="C28" s="139"/>
      <c r="D28" s="168"/>
      <c r="E28" s="143"/>
      <c r="F28" s="143"/>
      <c r="G28" s="143"/>
      <c r="H28" s="419"/>
      <c r="I28" s="419"/>
      <c r="J28" s="158"/>
      <c r="K28" s="55"/>
      <c r="L28" s="144"/>
      <c r="M28" s="99"/>
      <c r="N28" s="97"/>
      <c r="O28" s="97"/>
      <c r="P28" s="419"/>
      <c r="Q28" s="419"/>
      <c r="R28" s="419"/>
      <c r="S28" s="419"/>
      <c r="T28" s="419"/>
      <c r="U28" s="98"/>
      <c r="V28" s="97"/>
      <c r="W28" s="97"/>
      <c r="X28" s="419"/>
      <c r="Y28" s="419"/>
      <c r="Z28" s="419"/>
      <c r="AA28" s="419"/>
      <c r="AB28" s="419"/>
      <c r="AC28" s="97"/>
      <c r="AD28" s="159"/>
      <c r="AE28" s="174" t="s">
        <v>50</v>
      </c>
      <c r="AF28" s="174"/>
      <c r="AG28" s="174"/>
      <c r="AH28" s="174"/>
      <c r="AI28" s="174"/>
      <c r="AJ28" s="174"/>
      <c r="AK28" s="174"/>
    </row>
    <row r="29" spans="1:37" ht="12" customHeight="1" x14ac:dyDescent="0.2">
      <c r="A29" s="160" t="s">
        <v>74</v>
      </c>
      <c r="B29" s="168">
        <f>'Table 5 Cost discounting'!D9</f>
        <v>1542</v>
      </c>
      <c r="C29" s="139" t="s">
        <v>75</v>
      </c>
      <c r="D29" s="168">
        <v>29588.596977708861</v>
      </c>
      <c r="E29" s="143" t="s">
        <v>37</v>
      </c>
      <c r="F29" s="143" t="s">
        <v>37</v>
      </c>
      <c r="G29" s="143" t="s">
        <v>37</v>
      </c>
      <c r="H29" s="419">
        <v>1990</v>
      </c>
      <c r="I29" s="20" t="s">
        <v>76</v>
      </c>
      <c r="J29" s="141">
        <f>'DATA Inflation PCE'!AA46/'DATA Inflation PCE'!C46</f>
        <v>2.1053782415221729</v>
      </c>
      <c r="K29" s="44">
        <f>D29*J29</f>
        <v>62295.188274036962</v>
      </c>
      <c r="L29" s="144" t="s">
        <v>81</v>
      </c>
      <c r="M29" s="99" t="s">
        <v>46</v>
      </c>
      <c r="N29" s="97" t="s">
        <v>83</v>
      </c>
      <c r="O29" s="97" t="s">
        <v>52</v>
      </c>
      <c r="P29" s="419" t="s">
        <v>84</v>
      </c>
      <c r="Q29" s="97" t="s">
        <v>1046</v>
      </c>
      <c r="R29" s="419" t="s">
        <v>85</v>
      </c>
      <c r="S29" s="419" t="s">
        <v>47</v>
      </c>
      <c r="T29" s="419" t="s">
        <v>39</v>
      </c>
      <c r="U29" s="98" t="s">
        <v>37</v>
      </c>
      <c r="V29" s="97" t="s">
        <v>1045</v>
      </c>
      <c r="W29" s="97" t="s">
        <v>1047</v>
      </c>
      <c r="X29" s="97" t="s">
        <v>79</v>
      </c>
      <c r="Y29" s="419" t="s">
        <v>39</v>
      </c>
      <c r="Z29" s="419" t="s">
        <v>39</v>
      </c>
      <c r="AA29" s="419" t="s">
        <v>43</v>
      </c>
      <c r="AB29" s="419" t="s">
        <v>43</v>
      </c>
      <c r="AC29" s="97" t="s">
        <v>87</v>
      </c>
      <c r="AD29" s="145" t="s">
        <v>1041</v>
      </c>
      <c r="AE29" s="174" t="s">
        <v>50</v>
      </c>
      <c r="AF29" s="174"/>
      <c r="AG29" s="174"/>
      <c r="AH29" s="174"/>
      <c r="AI29" s="174"/>
      <c r="AJ29" s="174"/>
      <c r="AK29" s="174"/>
    </row>
    <row r="30" spans="1:37" ht="12" customHeight="1" x14ac:dyDescent="0.2">
      <c r="A30" s="160" t="s">
        <v>101</v>
      </c>
      <c r="B30" s="168">
        <f>'Table 5 Cost discounting'!D13</f>
        <v>256</v>
      </c>
      <c r="C30" s="139" t="s">
        <v>75</v>
      </c>
      <c r="D30" s="168">
        <v>4912.2443750281891</v>
      </c>
      <c r="E30" s="143" t="s">
        <v>37</v>
      </c>
      <c r="F30" s="143" t="s">
        <v>37</v>
      </c>
      <c r="G30" s="143" t="s">
        <v>37</v>
      </c>
      <c r="H30" s="419">
        <v>1990</v>
      </c>
      <c r="I30" s="419" t="s">
        <v>82</v>
      </c>
      <c r="J30" s="158">
        <f>'DATA Inflation GDP'!AA10/'DATA Inflation GDP'!C10</f>
        <v>1.6261575978815399</v>
      </c>
      <c r="K30" s="44">
        <f>D30*J30</f>
        <v>7988.0835131029462</v>
      </c>
      <c r="L30" s="144" t="s">
        <v>81</v>
      </c>
      <c r="M30" s="99" t="s">
        <v>46</v>
      </c>
      <c r="N30" s="97" t="s">
        <v>83</v>
      </c>
      <c r="O30" s="97" t="s">
        <v>52</v>
      </c>
      <c r="P30" s="419" t="s">
        <v>84</v>
      </c>
      <c r="Q30" s="97" t="s">
        <v>1046</v>
      </c>
      <c r="R30" s="419" t="s">
        <v>85</v>
      </c>
      <c r="S30" s="419" t="s">
        <v>47</v>
      </c>
      <c r="T30" s="419" t="s">
        <v>39</v>
      </c>
      <c r="U30" s="98" t="s">
        <v>37</v>
      </c>
      <c r="V30" s="97" t="s">
        <v>1044</v>
      </c>
      <c r="W30" s="97" t="s">
        <v>1047</v>
      </c>
      <c r="X30" s="97" t="s">
        <v>79</v>
      </c>
      <c r="Y30" s="419" t="s">
        <v>39</v>
      </c>
      <c r="Z30" s="419" t="s">
        <v>39</v>
      </c>
      <c r="AA30" s="419" t="s">
        <v>39</v>
      </c>
      <c r="AB30" s="419" t="s">
        <v>39</v>
      </c>
      <c r="AC30" s="97" t="s">
        <v>87</v>
      </c>
      <c r="AD30" s="145" t="s">
        <v>1041</v>
      </c>
      <c r="AE30" s="174" t="s">
        <v>50</v>
      </c>
      <c r="AF30" s="174"/>
      <c r="AG30" s="174"/>
      <c r="AH30" s="174"/>
      <c r="AI30" s="174"/>
      <c r="AJ30" s="174"/>
      <c r="AK30" s="174"/>
    </row>
    <row r="31" spans="1:37" ht="12" customHeight="1" x14ac:dyDescent="0.2">
      <c r="A31" s="112" t="s">
        <v>88</v>
      </c>
      <c r="B31" s="168"/>
      <c r="C31" s="139"/>
      <c r="D31" s="168"/>
      <c r="E31" s="143"/>
      <c r="F31" s="139"/>
      <c r="G31" s="139"/>
      <c r="H31" s="419"/>
      <c r="I31" s="20"/>
      <c r="J31" s="158"/>
      <c r="K31" s="55"/>
      <c r="L31" s="144"/>
      <c r="M31" s="99"/>
      <c r="N31" s="97"/>
      <c r="O31" s="97"/>
      <c r="P31" s="419"/>
      <c r="Q31" s="97"/>
      <c r="R31" s="419"/>
      <c r="S31" s="419"/>
      <c r="T31" s="419"/>
      <c r="U31" s="98"/>
      <c r="V31" s="97"/>
      <c r="W31" s="97"/>
      <c r="X31" s="419"/>
      <c r="Y31" s="419"/>
      <c r="Z31" s="419"/>
      <c r="AA31" s="419"/>
      <c r="AB31" s="419"/>
      <c r="AC31" s="97"/>
      <c r="AD31" s="98"/>
      <c r="AE31" s="174" t="s">
        <v>50</v>
      </c>
      <c r="AF31" s="174"/>
      <c r="AG31" s="174"/>
      <c r="AH31" s="174"/>
      <c r="AI31" s="174"/>
      <c r="AJ31" s="174"/>
      <c r="AK31" s="174"/>
    </row>
    <row r="32" spans="1:37" ht="12" customHeight="1" x14ac:dyDescent="0.2">
      <c r="A32" s="160" t="s">
        <v>74</v>
      </c>
      <c r="B32" s="168">
        <f>'Table 5 Cost discounting'!D17</f>
        <v>6399.6546592164796</v>
      </c>
      <c r="C32" s="139" t="s">
        <v>75</v>
      </c>
      <c r="D32" s="168">
        <f>'Table 5 Cost discounting'!D20</f>
        <v>149831.2745831779</v>
      </c>
      <c r="E32" s="143" t="s">
        <v>37</v>
      </c>
      <c r="F32" s="419" t="s">
        <v>37</v>
      </c>
      <c r="G32" s="419" t="s">
        <v>37</v>
      </c>
      <c r="H32" s="419">
        <v>2012</v>
      </c>
      <c r="I32" s="20" t="s">
        <v>76</v>
      </c>
      <c r="J32" s="158">
        <f>'DATA Inflation PCE'!AA46/'DATA Inflation PCE'!Y46</f>
        <v>1.0271944600411753</v>
      </c>
      <c r="K32" s="44">
        <f>D32*J32</f>
        <v>153905.85519274851</v>
      </c>
      <c r="L32" s="144" t="s">
        <v>93</v>
      </c>
      <c r="M32" s="99" t="s">
        <v>46</v>
      </c>
      <c r="N32" s="28" t="s">
        <v>83</v>
      </c>
      <c r="O32" s="28" t="s">
        <v>94</v>
      </c>
      <c r="P32" s="419">
        <v>2010</v>
      </c>
      <c r="Q32" s="97" t="s">
        <v>95</v>
      </c>
      <c r="R32" s="419" t="s">
        <v>78</v>
      </c>
      <c r="S32" s="419" t="s">
        <v>47</v>
      </c>
      <c r="T32" s="419" t="s">
        <v>39</v>
      </c>
      <c r="U32" s="144" t="s">
        <v>96</v>
      </c>
      <c r="V32" s="97" t="s">
        <v>1050</v>
      </c>
      <c r="W32" s="142" t="s">
        <v>1175</v>
      </c>
      <c r="X32" s="199" t="s">
        <v>79</v>
      </c>
      <c r="Y32" s="419" t="s">
        <v>39</v>
      </c>
      <c r="Z32" s="419" t="s">
        <v>39</v>
      </c>
      <c r="AA32" s="419" t="s">
        <v>43</v>
      </c>
      <c r="AB32" s="419" t="s">
        <v>43</v>
      </c>
      <c r="AC32" s="97" t="s">
        <v>97</v>
      </c>
      <c r="AD32" s="145" t="s">
        <v>1041</v>
      </c>
      <c r="AE32" s="174" t="s">
        <v>50</v>
      </c>
      <c r="AF32" s="174"/>
      <c r="AG32" s="174"/>
      <c r="AH32" s="174"/>
      <c r="AI32" s="174"/>
      <c r="AJ32" s="174"/>
      <c r="AK32" s="174"/>
    </row>
    <row r="33" spans="1:37" ht="12" customHeight="1" x14ac:dyDescent="0.2">
      <c r="A33" s="160" t="s">
        <v>80</v>
      </c>
      <c r="B33" s="168">
        <f>'Table 5 Cost discounting'!D21</f>
        <v>7230.8963472042151</v>
      </c>
      <c r="C33" s="139" t="s">
        <v>75</v>
      </c>
      <c r="D33" s="168">
        <f>'Table 5 Cost discounting'!D24</f>
        <v>169292.63745820575</v>
      </c>
      <c r="E33" s="143" t="s">
        <v>37</v>
      </c>
      <c r="F33" s="143" t="s">
        <v>37</v>
      </c>
      <c r="G33" s="143" t="s">
        <v>37</v>
      </c>
      <c r="H33" s="419">
        <v>2012</v>
      </c>
      <c r="I33" s="419" t="s">
        <v>82</v>
      </c>
      <c r="J33" s="158">
        <f>'DATA Inflation GDP'!AA10/'DATA Inflation GDP'!Y10</f>
        <v>1.0330165367800799</v>
      </c>
      <c r="K33" s="44">
        <f>D33*J33</f>
        <v>174882.09404944134</v>
      </c>
      <c r="L33" s="144" t="s">
        <v>93</v>
      </c>
      <c r="M33" s="99" t="s">
        <v>46</v>
      </c>
      <c r="N33" s="28" t="s">
        <v>83</v>
      </c>
      <c r="O33" s="28" t="s">
        <v>94</v>
      </c>
      <c r="P33" s="419">
        <v>2010</v>
      </c>
      <c r="Q33" s="97" t="s">
        <v>99</v>
      </c>
      <c r="R33" s="419" t="s">
        <v>78</v>
      </c>
      <c r="S33" s="419" t="s">
        <v>47</v>
      </c>
      <c r="T33" s="419" t="s">
        <v>39</v>
      </c>
      <c r="U33" s="144" t="s">
        <v>100</v>
      </c>
      <c r="V33" s="97" t="s">
        <v>1051</v>
      </c>
      <c r="W33" s="142" t="s">
        <v>1174</v>
      </c>
      <c r="X33" s="199" t="s">
        <v>86</v>
      </c>
      <c r="Y33" s="419" t="s">
        <v>39</v>
      </c>
      <c r="Z33" s="419" t="s">
        <v>43</v>
      </c>
      <c r="AA33" s="419" t="s">
        <v>39</v>
      </c>
      <c r="AB33" s="419" t="s">
        <v>39</v>
      </c>
      <c r="AC33" s="97" t="s">
        <v>97</v>
      </c>
      <c r="AD33" s="145" t="s">
        <v>1041</v>
      </c>
      <c r="AE33" s="174" t="s">
        <v>50</v>
      </c>
      <c r="AF33" s="174"/>
      <c r="AG33" s="174"/>
      <c r="AH33" s="174"/>
      <c r="AI33" s="174"/>
      <c r="AJ33" s="174"/>
      <c r="AK33" s="174"/>
    </row>
    <row r="34" spans="1:37" ht="12" customHeight="1" x14ac:dyDescent="0.2">
      <c r="A34" s="111" t="s">
        <v>106</v>
      </c>
      <c r="B34" s="168"/>
      <c r="C34" s="139"/>
      <c r="D34" s="168"/>
      <c r="E34" s="148" t="s">
        <v>37</v>
      </c>
      <c r="F34" s="186"/>
      <c r="G34" s="186"/>
      <c r="H34" s="186"/>
      <c r="I34" s="186"/>
      <c r="J34" s="162"/>
      <c r="K34" s="51"/>
      <c r="L34" s="106"/>
      <c r="M34" s="99"/>
      <c r="N34" s="419"/>
      <c r="O34" s="419"/>
      <c r="P34" s="419"/>
      <c r="Q34" s="419"/>
      <c r="R34" s="419"/>
      <c r="S34" s="419"/>
      <c r="T34" s="419"/>
      <c r="U34" s="98"/>
      <c r="V34" s="97"/>
      <c r="W34" s="97"/>
      <c r="X34" s="419"/>
      <c r="Y34" s="419"/>
      <c r="Z34" s="419"/>
      <c r="AA34" s="419"/>
      <c r="AB34" s="419"/>
      <c r="AC34" s="97"/>
      <c r="AD34" s="98"/>
      <c r="AE34" s="174" t="s">
        <v>50</v>
      </c>
      <c r="AF34" s="174"/>
      <c r="AG34" s="174"/>
      <c r="AH34" s="174"/>
    </row>
    <row r="35" spans="1:37" ht="12" customHeight="1" x14ac:dyDescent="0.2">
      <c r="A35" s="112" t="s">
        <v>528</v>
      </c>
      <c r="B35" s="168"/>
      <c r="C35" s="139"/>
      <c r="D35" s="168"/>
      <c r="E35" s="148" t="s">
        <v>37</v>
      </c>
      <c r="F35" s="186"/>
      <c r="G35" s="186"/>
      <c r="H35" s="186"/>
      <c r="I35" s="186"/>
      <c r="J35" s="158"/>
      <c r="K35" s="51"/>
      <c r="L35" s="106"/>
      <c r="M35" s="99"/>
      <c r="N35" s="419"/>
      <c r="O35" s="419"/>
      <c r="P35" s="419"/>
      <c r="Q35" s="419"/>
      <c r="R35" s="419"/>
      <c r="S35" s="419"/>
      <c r="T35" s="419"/>
      <c r="U35" s="98"/>
      <c r="V35" s="97"/>
      <c r="W35" s="97"/>
      <c r="X35" s="419"/>
      <c r="Y35" s="419"/>
      <c r="Z35" s="419"/>
      <c r="AA35" s="419"/>
      <c r="AB35" s="419"/>
      <c r="AC35" s="97"/>
      <c r="AD35" s="98"/>
      <c r="AE35" s="174" t="s">
        <v>50</v>
      </c>
      <c r="AF35" s="174"/>
      <c r="AG35" s="174"/>
      <c r="AH35" s="174"/>
    </row>
    <row r="36" spans="1:37" ht="12" customHeight="1" x14ac:dyDescent="0.2">
      <c r="A36" s="147" t="s">
        <v>74</v>
      </c>
      <c r="B36" s="168">
        <f>'Table 5 Cost discounting'!D25</f>
        <v>85.3005</v>
      </c>
      <c r="C36" s="139" t="s">
        <v>75</v>
      </c>
      <c r="D36" s="168">
        <f>'Table 5 Cost discounting'!D28</f>
        <v>1945.5521549893704</v>
      </c>
      <c r="E36" s="197"/>
      <c r="F36" s="186" t="s">
        <v>37</v>
      </c>
      <c r="G36" s="186" t="s">
        <v>37</v>
      </c>
      <c r="H36" s="186">
        <v>2010</v>
      </c>
      <c r="I36" s="197" t="s">
        <v>76</v>
      </c>
      <c r="J36" s="158">
        <f>'DATA Inflation PCE'!AA46/'DATA Inflation PCE'!W46</f>
        <v>1.0697397914433291</v>
      </c>
      <c r="K36" s="44">
        <f>D36*J36</f>
        <v>2081.2345565204487</v>
      </c>
      <c r="L36" s="144" t="s">
        <v>107</v>
      </c>
      <c r="M36" s="99" t="s">
        <v>46</v>
      </c>
      <c r="N36" s="97" t="s">
        <v>83</v>
      </c>
      <c r="O36" s="97" t="s">
        <v>52</v>
      </c>
      <c r="P36" s="419">
        <v>2010</v>
      </c>
      <c r="Q36" s="97" t="s">
        <v>1088</v>
      </c>
      <c r="R36" s="419" t="s">
        <v>37</v>
      </c>
      <c r="S36" s="419" t="s">
        <v>47</v>
      </c>
      <c r="T36" s="419" t="s">
        <v>39</v>
      </c>
      <c r="U36" s="332" t="s">
        <v>52</v>
      </c>
      <c r="V36" s="97" t="s">
        <v>1120</v>
      </c>
      <c r="W36" s="142" t="s">
        <v>1059</v>
      </c>
      <c r="X36" s="419" t="s">
        <v>86</v>
      </c>
      <c r="Y36" s="419" t="s">
        <v>39</v>
      </c>
      <c r="Z36" s="419" t="s">
        <v>39</v>
      </c>
      <c r="AA36" s="419" t="s">
        <v>43</v>
      </c>
      <c r="AB36" s="419" t="s">
        <v>43</v>
      </c>
      <c r="AC36" s="97" t="s">
        <v>105</v>
      </c>
      <c r="AD36" s="145" t="s">
        <v>1041</v>
      </c>
      <c r="AE36" s="174" t="s">
        <v>50</v>
      </c>
      <c r="AF36" s="174"/>
      <c r="AG36" s="174"/>
      <c r="AH36" s="174"/>
    </row>
    <row r="37" spans="1:37" ht="12" customHeight="1" x14ac:dyDescent="0.2">
      <c r="A37" s="147" t="s">
        <v>80</v>
      </c>
      <c r="B37" s="168">
        <f>'Table 5 Cost discounting'!D29</f>
        <v>537.99174999999991</v>
      </c>
      <c r="C37" s="139" t="s">
        <v>75</v>
      </c>
      <c r="D37" s="168">
        <f>'Table 5 Cost discounting'!D32</f>
        <v>12270.631574011904</v>
      </c>
      <c r="E37" s="148" t="s">
        <v>37</v>
      </c>
      <c r="F37" s="186" t="s">
        <v>37</v>
      </c>
      <c r="G37" s="186" t="s">
        <v>37</v>
      </c>
      <c r="H37" s="186">
        <v>2010</v>
      </c>
      <c r="I37" s="186" t="s">
        <v>82</v>
      </c>
      <c r="J37" s="158">
        <f>'DATA Inflation GDP'!AA10/'DATA Inflation GDP'!W10</f>
        <v>1.0737755122201806</v>
      </c>
      <c r="K37" s="44">
        <f>D37*J37</f>
        <v>13175.903703649754</v>
      </c>
      <c r="L37" s="144" t="s">
        <v>107</v>
      </c>
      <c r="M37" s="99" t="s">
        <v>46</v>
      </c>
      <c r="N37" s="97" t="s">
        <v>83</v>
      </c>
      <c r="O37" s="97" t="s">
        <v>52</v>
      </c>
      <c r="P37" s="419">
        <v>2010</v>
      </c>
      <c r="Q37" s="97" t="s">
        <v>1088</v>
      </c>
      <c r="R37" s="419" t="s">
        <v>37</v>
      </c>
      <c r="S37" s="419" t="s">
        <v>47</v>
      </c>
      <c r="T37" s="419" t="s">
        <v>39</v>
      </c>
      <c r="U37" s="332" t="s">
        <v>52</v>
      </c>
      <c r="V37" s="97" t="s">
        <v>1119</v>
      </c>
      <c r="W37" s="142" t="s">
        <v>1060</v>
      </c>
      <c r="X37" s="419" t="s">
        <v>86</v>
      </c>
      <c r="Y37" s="419" t="s">
        <v>39</v>
      </c>
      <c r="Z37" s="419" t="s">
        <v>43</v>
      </c>
      <c r="AA37" s="419" t="s">
        <v>39</v>
      </c>
      <c r="AB37" s="419" t="s">
        <v>39</v>
      </c>
      <c r="AC37" s="97" t="s">
        <v>105</v>
      </c>
      <c r="AD37" s="145" t="s">
        <v>1041</v>
      </c>
      <c r="AE37" s="174" t="s">
        <v>50</v>
      </c>
      <c r="AF37" s="174"/>
      <c r="AG37" s="174"/>
      <c r="AH37" s="174"/>
    </row>
    <row r="38" spans="1:37" ht="12" customHeight="1" x14ac:dyDescent="0.2">
      <c r="A38" s="147" t="s">
        <v>108</v>
      </c>
      <c r="B38" s="168">
        <f>'Table 5 Cost discounting'!D33</f>
        <v>124.95774999999999</v>
      </c>
      <c r="C38" s="139" t="s">
        <v>75</v>
      </c>
      <c r="D38" s="168">
        <f>'Table 5 Cost discounting'!D36</f>
        <v>2850.0632445896917</v>
      </c>
      <c r="E38" s="148" t="s">
        <v>37</v>
      </c>
      <c r="F38" s="186" t="s">
        <v>37</v>
      </c>
      <c r="G38" s="186" t="s">
        <v>37</v>
      </c>
      <c r="H38" s="186">
        <v>2010</v>
      </c>
      <c r="I38" s="186" t="s">
        <v>82</v>
      </c>
      <c r="J38" s="158">
        <f>'DATA Inflation GDP'!AA10/'DATA Inflation GDP'!W10</f>
        <v>1.0737755122201806</v>
      </c>
      <c r="K38" s="44">
        <f>D38*J38</f>
        <v>3060.3281203192064</v>
      </c>
      <c r="L38" s="144" t="s">
        <v>107</v>
      </c>
      <c r="M38" s="99" t="s">
        <v>46</v>
      </c>
      <c r="N38" s="97" t="s">
        <v>83</v>
      </c>
      <c r="O38" s="97" t="s">
        <v>52</v>
      </c>
      <c r="P38" s="419">
        <v>2010</v>
      </c>
      <c r="Q38" s="97" t="s">
        <v>1088</v>
      </c>
      <c r="R38" s="419" t="s">
        <v>37</v>
      </c>
      <c r="S38" s="419" t="s">
        <v>47</v>
      </c>
      <c r="T38" s="419" t="s">
        <v>39</v>
      </c>
      <c r="U38" s="332" t="s">
        <v>52</v>
      </c>
      <c r="V38" s="97" t="s">
        <v>1118</v>
      </c>
      <c r="W38" s="142" t="s">
        <v>1061</v>
      </c>
      <c r="X38" s="419" t="s">
        <v>86</v>
      </c>
      <c r="Y38" s="419" t="s">
        <v>39</v>
      </c>
      <c r="Z38" s="419" t="s">
        <v>43</v>
      </c>
      <c r="AA38" s="419" t="s">
        <v>43</v>
      </c>
      <c r="AB38" s="419" t="s">
        <v>43</v>
      </c>
      <c r="AC38" s="97" t="s">
        <v>105</v>
      </c>
      <c r="AD38" s="145" t="s">
        <v>1041</v>
      </c>
      <c r="AE38" s="174" t="s">
        <v>50</v>
      </c>
      <c r="AF38" s="174"/>
      <c r="AG38" s="174"/>
      <c r="AH38" s="174"/>
    </row>
    <row r="39" spans="1:37" ht="12" customHeight="1" x14ac:dyDescent="0.2">
      <c r="A39" s="112" t="s">
        <v>109</v>
      </c>
      <c r="B39" s="168"/>
      <c r="C39" s="139"/>
      <c r="D39" s="168"/>
      <c r="E39" s="197"/>
      <c r="F39" s="186"/>
      <c r="G39" s="186"/>
      <c r="H39" s="186"/>
      <c r="I39" s="186"/>
      <c r="J39" s="158"/>
      <c r="K39" s="51"/>
      <c r="L39" s="106"/>
      <c r="M39" s="99"/>
      <c r="N39" s="419"/>
      <c r="O39" s="419"/>
      <c r="P39" s="419"/>
      <c r="Q39" s="419"/>
      <c r="R39" s="419"/>
      <c r="S39" s="419"/>
      <c r="T39" s="419"/>
      <c r="U39" s="98"/>
      <c r="V39" s="97"/>
      <c r="W39" s="97"/>
      <c r="X39" s="419"/>
      <c r="Y39" s="419"/>
      <c r="Z39" s="419"/>
      <c r="AA39" s="419"/>
      <c r="AB39" s="419"/>
      <c r="AC39" s="97"/>
      <c r="AD39" s="98"/>
      <c r="AE39" s="174" t="s">
        <v>50</v>
      </c>
      <c r="AF39" s="174"/>
      <c r="AG39" s="174"/>
      <c r="AH39" s="174"/>
    </row>
    <row r="40" spans="1:37" ht="12" customHeight="1" x14ac:dyDescent="0.2">
      <c r="A40" s="147" t="s">
        <v>74</v>
      </c>
      <c r="B40" s="168">
        <f>'Table 5 Cost discounting'!D37</f>
        <v>573.67999999999995</v>
      </c>
      <c r="C40" s="139" t="s">
        <v>75</v>
      </c>
      <c r="D40" s="168">
        <f>'Table 5 Cost discounting'!D40</f>
        <v>11008.032629164731</v>
      </c>
      <c r="E40" s="197" t="s">
        <v>37</v>
      </c>
      <c r="F40" s="186" t="s">
        <v>37</v>
      </c>
      <c r="G40" s="186" t="s">
        <v>37</v>
      </c>
      <c r="H40" s="186">
        <v>2007</v>
      </c>
      <c r="I40" s="197" t="s">
        <v>76</v>
      </c>
      <c r="J40" s="158">
        <f>'DATA Inflation PCE'!AA46/'DATA Inflation PCE'!T46</f>
        <v>1.1570270583646924</v>
      </c>
      <c r="K40" s="44">
        <f>D40*J40</f>
        <v>12736.591611305019</v>
      </c>
      <c r="L40" s="62" t="s">
        <v>110</v>
      </c>
      <c r="M40" s="99" t="s">
        <v>46</v>
      </c>
      <c r="N40" s="97" t="s">
        <v>83</v>
      </c>
      <c r="O40" s="97" t="s">
        <v>52</v>
      </c>
      <c r="P40" s="419">
        <v>2007</v>
      </c>
      <c r="Q40" s="97" t="s">
        <v>111</v>
      </c>
      <c r="R40" s="419" t="s">
        <v>37</v>
      </c>
      <c r="S40" s="419" t="s">
        <v>47</v>
      </c>
      <c r="T40" s="419" t="s">
        <v>39</v>
      </c>
      <c r="U40" s="332" t="s">
        <v>52</v>
      </c>
      <c r="V40" s="97" t="s">
        <v>1117</v>
      </c>
      <c r="W40" s="142" t="s">
        <v>1052</v>
      </c>
      <c r="X40" s="419" t="s">
        <v>112</v>
      </c>
      <c r="Y40" s="419" t="s">
        <v>39</v>
      </c>
      <c r="Z40" s="419" t="s">
        <v>39</v>
      </c>
      <c r="AA40" s="419" t="s">
        <v>43</v>
      </c>
      <c r="AB40" s="419" t="s">
        <v>43</v>
      </c>
      <c r="AC40" s="97" t="s">
        <v>105</v>
      </c>
      <c r="AD40" s="145" t="s">
        <v>1041</v>
      </c>
      <c r="AE40" s="174" t="s">
        <v>50</v>
      </c>
      <c r="AF40" s="174"/>
      <c r="AG40" s="174"/>
      <c r="AH40" s="174"/>
    </row>
    <row r="41" spans="1:37" ht="12" customHeight="1" x14ac:dyDescent="0.2">
      <c r="A41" s="147" t="s">
        <v>80</v>
      </c>
      <c r="B41" s="168">
        <f>'Table 5 Cost discounting'!D41</f>
        <v>6045.4273366834168</v>
      </c>
      <c r="C41" s="139" t="s">
        <v>75</v>
      </c>
      <c r="D41" s="168">
        <f>'Table 5 Cost discounting'!D44</f>
        <v>116002.40792681549</v>
      </c>
      <c r="E41" s="197" t="s">
        <v>37</v>
      </c>
      <c r="F41" s="186" t="s">
        <v>37</v>
      </c>
      <c r="G41" s="186" t="s">
        <v>37</v>
      </c>
      <c r="H41" s="186">
        <v>2007</v>
      </c>
      <c r="I41" s="186" t="s">
        <v>82</v>
      </c>
      <c r="J41" s="158">
        <f>'DATA Inflation GDP'!AA10/'DATA Inflation GDP'!T10</f>
        <v>1.1166426957057736</v>
      </c>
      <c r="K41" s="44">
        <f>D41*J41</f>
        <v>129533.24149576004</v>
      </c>
      <c r="L41" s="62" t="s">
        <v>110</v>
      </c>
      <c r="M41" s="99" t="s">
        <v>46</v>
      </c>
      <c r="N41" s="97" t="s">
        <v>83</v>
      </c>
      <c r="O41" s="97" t="s">
        <v>52</v>
      </c>
      <c r="P41" s="419">
        <v>2007</v>
      </c>
      <c r="Q41" s="97" t="s">
        <v>111</v>
      </c>
      <c r="R41" s="419" t="s">
        <v>37</v>
      </c>
      <c r="S41" s="419" t="s">
        <v>47</v>
      </c>
      <c r="T41" s="419" t="s">
        <v>39</v>
      </c>
      <c r="U41" s="332" t="s">
        <v>52</v>
      </c>
      <c r="V41" s="97" t="s">
        <v>1116</v>
      </c>
      <c r="W41" s="142" t="s">
        <v>1053</v>
      </c>
      <c r="X41" s="419" t="s">
        <v>86</v>
      </c>
      <c r="Y41" s="419" t="s">
        <v>39</v>
      </c>
      <c r="Z41" s="419" t="s">
        <v>43</v>
      </c>
      <c r="AA41" s="419" t="s">
        <v>39</v>
      </c>
      <c r="AB41" s="419" t="s">
        <v>39</v>
      </c>
      <c r="AC41" s="97" t="s">
        <v>105</v>
      </c>
      <c r="AD41" s="145" t="s">
        <v>1041</v>
      </c>
      <c r="AE41" s="174" t="s">
        <v>50</v>
      </c>
      <c r="AF41" s="174"/>
      <c r="AG41" s="174"/>
      <c r="AH41" s="174"/>
    </row>
    <row r="42" spans="1:37" ht="12" customHeight="1" x14ac:dyDescent="0.2">
      <c r="A42" s="147" t="s">
        <v>108</v>
      </c>
      <c r="B42" s="168">
        <f>'Table 5 Cost discounting'!D45</f>
        <v>3084.2559798994976</v>
      </c>
      <c r="C42" s="139" t="s">
        <v>75</v>
      </c>
      <c r="D42" s="168">
        <f>'Table 5 Cost discounting'!D48</f>
        <v>59182.105814095165</v>
      </c>
      <c r="E42" s="197" t="s">
        <v>37</v>
      </c>
      <c r="F42" s="186" t="s">
        <v>37</v>
      </c>
      <c r="G42" s="186" t="s">
        <v>37</v>
      </c>
      <c r="H42" s="186">
        <v>2007</v>
      </c>
      <c r="I42" s="186" t="s">
        <v>82</v>
      </c>
      <c r="J42" s="158">
        <f>'DATA Inflation GDP'!AA10/'DATA Inflation GDP'!T10</f>
        <v>1.1166426957057736</v>
      </c>
      <c r="K42" s="44">
        <f>D42*J42</f>
        <v>66085.266173795564</v>
      </c>
      <c r="L42" s="62" t="s">
        <v>110</v>
      </c>
      <c r="M42" s="99" t="s">
        <v>46</v>
      </c>
      <c r="N42" s="97" t="s">
        <v>83</v>
      </c>
      <c r="O42" s="97" t="s">
        <v>52</v>
      </c>
      <c r="P42" s="419">
        <v>2007</v>
      </c>
      <c r="Q42" s="97" t="s">
        <v>111</v>
      </c>
      <c r="R42" s="419" t="s">
        <v>37</v>
      </c>
      <c r="S42" s="419" t="s">
        <v>47</v>
      </c>
      <c r="T42" s="419" t="s">
        <v>39</v>
      </c>
      <c r="U42" s="332" t="s">
        <v>52</v>
      </c>
      <c r="V42" s="97" t="s">
        <v>1115</v>
      </c>
      <c r="W42" s="142" t="s">
        <v>1054</v>
      </c>
      <c r="X42" s="419" t="s">
        <v>112</v>
      </c>
      <c r="Y42" s="419" t="s">
        <v>39</v>
      </c>
      <c r="Z42" s="419" t="s">
        <v>43</v>
      </c>
      <c r="AA42" s="419" t="s">
        <v>43</v>
      </c>
      <c r="AB42" s="419" t="s">
        <v>43</v>
      </c>
      <c r="AC42" s="97" t="s">
        <v>105</v>
      </c>
      <c r="AD42" s="145" t="s">
        <v>1041</v>
      </c>
      <c r="AE42" s="174" t="s">
        <v>50</v>
      </c>
      <c r="AF42" s="174"/>
      <c r="AG42" s="174"/>
      <c r="AH42" s="174"/>
    </row>
    <row r="43" spans="1:37" ht="12" customHeight="1" x14ac:dyDescent="0.2">
      <c r="A43" s="112" t="s">
        <v>113</v>
      </c>
      <c r="B43" s="168"/>
      <c r="C43" s="20"/>
      <c r="D43" s="168"/>
      <c r="E43" s="186"/>
      <c r="F43" s="186"/>
      <c r="G43" s="186"/>
      <c r="H43" s="197"/>
      <c r="I43" s="197"/>
      <c r="J43" s="158"/>
      <c r="K43" s="56"/>
      <c r="L43" s="106"/>
      <c r="M43" s="163"/>
      <c r="N43" s="67"/>
      <c r="O43" s="67"/>
      <c r="P43" s="20"/>
      <c r="Q43" s="20"/>
      <c r="R43" s="20"/>
      <c r="S43" s="20"/>
      <c r="T43" s="20"/>
      <c r="U43" s="164"/>
      <c r="V43" s="199"/>
      <c r="W43" s="199"/>
      <c r="X43" s="20"/>
      <c r="Y43" s="20"/>
      <c r="Z43" s="20"/>
      <c r="AA43" s="20"/>
      <c r="AB43" s="20"/>
      <c r="AC43" s="199"/>
      <c r="AD43" s="164"/>
      <c r="AE43" s="174" t="s">
        <v>50</v>
      </c>
    </row>
    <row r="44" spans="1:37" ht="12" customHeight="1" x14ac:dyDescent="0.2">
      <c r="A44" s="147" t="s">
        <v>1173</v>
      </c>
      <c r="B44" s="168">
        <f>'DATA Sloan (2014) Smoker costs'!C36</f>
        <v>3744.6176915322585</v>
      </c>
      <c r="C44" s="139" t="s">
        <v>42</v>
      </c>
      <c r="D44" s="168">
        <f t="shared" ref="D44:D52" si="0">B44</f>
        <v>3744.6176915322585</v>
      </c>
      <c r="E44" s="186" t="s">
        <v>37</v>
      </c>
      <c r="F44" s="186" t="s">
        <v>37</v>
      </c>
      <c r="G44" s="186" t="s">
        <v>37</v>
      </c>
      <c r="H44" s="186">
        <v>2000</v>
      </c>
      <c r="I44" s="197" t="s">
        <v>76</v>
      </c>
      <c r="J44" s="158">
        <f>'DATA Inflation PCE'!AA46/'DATA Inflation PCE'!M46</f>
        <v>1.4493813793194512</v>
      </c>
      <c r="K44" s="44">
        <f>D44*J44</f>
        <v>5427.3791547770443</v>
      </c>
      <c r="L44" s="62" t="s">
        <v>803</v>
      </c>
      <c r="M44" s="99" t="s">
        <v>46</v>
      </c>
      <c r="N44" s="97" t="s">
        <v>83</v>
      </c>
      <c r="O44" s="97" t="s">
        <v>52</v>
      </c>
      <c r="P44" s="419" t="s">
        <v>52</v>
      </c>
      <c r="Q44" s="97" t="s">
        <v>114</v>
      </c>
      <c r="R44" s="419">
        <v>24</v>
      </c>
      <c r="S44" s="419" t="s">
        <v>47</v>
      </c>
      <c r="T44" s="419" t="s">
        <v>39</v>
      </c>
      <c r="U44" s="98" t="s">
        <v>52</v>
      </c>
      <c r="V44" s="97" t="s">
        <v>1113</v>
      </c>
      <c r="W44" s="142" t="s">
        <v>529</v>
      </c>
      <c r="X44" s="419" t="s">
        <v>86</v>
      </c>
      <c r="Y44" s="419" t="s">
        <v>43</v>
      </c>
      <c r="Z44" s="419" t="s">
        <v>39</v>
      </c>
      <c r="AA44" s="419" t="s">
        <v>43</v>
      </c>
      <c r="AB44" s="419" t="s">
        <v>43</v>
      </c>
      <c r="AC44" s="97" t="s">
        <v>105</v>
      </c>
      <c r="AD44" s="159" t="s">
        <v>37</v>
      </c>
      <c r="AE44" s="174" t="s">
        <v>50</v>
      </c>
    </row>
    <row r="45" spans="1:37" ht="12" customHeight="1" x14ac:dyDescent="0.2">
      <c r="A45" s="544" t="s">
        <v>4</v>
      </c>
      <c r="B45" s="168">
        <f>'DATA Sloan (2014) Smoker costs'!C39</f>
        <v>2325.1890120967741</v>
      </c>
      <c r="C45" s="139"/>
      <c r="D45" s="168">
        <f t="shared" si="0"/>
        <v>2325.1890120967741</v>
      </c>
      <c r="E45" s="186"/>
      <c r="F45" s="186"/>
      <c r="G45" s="186"/>
      <c r="H45" s="186"/>
      <c r="I45" s="197"/>
      <c r="J45" s="158"/>
      <c r="K45" s="44">
        <f>D45*J44</f>
        <v>3370.0856575312546</v>
      </c>
      <c r="L45" s="62"/>
      <c r="M45" s="99"/>
      <c r="N45" s="97"/>
      <c r="O45" s="97"/>
      <c r="P45" s="541"/>
      <c r="Q45" s="97"/>
      <c r="R45" s="541"/>
      <c r="S45" s="541"/>
      <c r="T45" s="541"/>
      <c r="U45" s="98"/>
      <c r="V45" s="97"/>
      <c r="W45" s="142"/>
      <c r="X45" s="541"/>
      <c r="Y45" s="541"/>
      <c r="Z45" s="541"/>
      <c r="AA45" s="541"/>
      <c r="AB45" s="541"/>
      <c r="AC45" s="97"/>
      <c r="AD45" s="159"/>
      <c r="AE45" s="541"/>
    </row>
    <row r="46" spans="1:37" ht="12" customHeight="1" x14ac:dyDescent="0.2">
      <c r="A46" s="544" t="s">
        <v>5</v>
      </c>
      <c r="B46" s="168">
        <f>'DATA Sloan (2014) Smoker costs'!C42</f>
        <v>4821.1549899193551</v>
      </c>
      <c r="C46" s="139"/>
      <c r="D46" s="168">
        <f t="shared" si="0"/>
        <v>4821.1549899193551</v>
      </c>
      <c r="E46" s="186"/>
      <c r="F46" s="186"/>
      <c r="G46" s="186"/>
      <c r="H46" s="186"/>
      <c r="I46" s="197"/>
      <c r="J46" s="158"/>
      <c r="K46" s="44">
        <f>D46*J44</f>
        <v>6987.6922692021699</v>
      </c>
      <c r="L46" s="62"/>
      <c r="M46" s="99"/>
      <c r="N46" s="97"/>
      <c r="O46" s="97"/>
      <c r="P46" s="541"/>
      <c r="Q46" s="97"/>
      <c r="R46" s="541"/>
      <c r="S46" s="541"/>
      <c r="T46" s="541"/>
      <c r="U46" s="98"/>
      <c r="V46" s="97"/>
      <c r="W46" s="142"/>
      <c r="X46" s="541"/>
      <c r="Y46" s="541"/>
      <c r="Z46" s="541"/>
      <c r="AA46" s="541"/>
      <c r="AB46" s="541"/>
      <c r="AC46" s="97"/>
      <c r="AD46" s="159"/>
      <c r="AE46" s="541"/>
    </row>
    <row r="47" spans="1:37" ht="12" customHeight="1" x14ac:dyDescent="0.2">
      <c r="A47" s="147" t="s">
        <v>80</v>
      </c>
      <c r="B47" s="168">
        <f>'DATA Sloan (2014) Smoker costs'!C37</f>
        <v>46614.034022177409</v>
      </c>
      <c r="C47" s="139" t="s">
        <v>42</v>
      </c>
      <c r="D47" s="168">
        <f t="shared" si="0"/>
        <v>46614.034022177409</v>
      </c>
      <c r="E47" s="186" t="s">
        <v>37</v>
      </c>
      <c r="F47" s="186" t="s">
        <v>37</v>
      </c>
      <c r="G47" s="186" t="s">
        <v>37</v>
      </c>
      <c r="H47" s="186">
        <v>2000</v>
      </c>
      <c r="I47" s="186" t="s">
        <v>82</v>
      </c>
      <c r="J47" s="158">
        <f>'DATA Inflation GDP'!AA10/'DATA Inflation GDP'!M10</f>
        <v>1.3273171327390403</v>
      </c>
      <c r="K47" s="44">
        <f>D47*J47</f>
        <v>61871.605983716596</v>
      </c>
      <c r="L47" s="62" t="s">
        <v>803</v>
      </c>
      <c r="M47" s="99" t="s">
        <v>46</v>
      </c>
      <c r="N47" s="97" t="s">
        <v>83</v>
      </c>
      <c r="O47" s="97" t="s">
        <v>52</v>
      </c>
      <c r="P47" s="419" t="s">
        <v>52</v>
      </c>
      <c r="Q47" s="97" t="s">
        <v>114</v>
      </c>
      <c r="R47" s="419">
        <v>24</v>
      </c>
      <c r="S47" s="419" t="s">
        <v>47</v>
      </c>
      <c r="T47" s="419" t="s">
        <v>39</v>
      </c>
      <c r="U47" s="98" t="s">
        <v>52</v>
      </c>
      <c r="V47" s="97" t="s">
        <v>1114</v>
      </c>
      <c r="W47" s="97" t="s">
        <v>115</v>
      </c>
      <c r="X47" s="419" t="s">
        <v>86</v>
      </c>
      <c r="Y47" s="419" t="s">
        <v>43</v>
      </c>
      <c r="Z47" s="419" t="s">
        <v>43</v>
      </c>
      <c r="AA47" s="419" t="s">
        <v>39</v>
      </c>
      <c r="AB47" s="419" t="s">
        <v>39</v>
      </c>
      <c r="AC47" s="97" t="s">
        <v>105</v>
      </c>
      <c r="AD47" s="159" t="s">
        <v>37</v>
      </c>
      <c r="AE47" s="174" t="s">
        <v>50</v>
      </c>
    </row>
    <row r="48" spans="1:37" ht="12" customHeight="1" x14ac:dyDescent="0.2">
      <c r="A48" s="544" t="s">
        <v>4</v>
      </c>
      <c r="B48" s="168">
        <f>'DATA Sloan (2014) Smoker costs'!C40</f>
        <v>28944.594254032254</v>
      </c>
      <c r="C48" s="139"/>
      <c r="D48" s="168">
        <f t="shared" si="0"/>
        <v>28944.594254032254</v>
      </c>
      <c r="E48" s="186"/>
      <c r="F48" s="186"/>
      <c r="G48" s="186"/>
      <c r="H48" s="186"/>
      <c r="I48" s="197"/>
      <c r="J48" s="158"/>
      <c r="K48" s="44">
        <f>D48*J47</f>
        <v>38418.655853556993</v>
      </c>
      <c r="L48" s="62"/>
      <c r="M48" s="99"/>
      <c r="N48" s="97"/>
      <c r="O48" s="97"/>
      <c r="P48" s="541"/>
      <c r="Q48" s="97"/>
      <c r="R48" s="541"/>
      <c r="S48" s="541"/>
      <c r="T48" s="541"/>
      <c r="U48" s="98"/>
      <c r="V48" s="97"/>
      <c r="W48" s="142"/>
      <c r="X48" s="541"/>
      <c r="Y48" s="541"/>
      <c r="Z48" s="541"/>
      <c r="AA48" s="541"/>
      <c r="AB48" s="541"/>
      <c r="AC48" s="97"/>
      <c r="AD48" s="159"/>
      <c r="AE48" s="541"/>
    </row>
    <row r="49" spans="1:96" ht="12" customHeight="1" x14ac:dyDescent="0.2">
      <c r="A49" s="544" t="s">
        <v>5</v>
      </c>
      <c r="B49" s="168">
        <f>'DATA Sloan (2014) Smoker costs'!C43</f>
        <v>60015.06728830644</v>
      </c>
      <c r="C49" s="139"/>
      <c r="D49" s="168">
        <f t="shared" si="0"/>
        <v>60015.06728830644</v>
      </c>
      <c r="E49" s="186"/>
      <c r="F49" s="186"/>
      <c r="G49" s="186"/>
      <c r="H49" s="186"/>
      <c r="I49" s="197"/>
      <c r="J49" s="158"/>
      <c r="K49" s="44">
        <f>D49*J47</f>
        <v>79659.027034255472</v>
      </c>
      <c r="L49" s="62"/>
      <c r="M49" s="99"/>
      <c r="N49" s="97"/>
      <c r="O49" s="97"/>
      <c r="P49" s="541"/>
      <c r="Q49" s="97"/>
      <c r="R49" s="541"/>
      <c r="S49" s="541"/>
      <c r="T49" s="541"/>
      <c r="U49" s="98"/>
      <c r="V49" s="97"/>
      <c r="W49" s="142"/>
      <c r="X49" s="541"/>
      <c r="Y49" s="541"/>
      <c r="Z49" s="541"/>
      <c r="AA49" s="541"/>
      <c r="AB49" s="541"/>
      <c r="AC49" s="97"/>
      <c r="AD49" s="159"/>
      <c r="AE49" s="541"/>
    </row>
    <row r="50" spans="1:96" ht="12" customHeight="1" x14ac:dyDescent="0.2">
      <c r="A50" s="147" t="s">
        <v>108</v>
      </c>
      <c r="B50" s="168">
        <f>'DATA Sloan (2014) Smoker costs'!C38</f>
        <v>10157.813508064517</v>
      </c>
      <c r="C50" s="139" t="s">
        <v>42</v>
      </c>
      <c r="D50" s="168">
        <f t="shared" si="0"/>
        <v>10157.813508064517</v>
      </c>
      <c r="E50" s="186" t="s">
        <v>37</v>
      </c>
      <c r="F50" s="197" t="s">
        <v>37</v>
      </c>
      <c r="G50" s="197" t="s">
        <v>37</v>
      </c>
      <c r="H50" s="186">
        <v>2000</v>
      </c>
      <c r="I50" s="186" t="s">
        <v>82</v>
      </c>
      <c r="J50" s="158">
        <f>'DATA Inflation GDP'!AA10/'DATA Inflation GDP'!M10</f>
        <v>1.3273171327390403</v>
      </c>
      <c r="K50" s="44">
        <f>D50*J50</f>
        <v>13482.639900422088</v>
      </c>
      <c r="L50" s="62" t="s">
        <v>803</v>
      </c>
      <c r="M50" s="99" t="s">
        <v>46</v>
      </c>
      <c r="N50" s="97" t="s">
        <v>83</v>
      </c>
      <c r="O50" s="97" t="s">
        <v>52</v>
      </c>
      <c r="P50" s="419" t="s">
        <v>52</v>
      </c>
      <c r="Q50" s="97" t="s">
        <v>114</v>
      </c>
      <c r="R50" s="419">
        <v>24</v>
      </c>
      <c r="S50" s="419" t="s">
        <v>47</v>
      </c>
      <c r="T50" s="419" t="s">
        <v>39</v>
      </c>
      <c r="U50" s="98" t="s">
        <v>52</v>
      </c>
      <c r="V50" s="97" t="s">
        <v>1112</v>
      </c>
      <c r="W50" s="142" t="s">
        <v>116</v>
      </c>
      <c r="X50" s="419" t="s">
        <v>86</v>
      </c>
      <c r="Y50" s="419" t="s">
        <v>43</v>
      </c>
      <c r="Z50" s="419" t="s">
        <v>43</v>
      </c>
      <c r="AA50" s="419" t="s">
        <v>43</v>
      </c>
      <c r="AB50" s="419" t="s">
        <v>43</v>
      </c>
      <c r="AC50" s="97" t="s">
        <v>105</v>
      </c>
      <c r="AD50" s="159" t="s">
        <v>37</v>
      </c>
      <c r="AE50" s="174" t="s">
        <v>50</v>
      </c>
    </row>
    <row r="51" spans="1:96" ht="12" customHeight="1" x14ac:dyDescent="0.2">
      <c r="A51" s="544" t="s">
        <v>4</v>
      </c>
      <c r="B51" s="168">
        <f>'DATA Sloan (2014) Smoker costs'!C41</f>
        <v>6307.4092741935492</v>
      </c>
      <c r="C51" s="139"/>
      <c r="D51" s="168">
        <f t="shared" si="0"/>
        <v>6307.4092741935492</v>
      </c>
      <c r="E51" s="186"/>
      <c r="F51" s="186"/>
      <c r="G51" s="186"/>
      <c r="H51" s="186"/>
      <c r="I51" s="197"/>
      <c r="J51" s="158"/>
      <c r="K51" s="44">
        <f>D51*J50</f>
        <v>8371.9323928342128</v>
      </c>
      <c r="L51" s="62"/>
      <c r="M51" s="99"/>
      <c r="N51" s="97"/>
      <c r="O51" s="97"/>
      <c r="P51" s="541"/>
      <c r="Q51" s="97"/>
      <c r="R51" s="541"/>
      <c r="S51" s="541"/>
      <c r="T51" s="541"/>
      <c r="U51" s="98"/>
      <c r="V51" s="97"/>
      <c r="W51" s="142"/>
      <c r="X51" s="541"/>
      <c r="Y51" s="541"/>
      <c r="Z51" s="541"/>
      <c r="AA51" s="541"/>
      <c r="AB51" s="541"/>
      <c r="AC51" s="97"/>
      <c r="AD51" s="159"/>
      <c r="AE51" s="541"/>
    </row>
    <row r="52" spans="1:96" ht="12" customHeight="1" x14ac:dyDescent="0.2">
      <c r="A52" s="544" t="s">
        <v>5</v>
      </c>
      <c r="B52" s="168">
        <f>'DATA Sloan (2014) Smoker costs'!C44</f>
        <v>13078.075604838712</v>
      </c>
      <c r="C52" s="139"/>
      <c r="D52" s="168">
        <f t="shared" si="0"/>
        <v>13078.075604838712</v>
      </c>
      <c r="E52" s="186"/>
      <c r="F52" s="186"/>
      <c r="G52" s="186"/>
      <c r="H52" s="186"/>
      <c r="I52" s="197"/>
      <c r="J52" s="158"/>
      <c r="K52" s="44">
        <f>D52*J50</f>
        <v>17358.753813558909</v>
      </c>
      <c r="L52" s="62"/>
      <c r="M52" s="99"/>
      <c r="N52" s="97"/>
      <c r="O52" s="97"/>
      <c r="P52" s="541"/>
      <c r="Q52" s="97"/>
      <c r="R52" s="541"/>
      <c r="S52" s="541"/>
      <c r="T52" s="541"/>
      <c r="U52" s="98"/>
      <c r="V52" s="97"/>
      <c r="W52" s="142"/>
      <c r="X52" s="541"/>
      <c r="Y52" s="541"/>
      <c r="Z52" s="541"/>
      <c r="AA52" s="541"/>
      <c r="AB52" s="541"/>
      <c r="AC52" s="97"/>
      <c r="AD52" s="159"/>
      <c r="AE52" s="541"/>
    </row>
    <row r="53" spans="1:96" s="30" customFormat="1" ht="12" customHeight="1" x14ac:dyDescent="0.2">
      <c r="A53" s="111" t="s">
        <v>523</v>
      </c>
      <c r="B53" s="168"/>
      <c r="C53" s="186"/>
      <c r="D53" s="168"/>
      <c r="E53" s="197"/>
      <c r="F53" s="186"/>
      <c r="G53" s="186"/>
      <c r="H53" s="186"/>
      <c r="I53" s="186"/>
      <c r="J53" s="77"/>
      <c r="K53" s="51"/>
      <c r="L53" s="100"/>
      <c r="M53" s="77"/>
      <c r="N53" s="186"/>
      <c r="O53" s="101"/>
      <c r="P53" s="186"/>
      <c r="Q53" s="88"/>
      <c r="R53" s="102"/>
      <c r="S53" s="102"/>
      <c r="T53" s="419"/>
      <c r="U53" s="87"/>
      <c r="V53" s="185"/>
      <c r="W53" s="185"/>
      <c r="X53" s="186"/>
      <c r="Y53" s="186"/>
      <c r="Z53" s="186"/>
      <c r="AA53" s="186"/>
      <c r="AB53" s="186"/>
      <c r="AC53" s="185"/>
      <c r="AD53" s="87"/>
      <c r="AE53" s="174" t="s">
        <v>50</v>
      </c>
      <c r="AF53" s="86"/>
      <c r="AG53" s="86"/>
      <c r="AH53" s="86"/>
      <c r="AI53" s="86"/>
      <c r="AJ53" s="86"/>
      <c r="AK53" s="86"/>
      <c r="AL53" s="86"/>
      <c r="AN53" s="86"/>
      <c r="AQ53" s="174"/>
      <c r="AT53" s="76"/>
      <c r="AU53" s="75"/>
      <c r="AV53" s="76"/>
      <c r="AW53" s="80"/>
      <c r="AX53" s="104"/>
      <c r="AY53" s="96"/>
      <c r="AZ53" s="104"/>
      <c r="BA53" s="104"/>
      <c r="BB53" s="86"/>
      <c r="BC53" s="86"/>
      <c r="BD53" s="86"/>
      <c r="BE53" s="86"/>
      <c r="BF53" s="86"/>
      <c r="BG53" s="86"/>
      <c r="BH53" s="86"/>
      <c r="BI53" s="86"/>
      <c r="BJ53" s="76"/>
      <c r="BK53" s="165"/>
      <c r="BL53" s="76"/>
      <c r="BM53" s="86"/>
      <c r="BN53" s="96"/>
      <c r="BO53" s="96"/>
      <c r="BP53" s="96"/>
      <c r="BQ53" s="96"/>
      <c r="BR53" s="96"/>
      <c r="BS53" s="96"/>
      <c r="BT53" s="96"/>
      <c r="BU53" s="96"/>
      <c r="BV53" s="96"/>
      <c r="BW53" s="96"/>
      <c r="BX53" s="96"/>
      <c r="BY53" s="96"/>
      <c r="BZ53" s="76"/>
      <c r="CA53" s="76"/>
      <c r="CB53" s="76"/>
      <c r="CC53" s="86"/>
      <c r="CD53" s="96"/>
      <c r="CE53" s="96"/>
      <c r="CF53" s="96"/>
      <c r="CG53" s="96"/>
      <c r="CH53" s="96"/>
      <c r="CI53" s="96"/>
      <c r="CJ53" s="96"/>
      <c r="CK53" s="96"/>
      <c r="CL53" s="96"/>
      <c r="CM53" s="96"/>
      <c r="CN53" s="96"/>
      <c r="CO53" s="96"/>
      <c r="CP53" s="90"/>
      <c r="CQ53" s="73" t="s">
        <v>50</v>
      </c>
      <c r="CR53" s="91"/>
    </row>
    <row r="54" spans="1:96" ht="12" customHeight="1" x14ac:dyDescent="0.2">
      <c r="A54" s="167" t="s">
        <v>122</v>
      </c>
      <c r="B54" s="168"/>
      <c r="C54" s="20"/>
      <c r="D54" s="168"/>
      <c r="E54" s="139"/>
      <c r="F54" s="20"/>
      <c r="G54" s="20"/>
      <c r="H54" s="20"/>
      <c r="I54" s="20"/>
      <c r="J54" s="158"/>
      <c r="K54" s="58"/>
      <c r="L54" s="106"/>
      <c r="M54" s="163"/>
      <c r="N54" s="67"/>
      <c r="O54" s="67"/>
      <c r="P54" s="20"/>
      <c r="Q54" s="20"/>
      <c r="R54" s="20"/>
      <c r="S54" s="20"/>
      <c r="T54" s="20"/>
      <c r="U54" s="164"/>
      <c r="V54" s="199"/>
      <c r="W54" s="199"/>
      <c r="X54" s="20"/>
      <c r="Y54" s="20"/>
      <c r="Z54" s="20"/>
      <c r="AA54" s="20"/>
      <c r="AB54" s="20"/>
      <c r="AC54" s="199"/>
      <c r="AD54" s="164"/>
      <c r="AE54" s="174" t="s">
        <v>50</v>
      </c>
    </row>
    <row r="55" spans="1:96" ht="12" customHeight="1" x14ac:dyDescent="0.2">
      <c r="A55" s="147" t="s">
        <v>74</v>
      </c>
      <c r="B55" s="168">
        <f>'Table 5 Cost discounting'!D49</f>
        <v>3259</v>
      </c>
      <c r="C55" s="139" t="s">
        <v>75</v>
      </c>
      <c r="D55" s="168">
        <f>'Table 5 Cost discounting'!D52</f>
        <v>75331.041863938779</v>
      </c>
      <c r="E55" s="20" t="s">
        <v>37</v>
      </c>
      <c r="F55" s="197" t="s">
        <v>37</v>
      </c>
      <c r="G55" s="197" t="s">
        <v>37</v>
      </c>
      <c r="H55" s="419">
        <v>2009</v>
      </c>
      <c r="I55" s="197" t="s">
        <v>76</v>
      </c>
      <c r="J55" s="158">
        <f>'DATA Inflation PCE'!AA46/'DATA Inflation PCE'!V46</f>
        <v>1.0976600000000001</v>
      </c>
      <c r="K55" s="44">
        <f t="shared" ref="K55:K56" si="1">D55*J55</f>
        <v>82687.871412371052</v>
      </c>
      <c r="L55" s="144" t="s">
        <v>546</v>
      </c>
      <c r="M55" s="99" t="s">
        <v>46</v>
      </c>
      <c r="N55" s="97" t="s">
        <v>77</v>
      </c>
      <c r="O55" s="97" t="s">
        <v>547</v>
      </c>
      <c r="P55" s="419" t="s">
        <v>548</v>
      </c>
      <c r="Q55" s="97" t="s">
        <v>549</v>
      </c>
      <c r="R55" s="419" t="s">
        <v>104</v>
      </c>
      <c r="S55" s="419" t="s">
        <v>47</v>
      </c>
      <c r="T55" s="419" t="s">
        <v>39</v>
      </c>
      <c r="U55" s="98" t="s">
        <v>550</v>
      </c>
      <c r="V55" s="97" t="s">
        <v>1111</v>
      </c>
      <c r="W55" s="97" t="s">
        <v>551</v>
      </c>
      <c r="X55" s="199" t="s">
        <v>79</v>
      </c>
      <c r="Y55" s="419" t="s">
        <v>39</v>
      </c>
      <c r="Z55" s="419" t="s">
        <v>39</v>
      </c>
      <c r="AA55" s="419" t="s">
        <v>43</v>
      </c>
      <c r="AB55" s="419" t="s">
        <v>43</v>
      </c>
      <c r="AC55" s="97" t="s">
        <v>552</v>
      </c>
      <c r="AD55" s="159" t="s">
        <v>98</v>
      </c>
      <c r="AE55" s="174" t="s">
        <v>50</v>
      </c>
    </row>
    <row r="56" spans="1:96" ht="12" customHeight="1" x14ac:dyDescent="0.2">
      <c r="A56" s="147" t="s">
        <v>80</v>
      </c>
      <c r="B56" s="168">
        <f>'Table 5 Cost discounting'!D53</f>
        <v>301</v>
      </c>
      <c r="C56" s="139" t="s">
        <v>75</v>
      </c>
      <c r="D56" s="168">
        <f>'Table 5 Cost discounting'!D56</f>
        <v>6865.2727551632233</v>
      </c>
      <c r="E56" s="20" t="s">
        <v>37</v>
      </c>
      <c r="F56" s="197" t="s">
        <v>37</v>
      </c>
      <c r="G56" s="197" t="s">
        <v>37</v>
      </c>
      <c r="H56" s="419">
        <v>2009</v>
      </c>
      <c r="I56" s="20" t="s">
        <v>82</v>
      </c>
      <c r="J56" s="158">
        <f>'DATA Inflation GDP'!AA10/'DATA Inflation GDP'!V10</f>
        <v>1.08694</v>
      </c>
      <c r="K56" s="44">
        <f t="shared" si="1"/>
        <v>7462.1395684971139</v>
      </c>
      <c r="L56" s="144" t="s">
        <v>546</v>
      </c>
      <c r="M56" s="99" t="s">
        <v>46</v>
      </c>
      <c r="N56" s="97" t="s">
        <v>77</v>
      </c>
      <c r="O56" s="97" t="s">
        <v>547</v>
      </c>
      <c r="P56" s="419" t="s">
        <v>548</v>
      </c>
      <c r="Q56" s="97" t="s">
        <v>549</v>
      </c>
      <c r="R56" s="419" t="s">
        <v>104</v>
      </c>
      <c r="S56" s="419" t="s">
        <v>47</v>
      </c>
      <c r="T56" s="419" t="s">
        <v>39</v>
      </c>
      <c r="U56" s="144" t="s">
        <v>550</v>
      </c>
      <c r="V56" s="97" t="s">
        <v>1110</v>
      </c>
      <c r="W56" s="142" t="s">
        <v>553</v>
      </c>
      <c r="X56" s="199" t="s">
        <v>86</v>
      </c>
      <c r="Y56" s="419" t="s">
        <v>39</v>
      </c>
      <c r="Z56" s="419" t="s">
        <v>43</v>
      </c>
      <c r="AA56" s="419" t="s">
        <v>39</v>
      </c>
      <c r="AB56" s="419" t="s">
        <v>43</v>
      </c>
      <c r="AC56" s="97" t="s">
        <v>554</v>
      </c>
      <c r="AD56" s="159" t="s">
        <v>98</v>
      </c>
      <c r="AE56" s="174" t="s">
        <v>50</v>
      </c>
    </row>
    <row r="57" spans="1:96" ht="12" customHeight="1" x14ac:dyDescent="0.2">
      <c r="A57" s="167" t="s">
        <v>801</v>
      </c>
      <c r="B57" s="168"/>
      <c r="C57" s="20"/>
      <c r="D57" s="168"/>
      <c r="E57" s="20"/>
      <c r="F57" s="20"/>
      <c r="G57" s="20"/>
      <c r="H57" s="20"/>
      <c r="I57" s="20"/>
      <c r="J57" s="158"/>
      <c r="K57" s="58"/>
      <c r="L57" s="106"/>
      <c r="M57" s="163"/>
      <c r="N57" s="67"/>
      <c r="O57" s="67"/>
      <c r="P57" s="20"/>
      <c r="Q57" s="199"/>
      <c r="R57" s="20"/>
      <c r="S57" s="20"/>
      <c r="T57" s="20"/>
      <c r="U57" s="164"/>
      <c r="V57" s="199"/>
      <c r="W57" s="199"/>
      <c r="X57" s="20"/>
      <c r="Y57" s="20"/>
      <c r="Z57" s="20"/>
      <c r="AA57" s="20"/>
      <c r="AB57" s="20"/>
      <c r="AC57" s="199"/>
      <c r="AD57" s="164"/>
      <c r="AE57" s="174" t="s">
        <v>50</v>
      </c>
    </row>
    <row r="58" spans="1:96" ht="12" customHeight="1" x14ac:dyDescent="0.2">
      <c r="A58" s="147" t="s">
        <v>74</v>
      </c>
      <c r="B58" s="168">
        <f>'Table 5 Cost discounting'!D57</f>
        <v>1400</v>
      </c>
      <c r="C58" s="20" t="s">
        <v>75</v>
      </c>
      <c r="D58" s="168">
        <f>'Table 5 Cost discounting'!D60</f>
        <v>23709.758970822892</v>
      </c>
      <c r="E58" s="168">
        <v>3591</v>
      </c>
      <c r="F58" s="20">
        <v>860</v>
      </c>
      <c r="G58" s="107">
        <v>3454</v>
      </c>
      <c r="H58" s="20">
        <v>2004</v>
      </c>
      <c r="I58" s="197" t="s">
        <v>76</v>
      </c>
      <c r="J58" s="158">
        <f>'DATA Inflation PCE'!AA46/'DATA Inflation PCE'!Q46</f>
        <v>1.2708663787613899</v>
      </c>
      <c r="K58" s="44">
        <f>D58*J58</f>
        <v>30131.935524555065</v>
      </c>
      <c r="L58" s="106" t="s">
        <v>815</v>
      </c>
      <c r="M58" s="163" t="s">
        <v>46</v>
      </c>
      <c r="N58" s="67" t="s">
        <v>77</v>
      </c>
      <c r="O58" s="20" t="s">
        <v>804</v>
      </c>
      <c r="P58" s="20" t="s">
        <v>807</v>
      </c>
      <c r="Q58" s="199" t="s">
        <v>1089</v>
      </c>
      <c r="R58" s="496" t="s">
        <v>1109</v>
      </c>
      <c r="S58" s="20" t="s">
        <v>47</v>
      </c>
      <c r="T58" s="20" t="s">
        <v>43</v>
      </c>
      <c r="U58" s="334">
        <v>77511</v>
      </c>
      <c r="V58" s="199" t="s">
        <v>1090</v>
      </c>
      <c r="W58" s="207" t="s">
        <v>1123</v>
      </c>
      <c r="X58" s="199" t="s">
        <v>79</v>
      </c>
      <c r="Y58" s="20" t="s">
        <v>39</v>
      </c>
      <c r="Z58" s="20" t="s">
        <v>39</v>
      </c>
      <c r="AA58" s="20" t="s">
        <v>43</v>
      </c>
      <c r="AB58" s="20" t="s">
        <v>43</v>
      </c>
      <c r="AC58" s="199" t="s">
        <v>1121</v>
      </c>
      <c r="AD58" s="164" t="s">
        <v>41</v>
      </c>
      <c r="AE58" s="174" t="s">
        <v>50</v>
      </c>
    </row>
    <row r="59" spans="1:96" ht="12" customHeight="1" x14ac:dyDescent="0.2">
      <c r="A59" s="147" t="s">
        <v>80</v>
      </c>
      <c r="B59" s="168">
        <f>'Table 5 Cost discounting'!D61</f>
        <v>22540.999618265974</v>
      </c>
      <c r="C59" s="20" t="s">
        <v>75</v>
      </c>
      <c r="D59" s="168">
        <f>'Table 5 Cost discounting'!D64</f>
        <v>381744.04850749788</v>
      </c>
      <c r="E59" s="168">
        <v>6382</v>
      </c>
      <c r="F59" s="20" t="s">
        <v>37</v>
      </c>
      <c r="G59" s="107" t="s">
        <v>37</v>
      </c>
      <c r="H59" s="20">
        <v>2004</v>
      </c>
      <c r="I59" s="197" t="s">
        <v>82</v>
      </c>
      <c r="J59" s="158">
        <f>'DATA Inflation GDP'!AA10/'DATA Inflation GDP'!Q10</f>
        <v>1.2196638165129381</v>
      </c>
      <c r="K59" s="44">
        <f>D59*J59</f>
        <v>465599.40313375503</v>
      </c>
      <c r="L59" s="106" t="s">
        <v>821</v>
      </c>
      <c r="M59" s="163" t="s">
        <v>46</v>
      </c>
      <c r="N59" s="67" t="s">
        <v>77</v>
      </c>
      <c r="O59" s="199" t="s">
        <v>822</v>
      </c>
      <c r="P59" s="20" t="s">
        <v>823</v>
      </c>
      <c r="Q59" s="199" t="s">
        <v>824</v>
      </c>
      <c r="R59" s="20" t="s">
        <v>825</v>
      </c>
      <c r="S59" s="20" t="s">
        <v>47</v>
      </c>
      <c r="T59" s="20" t="s">
        <v>43</v>
      </c>
      <c r="U59" s="334">
        <f>(115583+74133+125882+40671)</f>
        <v>356269</v>
      </c>
      <c r="V59" s="199" t="s">
        <v>1091</v>
      </c>
      <c r="W59" s="207" t="s">
        <v>1127</v>
      </c>
      <c r="X59" s="199" t="s">
        <v>86</v>
      </c>
      <c r="Y59" s="20" t="s">
        <v>39</v>
      </c>
      <c r="Z59" s="20" t="s">
        <v>39</v>
      </c>
      <c r="AA59" s="20" t="s">
        <v>43</v>
      </c>
      <c r="AB59" s="20" t="s">
        <v>43</v>
      </c>
      <c r="AC59" s="199" t="s">
        <v>826</v>
      </c>
      <c r="AD59" s="164" t="s">
        <v>41</v>
      </c>
      <c r="AE59" s="206" t="s">
        <v>50</v>
      </c>
    </row>
    <row r="60" spans="1:96" ht="12" customHeight="1" x14ac:dyDescent="0.2">
      <c r="A60" s="212" t="s">
        <v>831</v>
      </c>
      <c r="B60" s="168"/>
      <c r="C60" s="20"/>
      <c r="D60" s="168"/>
      <c r="E60" s="20"/>
      <c r="F60" s="20"/>
      <c r="G60" s="20"/>
      <c r="H60" s="20"/>
      <c r="I60" s="20"/>
      <c r="J60" s="158"/>
      <c r="K60" s="58"/>
      <c r="L60" s="106"/>
      <c r="M60" s="163"/>
      <c r="N60" s="67"/>
      <c r="O60" s="67"/>
      <c r="P60" s="20"/>
      <c r="Q60" s="20"/>
      <c r="R60" s="20"/>
      <c r="S60" s="20"/>
      <c r="T60" s="20"/>
      <c r="U60" s="164"/>
      <c r="V60" s="199"/>
      <c r="W60" s="199"/>
      <c r="X60" s="20"/>
      <c r="Y60" s="20"/>
      <c r="Z60" s="20"/>
      <c r="AA60" s="20"/>
      <c r="AB60" s="20"/>
      <c r="AC60" s="199"/>
      <c r="AD60" s="164"/>
      <c r="AE60" s="174" t="s">
        <v>50</v>
      </c>
    </row>
    <row r="61" spans="1:96" ht="12" customHeight="1" x14ac:dyDescent="0.2">
      <c r="A61" s="147" t="s">
        <v>74</v>
      </c>
      <c r="B61" s="168">
        <f>'Table 5 Cost discounting'!D65</f>
        <v>501.39784946236557</v>
      </c>
      <c r="C61" s="20" t="s">
        <v>75</v>
      </c>
      <c r="D61" s="168">
        <f>'Table 5 Cost discounting'!D68</f>
        <v>11589.696958680066</v>
      </c>
      <c r="E61" s="20" t="s">
        <v>37</v>
      </c>
      <c r="F61" s="20" t="s">
        <v>37</v>
      </c>
      <c r="G61" s="20" t="s">
        <v>37</v>
      </c>
      <c r="H61" s="20">
        <v>2004</v>
      </c>
      <c r="I61" s="197" t="s">
        <v>76</v>
      </c>
      <c r="J61" s="158">
        <f>'DATA Inflation PCE'!AA48/'DATA Inflation PCE'!Q48</f>
        <v>1.3135257174291739</v>
      </c>
      <c r="K61" s="44">
        <f>D61*J61</f>
        <v>15223.365012436949</v>
      </c>
      <c r="L61" s="106" t="s">
        <v>827</v>
      </c>
      <c r="M61" s="163" t="s">
        <v>46</v>
      </c>
      <c r="N61" s="67" t="s">
        <v>105</v>
      </c>
      <c r="O61" s="105" t="s">
        <v>1105</v>
      </c>
      <c r="P61" s="20">
        <v>1998</v>
      </c>
      <c r="Q61" s="20" t="s">
        <v>103</v>
      </c>
      <c r="R61" s="20" t="s">
        <v>104</v>
      </c>
      <c r="S61" s="20" t="s">
        <v>47</v>
      </c>
      <c r="T61" s="20" t="s">
        <v>43</v>
      </c>
      <c r="U61" s="164" t="s">
        <v>37</v>
      </c>
      <c r="V61" s="199" t="s">
        <v>1103</v>
      </c>
      <c r="W61" s="207" t="s">
        <v>1107</v>
      </c>
      <c r="X61" s="199" t="s">
        <v>79</v>
      </c>
      <c r="Y61" s="20" t="s">
        <v>43</v>
      </c>
      <c r="Z61" s="21" t="s">
        <v>39</v>
      </c>
      <c r="AA61" s="20" t="s">
        <v>43</v>
      </c>
      <c r="AB61" s="20" t="s">
        <v>43</v>
      </c>
      <c r="AC61" s="199" t="s">
        <v>1096</v>
      </c>
      <c r="AD61" s="145" t="s">
        <v>1041</v>
      </c>
      <c r="AE61" s="206" t="s">
        <v>50</v>
      </c>
    </row>
    <row r="62" spans="1:96" ht="12" customHeight="1" x14ac:dyDescent="0.2">
      <c r="A62" s="147" t="s">
        <v>80</v>
      </c>
      <c r="B62" s="168">
        <f>'Table 5 Cost discounting'!D69</f>
        <v>25.752688172043012</v>
      </c>
      <c r="C62" s="20" t="s">
        <v>75</v>
      </c>
      <c r="D62" s="168">
        <f>'Table 5 Cost discounting'!D72</f>
        <v>595.26751481961742</v>
      </c>
      <c r="E62" s="20" t="s">
        <v>37</v>
      </c>
      <c r="F62" s="20" t="s">
        <v>37</v>
      </c>
      <c r="G62" s="20" t="s">
        <v>37</v>
      </c>
      <c r="H62" s="20">
        <v>2004</v>
      </c>
      <c r="I62" s="20" t="s">
        <v>82</v>
      </c>
      <c r="J62" s="158">
        <f>'DATA Inflation GDP'!AA12/'DATA Inflation GDP'!Q12</f>
        <v>1.113574660633484</v>
      </c>
      <c r="K62" s="44">
        <f>D62*J62</f>
        <v>662.87482080139284</v>
      </c>
      <c r="L62" s="106" t="s">
        <v>827</v>
      </c>
      <c r="M62" s="163" t="s">
        <v>46</v>
      </c>
      <c r="N62" s="67" t="s">
        <v>105</v>
      </c>
      <c r="O62" s="105" t="s">
        <v>1105</v>
      </c>
      <c r="P62" s="20">
        <v>1998</v>
      </c>
      <c r="Q62" s="20" t="s">
        <v>103</v>
      </c>
      <c r="R62" s="20" t="s">
        <v>1106</v>
      </c>
      <c r="S62" s="20" t="s">
        <v>47</v>
      </c>
      <c r="T62" s="20" t="s">
        <v>43</v>
      </c>
      <c r="U62" s="164" t="s">
        <v>37</v>
      </c>
      <c r="V62" s="199" t="s">
        <v>1104</v>
      </c>
      <c r="W62" s="207" t="s">
        <v>1108</v>
      </c>
      <c r="X62" s="199" t="s">
        <v>86</v>
      </c>
      <c r="Y62" s="20" t="s">
        <v>43</v>
      </c>
      <c r="Z62" s="21" t="s">
        <v>43</v>
      </c>
      <c r="AA62" s="20" t="s">
        <v>39</v>
      </c>
      <c r="AB62" s="20" t="s">
        <v>39</v>
      </c>
      <c r="AC62" s="199" t="s">
        <v>1096</v>
      </c>
      <c r="AD62" s="145" t="s">
        <v>1041</v>
      </c>
      <c r="AE62" s="206" t="s">
        <v>50</v>
      </c>
    </row>
    <row r="63" spans="1:96" ht="12" customHeight="1" x14ac:dyDescent="0.2">
      <c r="A63" s="212" t="s">
        <v>820</v>
      </c>
      <c r="B63" s="168"/>
      <c r="C63" s="20"/>
      <c r="D63" s="168"/>
      <c r="E63" s="20"/>
      <c r="F63" s="20"/>
      <c r="G63" s="20"/>
      <c r="H63" s="20"/>
      <c r="I63" s="20"/>
      <c r="J63" s="158"/>
      <c r="K63" s="58"/>
      <c r="L63" s="106"/>
      <c r="M63" s="163"/>
      <c r="N63" s="67"/>
      <c r="O63" s="67"/>
      <c r="P63" s="20"/>
      <c r="Q63" s="20"/>
      <c r="R63" s="20"/>
      <c r="S63" s="20"/>
      <c r="T63" s="20"/>
      <c r="U63" s="164"/>
      <c r="V63" s="199"/>
      <c r="W63" s="199"/>
      <c r="X63" s="20"/>
      <c r="Y63" s="20"/>
      <c r="Z63" s="20"/>
      <c r="AA63" s="20"/>
      <c r="AB63" s="20"/>
      <c r="AC63" s="199"/>
      <c r="AD63" s="164"/>
      <c r="AE63" s="174" t="s">
        <v>50</v>
      </c>
    </row>
    <row r="64" spans="1:96" ht="12" customHeight="1" x14ac:dyDescent="0.2">
      <c r="A64" s="147" t="s">
        <v>74</v>
      </c>
      <c r="B64" s="168">
        <f>'Table 5 Cost discounting'!D73</f>
        <v>1861</v>
      </c>
      <c r="C64" s="20" t="s">
        <v>75</v>
      </c>
      <c r="D64" s="168">
        <f>'Table 5 Cost discounting'!D76</f>
        <v>43016.590643998185</v>
      </c>
      <c r="E64" s="20" t="s">
        <v>37</v>
      </c>
      <c r="F64" s="20" t="s">
        <v>37</v>
      </c>
      <c r="G64" s="20" t="s">
        <v>37</v>
      </c>
      <c r="H64" s="20">
        <v>2010</v>
      </c>
      <c r="I64" s="197" t="s">
        <v>76</v>
      </c>
      <c r="J64" s="158">
        <f>'DATA Inflation PCE'!AA46/'DATA Inflation PCE'!W46</f>
        <v>1.0697397914433291</v>
      </c>
      <c r="K64" s="44">
        <f t="shared" ref="K64:K65" si="2">D64*J64</f>
        <v>46016.558704113682</v>
      </c>
      <c r="L64" s="106" t="s">
        <v>805</v>
      </c>
      <c r="M64" s="163" t="s">
        <v>46</v>
      </c>
      <c r="N64" s="67" t="s">
        <v>77</v>
      </c>
      <c r="O64" s="20" t="s">
        <v>804</v>
      </c>
      <c r="P64" s="20">
        <v>2008</v>
      </c>
      <c r="Q64" s="199" t="s">
        <v>1131</v>
      </c>
      <c r="R64" s="20" t="s">
        <v>556</v>
      </c>
      <c r="S64" s="20" t="s">
        <v>47</v>
      </c>
      <c r="T64" s="20" t="s">
        <v>43</v>
      </c>
      <c r="U64" s="334">
        <v>20214</v>
      </c>
      <c r="V64" s="199" t="s">
        <v>1092</v>
      </c>
      <c r="W64" s="142" t="s">
        <v>1139</v>
      </c>
      <c r="X64" s="199" t="s">
        <v>79</v>
      </c>
      <c r="Y64" s="20" t="s">
        <v>39</v>
      </c>
      <c r="Z64" s="20" t="s">
        <v>39</v>
      </c>
      <c r="AA64" s="20" t="s">
        <v>43</v>
      </c>
      <c r="AB64" s="20" t="s">
        <v>43</v>
      </c>
      <c r="AC64" s="207" t="s">
        <v>1132</v>
      </c>
      <c r="AD64" s="145" t="s">
        <v>1041</v>
      </c>
      <c r="AE64" s="174" t="s">
        <v>50</v>
      </c>
    </row>
    <row r="65" spans="1:31" ht="12" customHeight="1" x14ac:dyDescent="0.2">
      <c r="A65" s="147" t="s">
        <v>80</v>
      </c>
      <c r="B65" s="168">
        <f>'Table 5 Cost discounting'!D77</f>
        <v>1545.4609929078015</v>
      </c>
      <c r="C65" s="20" t="s">
        <v>75</v>
      </c>
      <c r="D65" s="168">
        <f>'Table 5 Cost discounting'!D80</f>
        <v>35722.978446094501</v>
      </c>
      <c r="E65" s="20" t="s">
        <v>37</v>
      </c>
      <c r="F65" s="20" t="s">
        <v>37</v>
      </c>
      <c r="G65" s="20" t="s">
        <v>37</v>
      </c>
      <c r="H65" s="20">
        <v>2010</v>
      </c>
      <c r="I65" s="20" t="s">
        <v>82</v>
      </c>
      <c r="J65" s="158">
        <f>'DATA Inflation GDP'!AA10/'DATA Inflation GDP'!W10</f>
        <v>1.0737755122201806</v>
      </c>
      <c r="K65" s="44">
        <f t="shared" si="2"/>
        <v>38358.459478985598</v>
      </c>
      <c r="L65" s="106" t="s">
        <v>805</v>
      </c>
      <c r="M65" s="163" t="s">
        <v>46</v>
      </c>
      <c r="N65" s="67" t="s">
        <v>77</v>
      </c>
      <c r="O65" s="20" t="s">
        <v>804</v>
      </c>
      <c r="P65" s="20">
        <v>2008</v>
      </c>
      <c r="Q65" s="199" t="s">
        <v>1131</v>
      </c>
      <c r="R65" s="20" t="s">
        <v>556</v>
      </c>
      <c r="S65" s="20" t="s">
        <v>47</v>
      </c>
      <c r="T65" s="20" t="s">
        <v>43</v>
      </c>
      <c r="U65" s="334">
        <v>15945</v>
      </c>
      <c r="V65" s="199" t="s">
        <v>1093</v>
      </c>
      <c r="W65" s="142" t="s">
        <v>1154</v>
      </c>
      <c r="X65" s="199" t="s">
        <v>86</v>
      </c>
      <c r="Y65" s="20" t="s">
        <v>39</v>
      </c>
      <c r="Z65" s="20" t="s">
        <v>43</v>
      </c>
      <c r="AA65" s="20" t="s">
        <v>39</v>
      </c>
      <c r="AB65" s="20" t="s">
        <v>43</v>
      </c>
      <c r="AC65" s="199" t="s">
        <v>806</v>
      </c>
      <c r="AD65" s="145" t="s">
        <v>1041</v>
      </c>
      <c r="AE65" s="174" t="s">
        <v>50</v>
      </c>
    </row>
    <row r="66" spans="1:31" ht="12" customHeight="1" x14ac:dyDescent="0.2">
      <c r="A66" s="167" t="s">
        <v>545</v>
      </c>
      <c r="B66" s="168"/>
      <c r="C66" s="20"/>
      <c r="D66" s="168"/>
      <c r="E66" s="20"/>
      <c r="F66" s="20"/>
      <c r="G66" s="20"/>
      <c r="H66" s="20"/>
      <c r="I66" s="20"/>
      <c r="J66" s="158"/>
      <c r="K66" s="58"/>
      <c r="L66" s="106"/>
      <c r="M66" s="163"/>
      <c r="N66" s="67"/>
      <c r="O66" s="67"/>
      <c r="P66" s="20"/>
      <c r="Q66" s="20"/>
      <c r="R66" s="20"/>
      <c r="S66" s="20"/>
      <c r="T66" s="20"/>
      <c r="U66" s="164"/>
      <c r="V66" s="199"/>
      <c r="W66" s="199"/>
      <c r="X66" s="20"/>
      <c r="Y66" s="20"/>
      <c r="Z66" s="20"/>
      <c r="AA66" s="20"/>
      <c r="AB66" s="20"/>
      <c r="AC66" s="199"/>
      <c r="AD66" s="164"/>
      <c r="AE66" s="174" t="s">
        <v>50</v>
      </c>
    </row>
    <row r="67" spans="1:31" ht="12" customHeight="1" x14ac:dyDescent="0.2">
      <c r="A67" s="147" t="s">
        <v>74</v>
      </c>
      <c r="B67" s="168">
        <v>423000</v>
      </c>
      <c r="C67" s="20" t="s">
        <v>42</v>
      </c>
      <c r="D67" s="168">
        <v>423000</v>
      </c>
      <c r="E67" s="20" t="s">
        <v>37</v>
      </c>
      <c r="F67" s="20" t="s">
        <v>37</v>
      </c>
      <c r="G67" s="20" t="s">
        <v>37</v>
      </c>
      <c r="H67" s="20">
        <v>2002</v>
      </c>
      <c r="I67" s="197" t="s">
        <v>76</v>
      </c>
      <c r="J67" s="158">
        <f>'DATA Inflation PCE'!AA46/'DATA Inflation PCE'!O46</f>
        <v>1.3623004939558667</v>
      </c>
      <c r="K67" s="44">
        <f>D67*J67</f>
        <v>576253.10894333164</v>
      </c>
      <c r="L67" s="106" t="s">
        <v>814</v>
      </c>
      <c r="M67" s="163" t="s">
        <v>46</v>
      </c>
      <c r="N67" s="67" t="s">
        <v>77</v>
      </c>
      <c r="O67" s="67" t="s">
        <v>1158</v>
      </c>
      <c r="P67" s="20" t="s">
        <v>778</v>
      </c>
      <c r="Q67" s="20" t="s">
        <v>1141</v>
      </c>
      <c r="R67" s="20" t="s">
        <v>104</v>
      </c>
      <c r="S67" s="20" t="s">
        <v>40</v>
      </c>
      <c r="T67" s="20" t="s">
        <v>39</v>
      </c>
      <c r="U67" s="524" t="s">
        <v>1159</v>
      </c>
      <c r="V67" s="97" t="s">
        <v>1038</v>
      </c>
      <c r="W67" s="207" t="s">
        <v>1156</v>
      </c>
      <c r="X67" s="199" t="s">
        <v>79</v>
      </c>
      <c r="Y67" s="20" t="s">
        <v>39</v>
      </c>
      <c r="Z67" s="20" t="s">
        <v>39</v>
      </c>
      <c r="AA67" s="20" t="s">
        <v>39</v>
      </c>
      <c r="AB67" s="20" t="s">
        <v>43</v>
      </c>
      <c r="AC67" s="199" t="s">
        <v>1157</v>
      </c>
      <c r="AD67" s="164" t="s">
        <v>103</v>
      </c>
      <c r="AE67" s="174" t="s">
        <v>50</v>
      </c>
    </row>
    <row r="68" spans="1:31" ht="12" customHeight="1" x14ac:dyDescent="0.2">
      <c r="A68" s="147" t="s">
        <v>80</v>
      </c>
      <c r="B68" s="168">
        <f>'Table 5 Cost discounting'!D81</f>
        <v>960.74429223744289</v>
      </c>
      <c r="C68" s="20" t="s">
        <v>75</v>
      </c>
      <c r="D68" s="168">
        <f>'Table 5 Cost discounting'!D84</f>
        <v>22207.385240588843</v>
      </c>
      <c r="E68" s="20" t="s">
        <v>37</v>
      </c>
      <c r="F68" s="20" t="s">
        <v>37</v>
      </c>
      <c r="G68" s="20" t="s">
        <v>37</v>
      </c>
      <c r="H68" s="20">
        <v>2011</v>
      </c>
      <c r="I68" s="20" t="s">
        <v>82</v>
      </c>
      <c r="J68" s="158">
        <f>'DATA Inflation GDP'!AA10/'DATA Inflation GDP'!X10</f>
        <v>1.0520640758844311</v>
      </c>
      <c r="K68" s="44">
        <f t="shared" ref="K68" si="3">D68*J68</f>
        <v>23363.592230949656</v>
      </c>
      <c r="L68" s="106" t="s">
        <v>1142</v>
      </c>
      <c r="M68" s="163" t="s">
        <v>46</v>
      </c>
      <c r="N68" s="67" t="s">
        <v>77</v>
      </c>
      <c r="O68" s="74" t="s">
        <v>1147</v>
      </c>
      <c r="P68" s="74" t="s">
        <v>1143</v>
      </c>
      <c r="Q68" s="74" t="s">
        <v>1148</v>
      </c>
      <c r="R68" s="74" t="s">
        <v>1144</v>
      </c>
      <c r="S68" s="74" t="s">
        <v>1145</v>
      </c>
      <c r="T68" s="74" t="s">
        <v>1146</v>
      </c>
      <c r="U68" s="516" t="s">
        <v>1149</v>
      </c>
      <c r="V68" s="97" t="s">
        <v>1039</v>
      </c>
      <c r="W68" s="207" t="s">
        <v>1155</v>
      </c>
      <c r="X68" s="199" t="s">
        <v>86</v>
      </c>
      <c r="Y68" s="20" t="s">
        <v>39</v>
      </c>
      <c r="Z68" s="20" t="s">
        <v>49</v>
      </c>
      <c r="AA68" s="199" t="s">
        <v>1150</v>
      </c>
      <c r="AB68" s="199" t="s">
        <v>1151</v>
      </c>
      <c r="AC68" s="207" t="s">
        <v>1152</v>
      </c>
      <c r="AD68" s="166">
        <v>0.03</v>
      </c>
      <c r="AE68" s="174" t="s">
        <v>50</v>
      </c>
    </row>
    <row r="69" spans="1:31" ht="12" customHeight="1" x14ac:dyDescent="0.2">
      <c r="A69" s="167" t="s">
        <v>524</v>
      </c>
      <c r="B69" s="168"/>
      <c r="C69" s="20"/>
      <c r="D69" s="168"/>
      <c r="E69" s="20"/>
      <c r="F69" s="20"/>
      <c r="G69" s="20"/>
      <c r="H69" s="20"/>
      <c r="I69" s="20"/>
      <c r="J69" s="158"/>
      <c r="K69" s="58"/>
      <c r="L69" s="106"/>
      <c r="M69" s="163"/>
      <c r="N69" s="67"/>
      <c r="O69" s="67"/>
      <c r="P69" s="20"/>
      <c r="Q69" s="20"/>
      <c r="R69" s="20"/>
      <c r="S69" s="20"/>
      <c r="T69" s="20"/>
      <c r="U69" s="164"/>
      <c r="V69" s="199"/>
      <c r="W69" s="199"/>
      <c r="X69" s="20"/>
      <c r="Y69" s="20"/>
      <c r="Z69" s="20"/>
      <c r="AA69" s="20"/>
      <c r="AB69" s="20"/>
      <c r="AC69" s="199"/>
      <c r="AD69" s="164"/>
      <c r="AE69" s="174" t="s">
        <v>50</v>
      </c>
    </row>
    <row r="70" spans="1:31" ht="12" customHeight="1" x14ac:dyDescent="0.2">
      <c r="A70" s="147" t="s">
        <v>74</v>
      </c>
      <c r="B70" s="168">
        <f>'Table 5 Cost discounting'!D85</f>
        <v>649.07000000000005</v>
      </c>
      <c r="C70" s="139" t="s">
        <v>75</v>
      </c>
      <c r="D70" s="168">
        <f>'Table 5 Cost discounting'!D88</f>
        <v>15003.105045298174</v>
      </c>
      <c r="E70" s="20" t="s">
        <v>37</v>
      </c>
      <c r="F70" s="139" t="s">
        <v>37</v>
      </c>
      <c r="G70" s="139" t="s">
        <v>37</v>
      </c>
      <c r="H70" s="419">
        <v>2010</v>
      </c>
      <c r="I70" s="197" t="s">
        <v>76</v>
      </c>
      <c r="J70" s="158">
        <f>'DATA Inflation PCE'!AA46/'DATA Inflation PCE'!W46</f>
        <v>1.0697397914433291</v>
      </c>
      <c r="K70" s="44">
        <f>D70*J70</f>
        <v>16049.418462159627</v>
      </c>
      <c r="L70" s="97" t="s">
        <v>1128</v>
      </c>
      <c r="M70" s="99" t="s">
        <v>46</v>
      </c>
      <c r="N70" s="97" t="s">
        <v>77</v>
      </c>
      <c r="O70" s="142" t="s">
        <v>547</v>
      </c>
      <c r="P70" s="496">
        <v>2008</v>
      </c>
      <c r="Q70" s="142" t="s">
        <v>555</v>
      </c>
      <c r="R70" s="188" t="s">
        <v>556</v>
      </c>
      <c r="S70" s="496" t="s">
        <v>47</v>
      </c>
      <c r="T70" s="496" t="s">
        <v>39</v>
      </c>
      <c r="U70" s="509" t="s">
        <v>557</v>
      </c>
      <c r="V70" s="478" t="s">
        <v>1129</v>
      </c>
      <c r="W70" s="142" t="s">
        <v>1137</v>
      </c>
      <c r="X70" s="97" t="s">
        <v>79</v>
      </c>
      <c r="Y70" s="188" t="s">
        <v>39</v>
      </c>
      <c r="Z70" s="496" t="s">
        <v>39</v>
      </c>
      <c r="AA70" s="496" t="s">
        <v>43</v>
      </c>
      <c r="AB70" s="496" t="s">
        <v>43</v>
      </c>
      <c r="AC70" s="142" t="s">
        <v>558</v>
      </c>
      <c r="AD70" s="145" t="s">
        <v>98</v>
      </c>
      <c r="AE70" s="489" t="s">
        <v>50</v>
      </c>
    </row>
    <row r="71" spans="1:31" ht="12" customHeight="1" x14ac:dyDescent="0.2">
      <c r="A71" s="147" t="s">
        <v>80</v>
      </c>
      <c r="B71" s="168">
        <f>'Table 5 Cost discounting'!D89</f>
        <v>87.433808553971488</v>
      </c>
      <c r="C71" s="139" t="s">
        <v>75</v>
      </c>
      <c r="D71" s="168">
        <f>'Table 5 Cost discounting'!D92</f>
        <v>2021.0125475614714</v>
      </c>
      <c r="E71" s="20" t="s">
        <v>37</v>
      </c>
      <c r="F71" s="139" t="s">
        <v>37</v>
      </c>
      <c r="G71" s="139" t="s">
        <v>37</v>
      </c>
      <c r="H71" s="419">
        <v>2010</v>
      </c>
      <c r="I71" s="20" t="s">
        <v>82</v>
      </c>
      <c r="J71" s="158">
        <f>'DATA Inflation GDP'!AA10/'DATA Inflation GDP'!W10</f>
        <v>1.0737755122201806</v>
      </c>
      <c r="K71" s="44">
        <f>D71*J71</f>
        <v>2170.1137834612309</v>
      </c>
      <c r="L71" s="97" t="s">
        <v>1128</v>
      </c>
      <c r="M71" s="99" t="s">
        <v>46</v>
      </c>
      <c r="N71" s="97" t="s">
        <v>77</v>
      </c>
      <c r="O71" s="142" t="s">
        <v>547</v>
      </c>
      <c r="P71" s="496">
        <v>2008</v>
      </c>
      <c r="Q71" s="142" t="s">
        <v>555</v>
      </c>
      <c r="R71" s="188" t="s">
        <v>556</v>
      </c>
      <c r="S71" s="496" t="s">
        <v>47</v>
      </c>
      <c r="T71" s="496" t="s">
        <v>39</v>
      </c>
      <c r="U71" s="509" t="s">
        <v>557</v>
      </c>
      <c r="V71" s="478" t="s">
        <v>1130</v>
      </c>
      <c r="W71" s="142" t="s">
        <v>1138</v>
      </c>
      <c r="X71" s="97" t="s">
        <v>86</v>
      </c>
      <c r="Y71" s="188" t="s">
        <v>39</v>
      </c>
      <c r="Z71" s="496" t="s">
        <v>43</v>
      </c>
      <c r="AA71" s="496" t="s">
        <v>39</v>
      </c>
      <c r="AB71" s="496" t="s">
        <v>43</v>
      </c>
      <c r="AC71" s="142" t="s">
        <v>559</v>
      </c>
      <c r="AD71" s="145" t="s">
        <v>98</v>
      </c>
      <c r="AE71" s="489" t="s">
        <v>50</v>
      </c>
    </row>
    <row r="72" spans="1:31" ht="12" customHeight="1" x14ac:dyDescent="0.2">
      <c r="A72" s="167" t="s">
        <v>89</v>
      </c>
      <c r="B72" s="168"/>
      <c r="C72" s="20"/>
      <c r="D72" s="168"/>
      <c r="E72" s="20"/>
      <c r="F72" s="20"/>
      <c r="G72" s="20"/>
      <c r="H72" s="20"/>
      <c r="I72" s="20"/>
      <c r="J72" s="158"/>
      <c r="K72" s="58"/>
      <c r="L72" s="106"/>
      <c r="M72" s="163"/>
      <c r="N72" s="67"/>
      <c r="O72" s="67"/>
      <c r="P72" s="20"/>
      <c r="Q72" s="20"/>
      <c r="R72" s="20"/>
      <c r="S72" s="20"/>
      <c r="T72" s="20"/>
      <c r="U72" s="164"/>
      <c r="V72" s="199"/>
      <c r="W72" s="199"/>
      <c r="X72" s="20"/>
      <c r="Y72" s="20"/>
      <c r="Z72" s="20"/>
      <c r="AA72" s="20"/>
      <c r="AB72" s="20"/>
      <c r="AC72" s="199"/>
      <c r="AD72" s="164"/>
      <c r="AE72" s="174" t="s">
        <v>50</v>
      </c>
    </row>
    <row r="73" spans="1:31" ht="12" customHeight="1" x14ac:dyDescent="0.2">
      <c r="A73" s="147" t="s">
        <v>74</v>
      </c>
      <c r="B73" s="168">
        <v>765.77603501732631</v>
      </c>
      <c r="C73" s="161" t="s">
        <v>1055</v>
      </c>
      <c r="D73" s="168">
        <v>765.77603501732631</v>
      </c>
      <c r="E73" s="168">
        <v>2100</v>
      </c>
      <c r="F73" s="139" t="s">
        <v>37</v>
      </c>
      <c r="G73" s="139" t="s">
        <v>37</v>
      </c>
      <c r="H73" s="419">
        <v>2010</v>
      </c>
      <c r="I73" s="74" t="s">
        <v>76</v>
      </c>
      <c r="J73" s="158">
        <f>'DATA Inflation PCE'!AA46/'DATA Inflation PCE'!W46</f>
        <v>1.0697397914433291</v>
      </c>
      <c r="K73" s="44">
        <f>D73*J73</f>
        <v>819.18109599173408</v>
      </c>
      <c r="L73" s="144" t="s">
        <v>655</v>
      </c>
      <c r="M73" s="99" t="s">
        <v>46</v>
      </c>
      <c r="N73" s="97" t="s">
        <v>77</v>
      </c>
      <c r="O73" s="97" t="s">
        <v>657</v>
      </c>
      <c r="P73" s="419" t="s">
        <v>658</v>
      </c>
      <c r="Q73" s="419" t="s">
        <v>37</v>
      </c>
      <c r="R73" s="419" t="s">
        <v>37</v>
      </c>
      <c r="S73" s="419" t="s">
        <v>47</v>
      </c>
      <c r="T73" s="419" t="s">
        <v>43</v>
      </c>
      <c r="U73" s="98" t="s">
        <v>52</v>
      </c>
      <c r="V73" s="97" t="s">
        <v>1094</v>
      </c>
      <c r="W73" s="142" t="s">
        <v>659</v>
      </c>
      <c r="X73" s="97" t="s">
        <v>660</v>
      </c>
      <c r="Y73" s="489" t="s">
        <v>661</v>
      </c>
      <c r="Z73" s="489" t="s">
        <v>39</v>
      </c>
      <c r="AA73" s="489" t="s">
        <v>43</v>
      </c>
      <c r="AB73" s="489" t="s">
        <v>43</v>
      </c>
      <c r="AC73" s="97" t="s">
        <v>105</v>
      </c>
      <c r="AD73" s="159">
        <v>0.03</v>
      </c>
      <c r="AE73" s="174" t="s">
        <v>50</v>
      </c>
    </row>
    <row r="74" spans="1:31" ht="12" customHeight="1" x14ac:dyDescent="0.2">
      <c r="A74" s="147" t="s">
        <v>80</v>
      </c>
      <c r="B74" s="168">
        <v>276.43564356435644</v>
      </c>
      <c r="C74" s="139" t="s">
        <v>530</v>
      </c>
      <c r="D74" s="168">
        <v>276.43564356435644</v>
      </c>
      <c r="E74" s="20" t="s">
        <v>37</v>
      </c>
      <c r="F74" s="139" t="s">
        <v>37</v>
      </c>
      <c r="G74" s="139" t="s">
        <v>37</v>
      </c>
      <c r="H74" s="419">
        <v>2010</v>
      </c>
      <c r="I74" s="74" t="s">
        <v>82</v>
      </c>
      <c r="J74" s="158">
        <f>'DATA Inflation GDP'!AA10/'DATA Inflation GDP'!W10</f>
        <v>1.0737755122201806</v>
      </c>
      <c r="K74" s="44">
        <f>D74*J74</f>
        <v>296.82982476423211</v>
      </c>
      <c r="L74" s="144" t="s">
        <v>656</v>
      </c>
      <c r="M74" s="99" t="s">
        <v>46</v>
      </c>
      <c r="N74" s="97" t="s">
        <v>77</v>
      </c>
      <c r="O74" s="97" t="s">
        <v>662</v>
      </c>
      <c r="P74" s="419" t="s">
        <v>117</v>
      </c>
      <c r="Q74" s="419" t="s">
        <v>103</v>
      </c>
      <c r="R74" s="419" t="s">
        <v>37</v>
      </c>
      <c r="S74" s="419" t="s">
        <v>47</v>
      </c>
      <c r="T74" s="419" t="s">
        <v>43</v>
      </c>
      <c r="U74" s="98">
        <v>606</v>
      </c>
      <c r="V74" s="97" t="s">
        <v>1095</v>
      </c>
      <c r="W74" s="142" t="s">
        <v>1040</v>
      </c>
      <c r="X74" s="97" t="s">
        <v>79</v>
      </c>
      <c r="Y74" s="489" t="s">
        <v>43</v>
      </c>
      <c r="Z74" s="489" t="s">
        <v>43</v>
      </c>
      <c r="AA74" s="489" t="s">
        <v>39</v>
      </c>
      <c r="AB74" s="489" t="s">
        <v>43</v>
      </c>
      <c r="AC74" s="97" t="s">
        <v>663</v>
      </c>
      <c r="AD74" s="98" t="s">
        <v>41</v>
      </c>
      <c r="AE74" s="174" t="s">
        <v>50</v>
      </c>
    </row>
    <row r="75" spans="1:31" ht="12" customHeight="1" x14ac:dyDescent="0.2">
      <c r="A75" s="112" t="s">
        <v>120</v>
      </c>
      <c r="B75" s="168"/>
      <c r="C75" s="20"/>
      <c r="D75" s="168"/>
      <c r="E75" s="20"/>
      <c r="F75" s="20"/>
      <c r="G75" s="20"/>
      <c r="H75" s="20"/>
      <c r="I75" s="20"/>
      <c r="J75" s="158"/>
      <c r="K75" s="58"/>
      <c r="L75" s="106"/>
      <c r="M75" s="163"/>
      <c r="N75" s="67"/>
      <c r="O75" s="67"/>
      <c r="P75" s="20"/>
      <c r="Q75" s="20"/>
      <c r="R75" s="20"/>
      <c r="S75" s="20"/>
      <c r="T75" s="20"/>
      <c r="U75" s="164"/>
      <c r="V75" s="199"/>
      <c r="W75" s="199"/>
      <c r="X75" s="20"/>
      <c r="Y75" s="20"/>
      <c r="Z75" s="20"/>
      <c r="AA75" s="20"/>
      <c r="AB75" s="20"/>
      <c r="AC75" s="199"/>
      <c r="AD75" s="164"/>
      <c r="AE75" s="174" t="s">
        <v>50</v>
      </c>
    </row>
    <row r="76" spans="1:31" ht="12" customHeight="1" x14ac:dyDescent="0.2">
      <c r="A76" s="147" t="s">
        <v>74</v>
      </c>
      <c r="B76" s="168">
        <v>423000</v>
      </c>
      <c r="C76" s="20" t="s">
        <v>42</v>
      </c>
      <c r="D76" s="168">
        <v>423000</v>
      </c>
      <c r="E76" s="20" t="s">
        <v>37</v>
      </c>
      <c r="F76" s="20" t="s">
        <v>37</v>
      </c>
      <c r="G76" s="20" t="s">
        <v>37</v>
      </c>
      <c r="H76" s="20">
        <v>2002</v>
      </c>
      <c r="I76" s="197" t="s">
        <v>76</v>
      </c>
      <c r="J76" s="158">
        <f>'DATA Inflation PCE'!AA46/'DATA Inflation PCE'!O46</f>
        <v>1.3623004939558667</v>
      </c>
      <c r="K76" s="44">
        <f>D76*J76</f>
        <v>576253.10894333164</v>
      </c>
      <c r="L76" s="106" t="s">
        <v>814</v>
      </c>
      <c r="M76" s="163" t="s">
        <v>46</v>
      </c>
      <c r="N76" s="67" t="s">
        <v>77</v>
      </c>
      <c r="O76" s="67" t="s">
        <v>1158</v>
      </c>
      <c r="P76" s="20" t="s">
        <v>778</v>
      </c>
      <c r="Q76" s="20" t="s">
        <v>1141</v>
      </c>
      <c r="R76" s="20" t="s">
        <v>104</v>
      </c>
      <c r="S76" s="20" t="s">
        <v>40</v>
      </c>
      <c r="T76" s="20" t="s">
        <v>39</v>
      </c>
      <c r="U76" s="524" t="s">
        <v>1159</v>
      </c>
      <c r="V76" s="97" t="s">
        <v>1038</v>
      </c>
      <c r="W76" s="207" t="s">
        <v>1156</v>
      </c>
      <c r="X76" s="199" t="s">
        <v>79</v>
      </c>
      <c r="Y76" s="20" t="s">
        <v>39</v>
      </c>
      <c r="Z76" s="20" t="s">
        <v>39</v>
      </c>
      <c r="AA76" s="20" t="s">
        <v>39</v>
      </c>
      <c r="AB76" s="20" t="s">
        <v>43</v>
      </c>
      <c r="AC76" s="199" t="s">
        <v>1157</v>
      </c>
      <c r="AD76" s="164" t="s">
        <v>103</v>
      </c>
      <c r="AE76" s="514" t="s">
        <v>50</v>
      </c>
    </row>
    <row r="77" spans="1:31" ht="12" customHeight="1" x14ac:dyDescent="0.2">
      <c r="A77" s="147" t="s">
        <v>80</v>
      </c>
      <c r="B77" s="168">
        <f>'Table 5 Cost discounting'!D81</f>
        <v>960.74429223744289</v>
      </c>
      <c r="C77" s="20" t="s">
        <v>75</v>
      </c>
      <c r="D77" s="168">
        <f>'Table 5 Cost discounting'!D84</f>
        <v>22207.385240588843</v>
      </c>
      <c r="E77" s="20" t="s">
        <v>37</v>
      </c>
      <c r="F77" s="20" t="s">
        <v>37</v>
      </c>
      <c r="G77" s="20" t="s">
        <v>37</v>
      </c>
      <c r="H77" s="20">
        <v>2012</v>
      </c>
      <c r="I77" s="20" t="s">
        <v>82</v>
      </c>
      <c r="J77" s="158">
        <f>'DATA Inflation GDP'!AA10/'DATA Inflation GDP'!Y10</f>
        <v>1.0330165367800799</v>
      </c>
      <c r="K77" s="44">
        <f>D77*J77</f>
        <v>22940.596192174147</v>
      </c>
      <c r="L77" s="106" t="s">
        <v>1142</v>
      </c>
      <c r="M77" s="163" t="s">
        <v>46</v>
      </c>
      <c r="N77" s="67" t="s">
        <v>77</v>
      </c>
      <c r="O77" s="74" t="s">
        <v>1147</v>
      </c>
      <c r="P77" s="74" t="s">
        <v>1143</v>
      </c>
      <c r="Q77" s="74" t="s">
        <v>1148</v>
      </c>
      <c r="R77" s="74" t="s">
        <v>1144</v>
      </c>
      <c r="S77" s="74" t="s">
        <v>1145</v>
      </c>
      <c r="T77" s="74" t="s">
        <v>1146</v>
      </c>
      <c r="U77" s="516" t="s">
        <v>1149</v>
      </c>
      <c r="V77" s="97" t="s">
        <v>1039</v>
      </c>
      <c r="W77" s="207" t="s">
        <v>1155</v>
      </c>
      <c r="X77" s="97" t="s">
        <v>86</v>
      </c>
      <c r="Y77" s="20" t="s">
        <v>39</v>
      </c>
      <c r="Z77" s="20" t="s">
        <v>49</v>
      </c>
      <c r="AA77" s="199" t="s">
        <v>1150</v>
      </c>
      <c r="AB77" s="199" t="s">
        <v>1151</v>
      </c>
      <c r="AC77" s="207" t="s">
        <v>1152</v>
      </c>
      <c r="AD77" s="166">
        <v>0.03</v>
      </c>
      <c r="AE77" s="514" t="s">
        <v>50</v>
      </c>
    </row>
    <row r="78" spans="1:31" ht="12" customHeight="1" x14ac:dyDescent="0.2">
      <c r="A78" s="112" t="s">
        <v>813</v>
      </c>
      <c r="B78" s="168"/>
      <c r="C78" s="20"/>
      <c r="D78" s="168"/>
      <c r="E78" s="20"/>
      <c r="F78" s="20"/>
      <c r="G78" s="20"/>
      <c r="H78" s="20"/>
      <c r="I78" s="20"/>
      <c r="J78" s="158"/>
      <c r="K78" s="44"/>
      <c r="L78" s="106"/>
      <c r="M78" s="163"/>
      <c r="N78" s="67"/>
      <c r="O78" s="67"/>
      <c r="P78" s="20"/>
      <c r="Q78" s="20"/>
      <c r="R78" s="20"/>
      <c r="S78" s="20"/>
      <c r="T78" s="20"/>
      <c r="U78" s="164"/>
      <c r="V78" s="199"/>
      <c r="W78" s="199"/>
      <c r="X78" s="20"/>
      <c r="Y78" s="20"/>
      <c r="Z78" s="20"/>
      <c r="AA78" s="20"/>
      <c r="AB78" s="20"/>
      <c r="AC78" s="199"/>
      <c r="AD78" s="164"/>
      <c r="AE78" s="174" t="s">
        <v>50</v>
      </c>
    </row>
    <row r="79" spans="1:31" ht="12" customHeight="1" x14ac:dyDescent="0.2">
      <c r="A79" s="147" t="s">
        <v>74</v>
      </c>
      <c r="B79" s="168">
        <f>2*(474000000/11300000)</f>
        <v>83.893805309734518</v>
      </c>
      <c r="C79" s="139" t="s">
        <v>530</v>
      </c>
      <c r="D79" s="168">
        <f>B79</f>
        <v>83.893805309734518</v>
      </c>
      <c r="E79" s="20" t="s">
        <v>37</v>
      </c>
      <c r="F79" s="20" t="s">
        <v>37</v>
      </c>
      <c r="G79" s="20" t="s">
        <v>37</v>
      </c>
      <c r="H79" s="20">
        <v>1995</v>
      </c>
      <c r="I79" s="197" t="s">
        <v>76</v>
      </c>
      <c r="J79" s="158">
        <f>'DATA Inflation PCE'!AA10/'DATA Inflation PCE'!H46</f>
        <v>1.615437006766461</v>
      </c>
      <c r="K79" s="44">
        <f>D79*J79</f>
        <v>135.52515773580575</v>
      </c>
      <c r="L79" s="106" t="s">
        <v>830</v>
      </c>
      <c r="M79" s="163" t="s">
        <v>46</v>
      </c>
      <c r="N79" s="97" t="s">
        <v>105</v>
      </c>
      <c r="O79" s="67" t="s">
        <v>1098</v>
      </c>
      <c r="P79" s="20" t="s">
        <v>1097</v>
      </c>
      <c r="Q79" s="20" t="s">
        <v>103</v>
      </c>
      <c r="R79" s="496" t="s">
        <v>816</v>
      </c>
      <c r="S79" s="20" t="s">
        <v>40</v>
      </c>
      <c r="T79" s="20" t="s">
        <v>39</v>
      </c>
      <c r="U79" s="334">
        <v>2000</v>
      </c>
      <c r="V79" s="199" t="s">
        <v>1099</v>
      </c>
      <c r="W79" s="207" t="s">
        <v>1102</v>
      </c>
      <c r="X79" s="97" t="s">
        <v>79</v>
      </c>
      <c r="Y79" s="20" t="s">
        <v>43</v>
      </c>
      <c r="Z79" s="20" t="s">
        <v>39</v>
      </c>
      <c r="AA79" s="20" t="s">
        <v>43</v>
      </c>
      <c r="AB79" s="20" t="s">
        <v>43</v>
      </c>
      <c r="AC79" s="199" t="s">
        <v>1096</v>
      </c>
      <c r="AD79" s="164" t="s">
        <v>41</v>
      </c>
      <c r="AE79" s="211"/>
    </row>
    <row r="80" spans="1:31" ht="12" customHeight="1" x14ac:dyDescent="0.2">
      <c r="A80" s="147" t="s">
        <v>80</v>
      </c>
      <c r="B80" s="168">
        <f>2*((185000000+936000000)/11300000)</f>
        <v>198.40707964601771</v>
      </c>
      <c r="C80" s="139" t="s">
        <v>530</v>
      </c>
      <c r="D80" s="168">
        <f>B80</f>
        <v>198.40707964601771</v>
      </c>
      <c r="E80" s="20" t="s">
        <v>37</v>
      </c>
      <c r="F80" s="20" t="s">
        <v>37</v>
      </c>
      <c r="G80" s="20" t="s">
        <v>37</v>
      </c>
      <c r="H80" s="20">
        <v>1995</v>
      </c>
      <c r="I80" s="20" t="s">
        <v>82</v>
      </c>
      <c r="J80" s="158">
        <f>'DATA Inflation GDP'!AA10/'DATA Inflation GDP'!H10</f>
        <v>1.4416988314565014</v>
      </c>
      <c r="K80" s="44">
        <f>D80*J80</f>
        <v>286.0432548783607</v>
      </c>
      <c r="L80" s="106" t="s">
        <v>830</v>
      </c>
      <c r="M80" s="163" t="s">
        <v>46</v>
      </c>
      <c r="N80" s="97" t="s">
        <v>105</v>
      </c>
      <c r="O80" s="67" t="s">
        <v>1098</v>
      </c>
      <c r="P80" s="20" t="s">
        <v>1097</v>
      </c>
      <c r="Q80" s="20" t="s">
        <v>103</v>
      </c>
      <c r="R80" s="496" t="s">
        <v>816</v>
      </c>
      <c r="S80" s="20" t="s">
        <v>40</v>
      </c>
      <c r="T80" s="20" t="s">
        <v>39</v>
      </c>
      <c r="U80" s="334">
        <v>2000</v>
      </c>
      <c r="V80" s="199" t="s">
        <v>1100</v>
      </c>
      <c r="W80" s="207" t="s">
        <v>1101</v>
      </c>
      <c r="X80" s="97" t="s">
        <v>86</v>
      </c>
      <c r="Y80" s="20" t="s">
        <v>43</v>
      </c>
      <c r="Z80" s="20" t="s">
        <v>43</v>
      </c>
      <c r="AA80" s="20" t="s">
        <v>39</v>
      </c>
      <c r="AB80" s="20" t="s">
        <v>43</v>
      </c>
      <c r="AC80" s="199" t="s">
        <v>1096</v>
      </c>
      <c r="AD80" s="164" t="s">
        <v>41</v>
      </c>
      <c r="AE80" s="211"/>
    </row>
    <row r="81" spans="1:31" ht="12" customHeight="1" x14ac:dyDescent="0.2">
      <c r="A81" s="170" t="s">
        <v>829</v>
      </c>
      <c r="B81" s="168"/>
      <c r="C81" s="20"/>
      <c r="D81" s="168"/>
      <c r="E81" s="20"/>
      <c r="F81" s="20"/>
      <c r="G81" s="20"/>
      <c r="H81" s="20"/>
      <c r="I81" s="20"/>
      <c r="J81" s="158"/>
      <c r="K81" s="44"/>
      <c r="L81" s="106"/>
      <c r="M81" s="163"/>
      <c r="N81" s="97"/>
      <c r="O81" s="419"/>
      <c r="P81" s="20"/>
      <c r="Q81" s="20"/>
      <c r="R81" s="20"/>
      <c r="S81" s="20"/>
      <c r="T81" s="20"/>
      <c r="U81" s="334"/>
      <c r="V81" s="199"/>
      <c r="W81" s="97"/>
      <c r="X81" s="419"/>
      <c r="Y81" s="20"/>
      <c r="Z81" s="419"/>
      <c r="AA81" s="419"/>
      <c r="AB81" s="419"/>
      <c r="AC81" s="199"/>
      <c r="AD81" s="166"/>
      <c r="AE81" s="210"/>
    </row>
    <row r="82" spans="1:31" ht="12" customHeight="1" x14ac:dyDescent="0.2">
      <c r="A82" s="116" t="s">
        <v>511</v>
      </c>
      <c r="B82" s="168">
        <f>'Table 2 Criminal justice'!F7</f>
        <v>80631.78042952843</v>
      </c>
      <c r="C82" s="139" t="s">
        <v>42</v>
      </c>
      <c r="D82" s="168">
        <f>B82</f>
        <v>80631.78042952843</v>
      </c>
      <c r="E82" s="20" t="s">
        <v>37</v>
      </c>
      <c r="F82" s="20" t="s">
        <v>37</v>
      </c>
      <c r="G82" s="20" t="s">
        <v>37</v>
      </c>
      <c r="H82" s="20">
        <v>2012</v>
      </c>
      <c r="I82" s="20" t="s">
        <v>82</v>
      </c>
      <c r="J82" s="158">
        <f>'DATA Inflation GDP'!AA10/'DATA Inflation GDP'!Y10</f>
        <v>1.0330165367800799</v>
      </c>
      <c r="K82" s="44">
        <f>D82*J82</f>
        <v>83293.962573723285</v>
      </c>
      <c r="L82" s="106" t="s">
        <v>907</v>
      </c>
      <c r="M82" s="99" t="s">
        <v>46</v>
      </c>
      <c r="N82" s="97" t="s">
        <v>83</v>
      </c>
      <c r="O82" s="97" t="s">
        <v>105</v>
      </c>
      <c r="P82" s="489" t="s">
        <v>52</v>
      </c>
      <c r="Q82" s="489" t="s">
        <v>41</v>
      </c>
      <c r="R82" s="489" t="s">
        <v>41</v>
      </c>
      <c r="S82" s="489" t="s">
        <v>47</v>
      </c>
      <c r="T82" s="489" t="s">
        <v>43</v>
      </c>
      <c r="U82" s="98" t="s">
        <v>41</v>
      </c>
      <c r="V82" s="478" t="s">
        <v>1056</v>
      </c>
      <c r="W82" s="97" t="s">
        <v>1062</v>
      </c>
      <c r="X82" s="97" t="s">
        <v>1030</v>
      </c>
      <c r="Y82" s="489" t="s">
        <v>43</v>
      </c>
      <c r="Z82" s="489" t="s">
        <v>39</v>
      </c>
      <c r="AA82" s="489" t="s">
        <v>43</v>
      </c>
      <c r="AB82" s="489" t="s">
        <v>43</v>
      </c>
      <c r="AC82" s="489" t="s">
        <v>1031</v>
      </c>
      <c r="AD82" s="145" t="s">
        <v>1032</v>
      </c>
      <c r="AE82" s="489" t="s">
        <v>50</v>
      </c>
    </row>
    <row r="83" spans="1:31" ht="12" customHeight="1" x14ac:dyDescent="0.2">
      <c r="A83" s="118" t="s">
        <v>80</v>
      </c>
      <c r="B83" s="171">
        <f>'Table 5 Cost discounting'!D94</f>
        <v>45838</v>
      </c>
      <c r="C83" s="213" t="s">
        <v>75</v>
      </c>
      <c r="D83" s="171">
        <f>'Table 5 Cost discounting'!D97</f>
        <v>103726.29250505319</v>
      </c>
      <c r="E83" s="172" t="s">
        <v>37</v>
      </c>
      <c r="F83" s="172" t="s">
        <v>37</v>
      </c>
      <c r="G83" s="172" t="s">
        <v>37</v>
      </c>
      <c r="H83" s="172">
        <v>2007</v>
      </c>
      <c r="I83" s="172" t="s">
        <v>82</v>
      </c>
      <c r="J83" s="176">
        <f>'DATA Inflation GDP'!AA10/'DATA Inflation GDP'!T10</f>
        <v>1.1166426957057736</v>
      </c>
      <c r="K83" s="439">
        <f>D83*J83</f>
        <v>115825.20687840818</v>
      </c>
      <c r="L83" s="109" t="s">
        <v>811</v>
      </c>
      <c r="M83" s="10" t="s">
        <v>46</v>
      </c>
      <c r="N83" s="173" t="s">
        <v>1033</v>
      </c>
      <c r="O83" s="173" t="s">
        <v>1034</v>
      </c>
      <c r="P83" s="37" t="s">
        <v>1035</v>
      </c>
      <c r="Q83" s="37" t="s">
        <v>103</v>
      </c>
      <c r="R83" s="37" t="s">
        <v>1036</v>
      </c>
      <c r="S83" s="37" t="s">
        <v>47</v>
      </c>
      <c r="T83" s="37" t="s">
        <v>39</v>
      </c>
      <c r="U83" s="237" t="s">
        <v>1037</v>
      </c>
      <c r="V83" s="173" t="s">
        <v>1057</v>
      </c>
      <c r="W83" s="228" t="s">
        <v>1058</v>
      </c>
      <c r="X83" s="173" t="s">
        <v>86</v>
      </c>
      <c r="Y83" s="497" t="s">
        <v>43</v>
      </c>
      <c r="Z83" s="37" t="s">
        <v>41</v>
      </c>
      <c r="AA83" s="37" t="s">
        <v>39</v>
      </c>
      <c r="AB83" s="37" t="s">
        <v>43</v>
      </c>
      <c r="AC83" s="228" t="s">
        <v>536</v>
      </c>
      <c r="AD83" s="498" t="s">
        <v>1032</v>
      </c>
      <c r="AE83" s="489" t="s">
        <v>50</v>
      </c>
    </row>
    <row r="84" spans="1:31" ht="12" customHeight="1" x14ac:dyDescent="0.2">
      <c r="A84" s="190" t="s">
        <v>1160</v>
      </c>
      <c r="AE84" s="67" t="s">
        <v>50</v>
      </c>
    </row>
    <row r="85" spans="1:31" ht="12" customHeight="1" x14ac:dyDescent="0.2">
      <c r="A85" s="105"/>
    </row>
  </sheetData>
  <mergeCells count="25">
    <mergeCell ref="AA6:AB6"/>
    <mergeCell ref="AC6:AC7"/>
    <mergeCell ref="AD6:AD7"/>
    <mergeCell ref="U6:U7"/>
    <mergeCell ref="V6:V7"/>
    <mergeCell ref="W6:W7"/>
    <mergeCell ref="X6:X7"/>
    <mergeCell ref="Y6:Y7"/>
    <mergeCell ref="Z6:Z7"/>
    <mergeCell ref="L4:AD4"/>
    <mergeCell ref="L5:L7"/>
    <mergeCell ref="T6:T7"/>
    <mergeCell ref="B4:J5"/>
    <mergeCell ref="K4:K7"/>
    <mergeCell ref="M5:U5"/>
    <mergeCell ref="V5:AD5"/>
    <mergeCell ref="B6:I6"/>
    <mergeCell ref="J6:J7"/>
    <mergeCell ref="M6:M7"/>
    <mergeCell ref="N6:N7"/>
    <mergeCell ref="O6:O7"/>
    <mergeCell ref="P6:P7"/>
    <mergeCell ref="Q6:Q7"/>
    <mergeCell ref="R6:R7"/>
    <mergeCell ref="S6:S7"/>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workbookViewId="0">
      <pane xSplit="2" ySplit="7" topLeftCell="C11" activePane="bottomRight" state="frozen"/>
      <selection pane="topRight" activeCell="C1" sqref="C1"/>
      <selection pane="bottomLeft" activeCell="A7" sqref="A7"/>
      <selection pane="bottomRight"/>
    </sheetView>
  </sheetViews>
  <sheetFormatPr defaultColWidth="9.140625" defaultRowHeight="12" x14ac:dyDescent="0.25"/>
  <cols>
    <col min="1" max="1" width="26.7109375" style="2" customWidth="1"/>
    <col min="2" max="2" width="15.7109375" style="2" customWidth="1"/>
    <col min="3" max="3" width="25.7109375" style="2" customWidth="1"/>
    <col min="4" max="11" width="10.7109375" style="3" customWidth="1"/>
    <col min="12" max="12" width="25.7109375" style="2" customWidth="1"/>
    <col min="13" max="14" width="12.7109375" style="2" customWidth="1"/>
    <col min="15" max="18" width="10.7109375" style="2" customWidth="1"/>
    <col min="19" max="16384" width="9.140625" style="2"/>
  </cols>
  <sheetData>
    <row r="1" spans="1:14" x14ac:dyDescent="0.25">
      <c r="D1" s="8"/>
    </row>
    <row r="2" spans="1:14" ht="18.75" x14ac:dyDescent="0.25">
      <c r="A2" s="1" t="s">
        <v>896</v>
      </c>
      <c r="D2" s="2"/>
    </row>
    <row r="3" spans="1:14" ht="12" customHeight="1" x14ac:dyDescent="0.25">
      <c r="A3" s="1"/>
      <c r="D3" s="202"/>
      <c r="L3" s="538" t="s">
        <v>0</v>
      </c>
    </row>
    <row r="4" spans="1:14" ht="12" customHeight="1" x14ac:dyDescent="0.25">
      <c r="A4" s="1"/>
      <c r="D4" s="2"/>
      <c r="I4" s="4"/>
      <c r="J4" s="5" t="s">
        <v>144</v>
      </c>
      <c r="K4" s="6">
        <v>25</v>
      </c>
      <c r="L4" s="7" t="s">
        <v>1180</v>
      </c>
    </row>
    <row r="5" spans="1:14" ht="12" customHeight="1" x14ac:dyDescent="0.25">
      <c r="A5" s="1"/>
      <c r="D5" s="2"/>
      <c r="I5" s="99"/>
      <c r="J5" s="539" t="s">
        <v>126</v>
      </c>
      <c r="K5" s="537">
        <v>79</v>
      </c>
      <c r="L5" s="195" t="s">
        <v>127</v>
      </c>
    </row>
    <row r="6" spans="1:14" ht="12" customHeight="1" x14ac:dyDescent="0.25">
      <c r="D6" s="8"/>
      <c r="G6" s="9"/>
      <c r="H6" s="9"/>
      <c r="I6" s="35"/>
      <c r="J6" s="540" t="s">
        <v>1170</v>
      </c>
      <c r="K6" s="11">
        <v>0.03</v>
      </c>
      <c r="L6" s="12" t="s">
        <v>1171</v>
      </c>
      <c r="M6" s="2" t="s">
        <v>50</v>
      </c>
    </row>
    <row r="7" spans="1:14" s="21" customFormat="1" ht="48" x14ac:dyDescent="0.2">
      <c r="A7" s="13" t="s">
        <v>128</v>
      </c>
      <c r="B7" s="14" t="s">
        <v>129</v>
      </c>
      <c r="C7" s="15" t="s">
        <v>130</v>
      </c>
      <c r="D7" s="16" t="s">
        <v>33</v>
      </c>
      <c r="E7" s="17" t="s">
        <v>31</v>
      </c>
      <c r="F7" s="17" t="s">
        <v>34</v>
      </c>
      <c r="G7" s="17" t="s">
        <v>35</v>
      </c>
      <c r="H7" s="17" t="s">
        <v>131</v>
      </c>
      <c r="I7" s="18" t="s">
        <v>132</v>
      </c>
      <c r="J7" s="18" t="s">
        <v>133</v>
      </c>
      <c r="K7" s="18" t="s">
        <v>134</v>
      </c>
      <c r="L7" s="19" t="s">
        <v>0</v>
      </c>
      <c r="M7" s="20"/>
      <c r="N7" s="20"/>
    </row>
    <row r="8" spans="1:14" s="21" customFormat="1" x14ac:dyDescent="0.2">
      <c r="A8" s="504" t="s">
        <v>533</v>
      </c>
      <c r="B8" s="505"/>
      <c r="C8" s="506"/>
      <c r="D8" s="507"/>
      <c r="E8" s="507"/>
      <c r="F8" s="507"/>
      <c r="G8" s="507"/>
      <c r="H8" s="507"/>
      <c r="I8" s="507"/>
      <c r="J8" s="507"/>
      <c r="K8" s="507"/>
      <c r="L8" s="508"/>
      <c r="M8" s="20"/>
      <c r="N8" s="20"/>
    </row>
    <row r="9" spans="1:14" ht="12" customHeight="1" x14ac:dyDescent="0.25">
      <c r="A9" s="22" t="s">
        <v>1124</v>
      </c>
      <c r="B9" s="23" t="s">
        <v>74</v>
      </c>
      <c r="C9" s="24" t="s">
        <v>135</v>
      </c>
      <c r="D9" s="25">
        <v>1542</v>
      </c>
      <c r="E9" s="26" t="s">
        <v>37</v>
      </c>
      <c r="F9" s="27" t="s">
        <v>37</v>
      </c>
      <c r="G9" s="27" t="s">
        <v>37</v>
      </c>
      <c r="H9" s="27"/>
      <c r="I9" s="27"/>
      <c r="J9" s="27"/>
      <c r="K9" s="27"/>
      <c r="L9" s="7" t="s">
        <v>1063</v>
      </c>
      <c r="M9" s="28" t="s">
        <v>50</v>
      </c>
    </row>
    <row r="10" spans="1:14" ht="12" customHeight="1" x14ac:dyDescent="0.25">
      <c r="A10" s="29"/>
      <c r="B10" s="28"/>
      <c r="C10" s="30" t="s">
        <v>136</v>
      </c>
      <c r="D10" s="597">
        <f>K6</f>
        <v>0.03</v>
      </c>
      <c r="E10" s="597"/>
      <c r="F10" s="597"/>
      <c r="G10" s="597"/>
      <c r="H10" s="31"/>
      <c r="I10" s="31"/>
      <c r="J10" s="31"/>
      <c r="K10" s="31"/>
      <c r="L10" s="32" t="s">
        <v>125</v>
      </c>
      <c r="M10" s="28" t="s">
        <v>50</v>
      </c>
    </row>
    <row r="11" spans="1:14" ht="12" customHeight="1" x14ac:dyDescent="0.25">
      <c r="A11" s="29"/>
      <c r="B11" s="28"/>
      <c r="C11" s="30" t="s">
        <v>137</v>
      </c>
      <c r="D11" s="596">
        <f>K11-J11</f>
        <v>29</v>
      </c>
      <c r="E11" s="596"/>
      <c r="F11" s="596"/>
      <c r="G11" s="596"/>
      <c r="H11" s="33">
        <v>15</v>
      </c>
      <c r="I11" s="33">
        <v>54</v>
      </c>
      <c r="J11" s="33">
        <f>IF(H11&lt;$K$4,$K$4,H11)</f>
        <v>25</v>
      </c>
      <c r="K11" s="33">
        <f>IF(I11&gt;$K$5,$K$5,I11)</f>
        <v>54</v>
      </c>
      <c r="L11" s="195" t="s">
        <v>1065</v>
      </c>
      <c r="M11" s="28" t="s">
        <v>50</v>
      </c>
    </row>
    <row r="12" spans="1:14" ht="12" customHeight="1" x14ac:dyDescent="0.25">
      <c r="A12" s="29"/>
      <c r="B12" s="28"/>
      <c r="C12" s="30" t="s">
        <v>817</v>
      </c>
      <c r="D12" s="39">
        <f>PV(D10,D11,D9*-1)</f>
        <v>29588.596977708861</v>
      </c>
      <c r="E12" s="31"/>
      <c r="F12" s="31"/>
      <c r="G12" s="31"/>
      <c r="H12" s="31"/>
      <c r="I12" s="31"/>
      <c r="J12" s="31"/>
      <c r="K12" s="31"/>
      <c r="L12" s="32" t="s">
        <v>138</v>
      </c>
      <c r="M12" s="28"/>
    </row>
    <row r="13" spans="1:14" ht="12" customHeight="1" x14ac:dyDescent="0.25">
      <c r="A13" s="22"/>
      <c r="B13" s="34" t="s">
        <v>80</v>
      </c>
      <c r="C13" s="24" t="s">
        <v>135</v>
      </c>
      <c r="D13" s="25">
        <v>256</v>
      </c>
      <c r="E13" s="26" t="s">
        <v>37</v>
      </c>
      <c r="F13" s="27" t="s">
        <v>37</v>
      </c>
      <c r="G13" s="27" t="s">
        <v>37</v>
      </c>
      <c r="H13" s="27"/>
      <c r="I13" s="27"/>
      <c r="J13" s="27"/>
      <c r="K13" s="27"/>
      <c r="L13" s="7" t="s">
        <v>139</v>
      </c>
      <c r="M13" s="28" t="s">
        <v>50</v>
      </c>
    </row>
    <row r="14" spans="1:14" ht="12" customHeight="1" x14ac:dyDescent="0.25">
      <c r="A14" s="29"/>
      <c r="B14" s="28"/>
      <c r="C14" s="30" t="s">
        <v>136</v>
      </c>
      <c r="D14" s="597">
        <f>K6</f>
        <v>0.03</v>
      </c>
      <c r="E14" s="597"/>
      <c r="F14" s="597"/>
      <c r="G14" s="597"/>
      <c r="H14" s="31"/>
      <c r="I14" s="31"/>
      <c r="J14" s="31"/>
      <c r="K14" s="31"/>
      <c r="L14" s="32" t="s">
        <v>125</v>
      </c>
      <c r="M14" s="28" t="s">
        <v>50</v>
      </c>
    </row>
    <row r="15" spans="1:14" ht="12" customHeight="1" x14ac:dyDescent="0.25">
      <c r="A15" s="29"/>
      <c r="B15" s="28"/>
      <c r="C15" s="30" t="s">
        <v>137</v>
      </c>
      <c r="D15" s="596">
        <f>K15-J15</f>
        <v>29</v>
      </c>
      <c r="E15" s="596"/>
      <c r="F15" s="596"/>
      <c r="G15" s="596"/>
      <c r="H15" s="33">
        <v>15</v>
      </c>
      <c r="I15" s="33">
        <v>54</v>
      </c>
      <c r="J15" s="33">
        <f>IF(H15&lt;$K$4,$K$4,H15)</f>
        <v>25</v>
      </c>
      <c r="K15" s="33">
        <f>IF(I15&gt;$K$5,$K$5,I15)</f>
        <v>54</v>
      </c>
      <c r="L15" s="195" t="s">
        <v>1065</v>
      </c>
      <c r="M15" s="28" t="s">
        <v>50</v>
      </c>
    </row>
    <row r="16" spans="1:14" ht="12" customHeight="1" x14ac:dyDescent="0.25">
      <c r="A16" s="35"/>
      <c r="B16" s="36"/>
      <c r="C16" s="30" t="s">
        <v>817</v>
      </c>
      <c r="D16" s="39">
        <f>PV(D14,D15,D13*-1)</f>
        <v>4912.2443750281891</v>
      </c>
      <c r="E16" s="37"/>
      <c r="F16" s="37"/>
      <c r="G16" s="37"/>
      <c r="H16" s="37"/>
      <c r="I16" s="37"/>
      <c r="J16" s="37"/>
      <c r="K16" s="37"/>
      <c r="L16" s="12" t="s">
        <v>138</v>
      </c>
      <c r="M16" s="28"/>
    </row>
    <row r="17" spans="1:14" ht="12" customHeight="1" x14ac:dyDescent="0.25">
      <c r="A17" s="22" t="s">
        <v>88</v>
      </c>
      <c r="B17" s="23" t="s">
        <v>74</v>
      </c>
      <c r="C17" s="24" t="s">
        <v>135</v>
      </c>
      <c r="D17" s="25">
        <f>(98854*1000000)/15446771</f>
        <v>6399.6546592164796</v>
      </c>
      <c r="E17" s="26" t="s">
        <v>37</v>
      </c>
      <c r="F17" s="27" t="s">
        <v>37</v>
      </c>
      <c r="G17" s="27" t="s">
        <v>37</v>
      </c>
      <c r="H17" s="27"/>
      <c r="I17" s="27"/>
      <c r="J17" s="27"/>
      <c r="K17" s="27"/>
      <c r="L17" s="7" t="s">
        <v>140</v>
      </c>
      <c r="M17" s="28" t="s">
        <v>50</v>
      </c>
    </row>
    <row r="18" spans="1:14" ht="12" customHeight="1" x14ac:dyDescent="0.25">
      <c r="A18" s="29"/>
      <c r="B18" s="28"/>
      <c r="C18" s="30" t="s">
        <v>136</v>
      </c>
      <c r="D18" s="597">
        <f>K6</f>
        <v>0.03</v>
      </c>
      <c r="E18" s="597"/>
      <c r="F18" s="597"/>
      <c r="G18" s="597"/>
      <c r="H18" s="31"/>
      <c r="I18" s="31"/>
      <c r="J18" s="31"/>
      <c r="K18" s="31"/>
      <c r="L18" s="32" t="s">
        <v>125</v>
      </c>
      <c r="M18" s="28" t="s">
        <v>50</v>
      </c>
    </row>
    <row r="19" spans="1:14" ht="12" customHeight="1" x14ac:dyDescent="0.25">
      <c r="A19" s="29"/>
      <c r="B19" s="28"/>
      <c r="C19" s="30" t="s">
        <v>137</v>
      </c>
      <c r="D19" s="596">
        <f>65-24</f>
        <v>41</v>
      </c>
      <c r="E19" s="596"/>
      <c r="F19" s="596"/>
      <c r="G19" s="596"/>
      <c r="H19" s="33">
        <v>18</v>
      </c>
      <c r="I19" s="33">
        <v>64</v>
      </c>
      <c r="J19" s="33">
        <f>IF(H19&lt;$K$4,$K$4,H19)</f>
        <v>25</v>
      </c>
      <c r="K19" s="33">
        <f>IF(I19&gt;$K$5,$K$5,I19)</f>
        <v>64</v>
      </c>
      <c r="L19" s="195" t="s">
        <v>1065</v>
      </c>
      <c r="M19" s="28" t="s">
        <v>50</v>
      </c>
    </row>
    <row r="20" spans="1:14" ht="12" customHeight="1" x14ac:dyDescent="0.25">
      <c r="A20" s="35"/>
      <c r="B20" s="36"/>
      <c r="C20" s="30" t="s">
        <v>817</v>
      </c>
      <c r="D20" s="39">
        <f>PV(D18,D19,D17*-1)</f>
        <v>149831.2745831779</v>
      </c>
      <c r="E20" s="37"/>
      <c r="F20" s="37"/>
      <c r="G20" s="37"/>
      <c r="H20" s="37"/>
      <c r="I20" s="37"/>
      <c r="J20" s="37"/>
      <c r="K20" s="37"/>
      <c r="L20" s="12" t="s">
        <v>138</v>
      </c>
      <c r="M20" s="28"/>
    </row>
    <row r="21" spans="1:14" ht="12" customHeight="1" x14ac:dyDescent="0.25">
      <c r="A21" s="22"/>
      <c r="B21" s="34" t="s">
        <v>80</v>
      </c>
      <c r="C21" s="24" t="s">
        <v>135</v>
      </c>
      <c r="D21" s="25">
        <f>((102003+9691)*1000000)/15446771</f>
        <v>7230.8963472042151</v>
      </c>
      <c r="E21" s="26" t="s">
        <v>37</v>
      </c>
      <c r="F21" s="27" t="s">
        <v>37</v>
      </c>
      <c r="G21" s="27" t="s">
        <v>37</v>
      </c>
      <c r="H21" s="27"/>
      <c r="I21" s="27"/>
      <c r="J21" s="27"/>
      <c r="K21" s="27"/>
      <c r="L21" s="7" t="s">
        <v>140</v>
      </c>
      <c r="M21" s="28" t="s">
        <v>50</v>
      </c>
    </row>
    <row r="22" spans="1:14" ht="12" customHeight="1" x14ac:dyDescent="0.25">
      <c r="A22" s="29"/>
      <c r="B22" s="28"/>
      <c r="C22" s="30" t="s">
        <v>136</v>
      </c>
      <c r="D22" s="597">
        <f>K6</f>
        <v>0.03</v>
      </c>
      <c r="E22" s="597"/>
      <c r="F22" s="597"/>
      <c r="G22" s="597"/>
      <c r="H22" s="31"/>
      <c r="I22" s="31"/>
      <c r="J22" s="31"/>
      <c r="K22" s="31"/>
      <c r="L22" s="32" t="s">
        <v>125</v>
      </c>
      <c r="M22" s="28" t="s">
        <v>50</v>
      </c>
    </row>
    <row r="23" spans="1:14" ht="12" customHeight="1" x14ac:dyDescent="0.25">
      <c r="A23" s="29"/>
      <c r="B23" s="28"/>
      <c r="C23" s="30" t="s">
        <v>137</v>
      </c>
      <c r="D23" s="596">
        <f>65-24</f>
        <v>41</v>
      </c>
      <c r="E23" s="596"/>
      <c r="F23" s="596"/>
      <c r="G23" s="596"/>
      <c r="H23" s="33">
        <v>18</v>
      </c>
      <c r="I23" s="33">
        <v>64</v>
      </c>
      <c r="J23" s="33">
        <f>IF(H23&lt;$K$4,$K$4,H23)</f>
        <v>25</v>
      </c>
      <c r="K23" s="33">
        <f>IF(I23&gt;$K$5,$K$5,I23)</f>
        <v>64</v>
      </c>
      <c r="L23" s="195" t="s">
        <v>1065</v>
      </c>
      <c r="M23" s="28" t="s">
        <v>50</v>
      </c>
    </row>
    <row r="24" spans="1:14" ht="12" customHeight="1" x14ac:dyDescent="0.25">
      <c r="A24" s="29"/>
      <c r="B24" s="28"/>
      <c r="C24" s="30" t="s">
        <v>817</v>
      </c>
      <c r="D24" s="39">
        <f>PV(D22,D23,D21*-1)</f>
        <v>169292.63745820575</v>
      </c>
      <c r="E24" s="31"/>
      <c r="F24" s="31"/>
      <c r="G24" s="31"/>
      <c r="H24" s="31"/>
      <c r="I24" s="31"/>
      <c r="J24" s="31"/>
      <c r="K24" s="31"/>
      <c r="L24" s="32" t="s">
        <v>138</v>
      </c>
      <c r="M24" s="28"/>
    </row>
    <row r="25" spans="1:14" ht="12" customHeight="1" x14ac:dyDescent="0.25">
      <c r="A25" s="22" t="s">
        <v>57</v>
      </c>
      <c r="B25" s="23" t="s">
        <v>74</v>
      </c>
      <c r="C25" s="24" t="s">
        <v>135</v>
      </c>
      <c r="D25" s="25">
        <f>(2.05*0.114)*1*365</f>
        <v>85.3005</v>
      </c>
      <c r="E25" s="26" t="s">
        <v>37</v>
      </c>
      <c r="F25" s="27" t="s">
        <v>37</v>
      </c>
      <c r="G25" s="27" t="s">
        <v>37</v>
      </c>
      <c r="H25" s="27"/>
      <c r="I25" s="27"/>
      <c r="J25" s="27"/>
      <c r="K25" s="27"/>
      <c r="L25" s="7" t="s">
        <v>902</v>
      </c>
      <c r="M25" s="28" t="s">
        <v>50</v>
      </c>
      <c r="N25" s="28"/>
    </row>
    <row r="26" spans="1:14" ht="12" customHeight="1" x14ac:dyDescent="0.25">
      <c r="A26" s="29"/>
      <c r="B26" s="28"/>
      <c r="C26" s="30" t="s">
        <v>136</v>
      </c>
      <c r="D26" s="597">
        <f>K6</f>
        <v>0.03</v>
      </c>
      <c r="E26" s="597"/>
      <c r="F26" s="597"/>
      <c r="G26" s="597"/>
      <c r="H26" s="31"/>
      <c r="I26" s="31"/>
      <c r="J26" s="31"/>
      <c r="K26" s="31"/>
      <c r="L26" s="32" t="s">
        <v>125</v>
      </c>
      <c r="M26" s="28" t="s">
        <v>50</v>
      </c>
      <c r="N26" s="28"/>
    </row>
    <row r="27" spans="1:14" ht="12" customHeight="1" x14ac:dyDescent="0.25">
      <c r="A27" s="29"/>
      <c r="B27" s="28"/>
      <c r="C27" s="30" t="s">
        <v>137</v>
      </c>
      <c r="D27" s="596">
        <f>K27-J27</f>
        <v>39</v>
      </c>
      <c r="E27" s="596"/>
      <c r="F27" s="596"/>
      <c r="G27" s="596"/>
      <c r="H27" s="33">
        <v>18</v>
      </c>
      <c r="I27" s="33">
        <v>64</v>
      </c>
      <c r="J27" s="33">
        <f>IF(H27&lt;$K$4,$K$4,H27)</f>
        <v>25</v>
      </c>
      <c r="K27" s="33">
        <f>IF(I27&gt;$K$5,$K$5,I27)</f>
        <v>64</v>
      </c>
      <c r="L27" s="195" t="s">
        <v>1064</v>
      </c>
      <c r="M27" s="28" t="s">
        <v>50</v>
      </c>
      <c r="N27" s="28"/>
    </row>
    <row r="28" spans="1:14" ht="12" customHeight="1" x14ac:dyDescent="0.25">
      <c r="A28" s="29"/>
      <c r="B28" s="28"/>
      <c r="C28" s="30" t="s">
        <v>817</v>
      </c>
      <c r="D28" s="39">
        <f>PV(D26,D27,D25*-1)</f>
        <v>1945.5521549893704</v>
      </c>
      <c r="E28" s="31"/>
      <c r="F28" s="31"/>
      <c r="G28" s="31"/>
      <c r="H28" s="31"/>
      <c r="I28" s="31"/>
      <c r="J28" s="31"/>
      <c r="K28" s="31"/>
      <c r="L28" s="32" t="s">
        <v>138</v>
      </c>
      <c r="M28" s="28"/>
    </row>
    <row r="29" spans="1:14" ht="12" customHeight="1" x14ac:dyDescent="0.25">
      <c r="A29" s="22"/>
      <c r="B29" s="34" t="s">
        <v>80</v>
      </c>
      <c r="C29" s="24" t="s">
        <v>135</v>
      </c>
      <c r="D29" s="25">
        <f>(2.05*0.719)*1*365</f>
        <v>537.99174999999991</v>
      </c>
      <c r="E29" s="26" t="s">
        <v>37</v>
      </c>
      <c r="F29" s="27" t="s">
        <v>37</v>
      </c>
      <c r="G29" s="27" t="s">
        <v>37</v>
      </c>
      <c r="H29" s="27"/>
      <c r="I29" s="27"/>
      <c r="J29" s="27"/>
      <c r="K29" s="27"/>
      <c r="L29" s="7" t="s">
        <v>902</v>
      </c>
      <c r="M29" s="28" t="s">
        <v>50</v>
      </c>
      <c r="N29" s="28"/>
    </row>
    <row r="30" spans="1:14" ht="12" customHeight="1" x14ac:dyDescent="0.25">
      <c r="A30" s="29"/>
      <c r="B30" s="28"/>
      <c r="C30" s="30" t="s">
        <v>136</v>
      </c>
      <c r="D30" s="597">
        <f>K6</f>
        <v>0.03</v>
      </c>
      <c r="E30" s="597"/>
      <c r="F30" s="597"/>
      <c r="G30" s="597"/>
      <c r="H30" s="31"/>
      <c r="I30" s="31"/>
      <c r="J30" s="31"/>
      <c r="K30" s="31"/>
      <c r="L30" s="32" t="s">
        <v>125</v>
      </c>
      <c r="M30" s="28" t="s">
        <v>50</v>
      </c>
      <c r="N30" s="28"/>
    </row>
    <row r="31" spans="1:14" ht="12" customHeight="1" x14ac:dyDescent="0.25">
      <c r="A31" s="29"/>
      <c r="B31" s="28"/>
      <c r="C31" s="30" t="s">
        <v>137</v>
      </c>
      <c r="D31" s="596">
        <f>K31-J31</f>
        <v>39</v>
      </c>
      <c r="E31" s="596"/>
      <c r="F31" s="596"/>
      <c r="G31" s="596"/>
      <c r="H31" s="33">
        <v>18</v>
      </c>
      <c r="I31" s="33">
        <v>64</v>
      </c>
      <c r="J31" s="33">
        <f>IF(H31&lt;$K$4,$K$4,H31)</f>
        <v>25</v>
      </c>
      <c r="K31" s="33">
        <f>IF(I31&gt;$K$5,$K$5,I31)</f>
        <v>64</v>
      </c>
      <c r="L31" s="195" t="s">
        <v>1065</v>
      </c>
      <c r="M31" s="28" t="s">
        <v>50</v>
      </c>
      <c r="N31" s="28"/>
    </row>
    <row r="32" spans="1:14" ht="12" customHeight="1" x14ac:dyDescent="0.25">
      <c r="A32" s="29"/>
      <c r="B32" s="28"/>
      <c r="C32" s="30" t="s">
        <v>817</v>
      </c>
      <c r="D32" s="39">
        <f>PV(D30,D31,D29*-1)</f>
        <v>12270.631574011904</v>
      </c>
      <c r="E32" s="31"/>
      <c r="F32" s="31"/>
      <c r="G32" s="31"/>
      <c r="H32" s="31"/>
      <c r="I32" s="31"/>
      <c r="J32" s="31"/>
      <c r="K32" s="31"/>
      <c r="L32" s="32" t="s">
        <v>138</v>
      </c>
      <c r="M32" s="28"/>
    </row>
    <row r="33" spans="1:14" ht="12" customHeight="1" x14ac:dyDescent="0.25">
      <c r="A33" s="22"/>
      <c r="B33" s="34" t="s">
        <v>108</v>
      </c>
      <c r="C33" s="24" t="s">
        <v>135</v>
      </c>
      <c r="D33" s="25">
        <f>(2.05*0.167)*1*365</f>
        <v>124.95774999999999</v>
      </c>
      <c r="E33" s="26" t="s">
        <v>37</v>
      </c>
      <c r="F33" s="27" t="s">
        <v>37</v>
      </c>
      <c r="G33" s="27" t="s">
        <v>37</v>
      </c>
      <c r="H33" s="27"/>
      <c r="I33" s="27"/>
      <c r="J33" s="27"/>
      <c r="K33" s="27"/>
      <c r="L33" s="7" t="s">
        <v>902</v>
      </c>
      <c r="M33" s="28" t="s">
        <v>50</v>
      </c>
      <c r="N33" s="28"/>
    </row>
    <row r="34" spans="1:14" ht="12" customHeight="1" x14ac:dyDescent="0.25">
      <c r="A34" s="29"/>
      <c r="B34" s="28"/>
      <c r="C34" s="30" t="s">
        <v>136</v>
      </c>
      <c r="D34" s="597">
        <f>K6</f>
        <v>0.03</v>
      </c>
      <c r="E34" s="597"/>
      <c r="F34" s="597"/>
      <c r="G34" s="597"/>
      <c r="H34" s="31"/>
      <c r="I34" s="31"/>
      <c r="J34" s="31"/>
      <c r="K34" s="31"/>
      <c r="L34" s="32" t="s">
        <v>125</v>
      </c>
      <c r="M34" s="28" t="s">
        <v>50</v>
      </c>
      <c r="N34" s="28"/>
    </row>
    <row r="35" spans="1:14" ht="12" customHeight="1" x14ac:dyDescent="0.25">
      <c r="A35" s="29"/>
      <c r="B35" s="28"/>
      <c r="C35" s="30" t="s">
        <v>137</v>
      </c>
      <c r="D35" s="596">
        <f>K35-J35</f>
        <v>39</v>
      </c>
      <c r="E35" s="596"/>
      <c r="F35" s="596"/>
      <c r="G35" s="596"/>
      <c r="H35" s="33">
        <v>18</v>
      </c>
      <c r="I35" s="33">
        <v>64</v>
      </c>
      <c r="J35" s="33">
        <f>IF(H35&lt;$K$4,$K$4,H35)</f>
        <v>25</v>
      </c>
      <c r="K35" s="33">
        <f>IF(I35&gt;$K$5,$K$5,I35)</f>
        <v>64</v>
      </c>
      <c r="L35" s="195" t="s">
        <v>1065</v>
      </c>
      <c r="M35" s="28" t="s">
        <v>50</v>
      </c>
      <c r="N35" s="28"/>
    </row>
    <row r="36" spans="1:14" ht="12" customHeight="1" x14ac:dyDescent="0.25">
      <c r="A36" s="29"/>
      <c r="B36" s="28"/>
      <c r="C36" s="30" t="s">
        <v>817</v>
      </c>
      <c r="D36" s="39">
        <f>PV(D34,D35,D33*-1)</f>
        <v>2850.0632445896917</v>
      </c>
      <c r="E36" s="31"/>
      <c r="F36" s="31"/>
      <c r="G36" s="31"/>
      <c r="H36" s="31"/>
      <c r="I36" s="31"/>
      <c r="J36" s="31"/>
      <c r="K36" s="31"/>
      <c r="L36" s="32" t="s">
        <v>138</v>
      </c>
      <c r="M36" s="28"/>
    </row>
    <row r="37" spans="1:14" ht="12" customHeight="1" x14ac:dyDescent="0.25">
      <c r="A37" s="22" t="s">
        <v>109</v>
      </c>
      <c r="B37" s="23" t="s">
        <v>74</v>
      </c>
      <c r="C37" s="24" t="s">
        <v>135</v>
      </c>
      <c r="D37" s="25">
        <f>11416232000/19900000</f>
        <v>573.67999999999995</v>
      </c>
      <c r="E37" s="26" t="s">
        <v>37</v>
      </c>
      <c r="F37" s="27" t="s">
        <v>37</v>
      </c>
      <c r="G37" s="27" t="s">
        <v>37</v>
      </c>
      <c r="H37" s="27"/>
      <c r="I37" s="27"/>
      <c r="J37" s="27"/>
      <c r="K37" s="27"/>
      <c r="L37" s="7" t="s">
        <v>903</v>
      </c>
      <c r="M37" s="28" t="s">
        <v>50</v>
      </c>
      <c r="N37" s="28"/>
    </row>
    <row r="38" spans="1:14" ht="12" customHeight="1" x14ac:dyDescent="0.25">
      <c r="A38" s="29"/>
      <c r="B38" s="28"/>
      <c r="C38" s="30" t="s">
        <v>136</v>
      </c>
      <c r="D38" s="597">
        <f>K6</f>
        <v>0.03</v>
      </c>
      <c r="E38" s="597"/>
      <c r="F38" s="597"/>
      <c r="G38" s="597"/>
      <c r="H38" s="31"/>
      <c r="I38" s="31"/>
      <c r="J38" s="31"/>
      <c r="K38" s="31"/>
      <c r="L38" s="32" t="s">
        <v>125</v>
      </c>
      <c r="M38" s="28" t="s">
        <v>50</v>
      </c>
      <c r="N38" s="28"/>
    </row>
    <row r="39" spans="1:14" ht="12" customHeight="1" x14ac:dyDescent="0.25">
      <c r="A39" s="29"/>
      <c r="B39" s="28"/>
      <c r="C39" s="30" t="s">
        <v>137</v>
      </c>
      <c r="D39" s="596">
        <f>K39-J39</f>
        <v>29</v>
      </c>
      <c r="E39" s="596"/>
      <c r="F39" s="596"/>
      <c r="G39" s="596"/>
      <c r="H39" s="33">
        <v>15</v>
      </c>
      <c r="I39" s="33">
        <v>54</v>
      </c>
      <c r="J39" s="33">
        <f>IF(H39&lt;$K$4,$K$4,H39)</f>
        <v>25</v>
      </c>
      <c r="K39" s="33">
        <f>IF(I39&gt;$K$5,$K$5,I39)</f>
        <v>54</v>
      </c>
      <c r="L39" s="195" t="s">
        <v>1065</v>
      </c>
      <c r="M39" s="28" t="s">
        <v>50</v>
      </c>
      <c r="N39" s="28"/>
    </row>
    <row r="40" spans="1:14" ht="12" customHeight="1" x14ac:dyDescent="0.25">
      <c r="A40" s="29"/>
      <c r="B40" s="28"/>
      <c r="C40" s="30" t="s">
        <v>817</v>
      </c>
      <c r="D40" s="39">
        <f>PV(D38,D39,D37*-1)</f>
        <v>11008.032629164731</v>
      </c>
      <c r="E40" s="31"/>
      <c r="F40" s="31"/>
      <c r="G40" s="31"/>
      <c r="H40" s="31"/>
      <c r="I40" s="31"/>
      <c r="J40" s="31"/>
      <c r="K40" s="31"/>
      <c r="L40" s="32" t="s">
        <v>138</v>
      </c>
      <c r="M40" s="28"/>
    </row>
    <row r="41" spans="1:14" ht="12" customHeight="1" x14ac:dyDescent="0.25">
      <c r="A41" s="22"/>
      <c r="B41" s="34" t="s">
        <v>80</v>
      </c>
      <c r="C41" s="24" t="s">
        <v>135</v>
      </c>
      <c r="D41" s="25">
        <f>120304004000/19900000</f>
        <v>6045.4273366834168</v>
      </c>
      <c r="E41" s="26" t="s">
        <v>37</v>
      </c>
      <c r="F41" s="27" t="s">
        <v>37</v>
      </c>
      <c r="G41" s="27" t="s">
        <v>37</v>
      </c>
      <c r="H41" s="27"/>
      <c r="I41" s="27"/>
      <c r="J41" s="27"/>
      <c r="K41" s="27"/>
      <c r="L41" s="7" t="s">
        <v>903</v>
      </c>
      <c r="M41" s="28" t="s">
        <v>50</v>
      </c>
      <c r="N41" s="28"/>
    </row>
    <row r="42" spans="1:14" ht="12" customHeight="1" x14ac:dyDescent="0.25">
      <c r="A42" s="29"/>
      <c r="B42" s="28"/>
      <c r="C42" s="30" t="s">
        <v>136</v>
      </c>
      <c r="D42" s="597">
        <f>K6</f>
        <v>0.03</v>
      </c>
      <c r="E42" s="597"/>
      <c r="F42" s="597"/>
      <c r="G42" s="597"/>
      <c r="H42" s="31"/>
      <c r="I42" s="31"/>
      <c r="J42" s="31"/>
      <c r="K42" s="31"/>
      <c r="L42" s="32" t="s">
        <v>125</v>
      </c>
      <c r="M42" s="28" t="s">
        <v>50</v>
      </c>
      <c r="N42" s="28"/>
    </row>
    <row r="43" spans="1:14" ht="12" customHeight="1" x14ac:dyDescent="0.25">
      <c r="A43" s="29"/>
      <c r="B43" s="28"/>
      <c r="C43" s="30" t="s">
        <v>137</v>
      </c>
      <c r="D43" s="596">
        <f>K43-J43</f>
        <v>29</v>
      </c>
      <c r="E43" s="596"/>
      <c r="F43" s="596"/>
      <c r="G43" s="596"/>
      <c r="H43" s="33">
        <v>15</v>
      </c>
      <c r="I43" s="33">
        <v>54</v>
      </c>
      <c r="J43" s="33">
        <f>IF(H43&lt;$K$4,$K$4,H43)</f>
        <v>25</v>
      </c>
      <c r="K43" s="33">
        <f>IF(I43&gt;$K$5,$K$5,I43)</f>
        <v>54</v>
      </c>
      <c r="L43" s="195" t="s">
        <v>1065</v>
      </c>
      <c r="M43" s="28" t="s">
        <v>50</v>
      </c>
      <c r="N43" s="28"/>
    </row>
    <row r="44" spans="1:14" ht="12" customHeight="1" x14ac:dyDescent="0.25">
      <c r="A44" s="29"/>
      <c r="B44" s="28"/>
      <c r="C44" s="30" t="s">
        <v>817</v>
      </c>
      <c r="D44" s="39">
        <f>PV(D42,D43,D41*-1)</f>
        <v>116002.40792681549</v>
      </c>
      <c r="E44" s="31"/>
      <c r="F44" s="31"/>
      <c r="G44" s="31"/>
      <c r="H44" s="31"/>
      <c r="I44" s="31"/>
      <c r="J44" s="31"/>
      <c r="K44" s="31"/>
      <c r="L44" s="32" t="s">
        <v>138</v>
      </c>
      <c r="M44" s="28"/>
    </row>
    <row r="45" spans="1:14" ht="12" customHeight="1" x14ac:dyDescent="0.25">
      <c r="A45" s="22"/>
      <c r="B45" s="34" t="s">
        <v>108</v>
      </c>
      <c r="C45" s="24" t="s">
        <v>135</v>
      </c>
      <c r="D45" s="25">
        <f>61376694000/19900000</f>
        <v>3084.2559798994976</v>
      </c>
      <c r="E45" s="26" t="s">
        <v>37</v>
      </c>
      <c r="F45" s="27" t="s">
        <v>37</v>
      </c>
      <c r="G45" s="27" t="s">
        <v>37</v>
      </c>
      <c r="H45" s="27"/>
      <c r="I45" s="27"/>
      <c r="J45" s="27"/>
      <c r="K45" s="27"/>
      <c r="L45" s="7" t="s">
        <v>903</v>
      </c>
      <c r="M45" s="28" t="s">
        <v>50</v>
      </c>
      <c r="N45" s="28"/>
    </row>
    <row r="46" spans="1:14" ht="12" customHeight="1" x14ac:dyDescent="0.25">
      <c r="A46" s="29"/>
      <c r="B46" s="28"/>
      <c r="C46" s="30" t="s">
        <v>136</v>
      </c>
      <c r="D46" s="597">
        <f>K6</f>
        <v>0.03</v>
      </c>
      <c r="E46" s="597"/>
      <c r="F46" s="597"/>
      <c r="G46" s="597"/>
      <c r="H46" s="31"/>
      <c r="I46" s="31"/>
      <c r="J46" s="31"/>
      <c r="K46" s="31"/>
      <c r="L46" s="32" t="s">
        <v>125</v>
      </c>
      <c r="M46" s="28" t="s">
        <v>50</v>
      </c>
      <c r="N46" s="28"/>
    </row>
    <row r="47" spans="1:14" ht="12" customHeight="1" x14ac:dyDescent="0.25">
      <c r="A47" s="29"/>
      <c r="B47" s="28"/>
      <c r="C47" s="30" t="s">
        <v>137</v>
      </c>
      <c r="D47" s="596">
        <f>K47-J47</f>
        <v>29</v>
      </c>
      <c r="E47" s="596"/>
      <c r="F47" s="596"/>
      <c r="G47" s="596"/>
      <c r="H47" s="33">
        <v>15</v>
      </c>
      <c r="I47" s="33">
        <v>54</v>
      </c>
      <c r="J47" s="33">
        <f>IF(H47&lt;$K$4,$K$4,H47)</f>
        <v>25</v>
      </c>
      <c r="K47" s="33">
        <f>IF(I47&gt;$K$5,$K$5,I47)</f>
        <v>54</v>
      </c>
      <c r="L47" s="195" t="s">
        <v>1065</v>
      </c>
      <c r="M47" s="28" t="s">
        <v>50</v>
      </c>
      <c r="N47" s="28"/>
    </row>
    <row r="48" spans="1:14" ht="12" customHeight="1" x14ac:dyDescent="0.25">
      <c r="A48" s="29"/>
      <c r="B48" s="28"/>
      <c r="C48" s="30" t="s">
        <v>817</v>
      </c>
      <c r="D48" s="39">
        <f>PV(D46,D47,D45*-1)</f>
        <v>59182.105814095165</v>
      </c>
      <c r="E48" s="31"/>
      <c r="F48" s="31"/>
      <c r="G48" s="31"/>
      <c r="H48" s="31"/>
      <c r="I48" s="31"/>
      <c r="J48" s="31"/>
      <c r="K48" s="31"/>
      <c r="L48" s="32" t="s">
        <v>138</v>
      </c>
      <c r="M48" s="28"/>
    </row>
    <row r="49" spans="1:13" ht="12" customHeight="1" x14ac:dyDescent="0.25">
      <c r="A49" s="22" t="s">
        <v>122</v>
      </c>
      <c r="B49" s="23" t="s">
        <v>74</v>
      </c>
      <c r="C49" s="24" t="s">
        <v>135</v>
      </c>
      <c r="D49" s="25">
        <v>3259</v>
      </c>
      <c r="E49" s="26" t="s">
        <v>37</v>
      </c>
      <c r="F49" s="27" t="s">
        <v>37</v>
      </c>
      <c r="G49" s="27" t="s">
        <v>37</v>
      </c>
      <c r="H49" s="27"/>
      <c r="I49" s="27"/>
      <c r="J49" s="27"/>
      <c r="K49" s="27"/>
      <c r="L49" s="7" t="s">
        <v>141</v>
      </c>
      <c r="M49" s="28" t="s">
        <v>50</v>
      </c>
    </row>
    <row r="50" spans="1:13" ht="12" customHeight="1" x14ac:dyDescent="0.25">
      <c r="A50" s="29"/>
      <c r="B50" s="28"/>
      <c r="C50" s="30" t="s">
        <v>136</v>
      </c>
      <c r="D50" s="597">
        <f>K6</f>
        <v>0.03</v>
      </c>
      <c r="E50" s="597"/>
      <c r="F50" s="597"/>
      <c r="G50" s="597"/>
      <c r="H50" s="31"/>
      <c r="I50" s="31"/>
      <c r="J50" s="31"/>
      <c r="K50" s="31"/>
      <c r="L50" s="32" t="s">
        <v>125</v>
      </c>
      <c r="M50" s="28" t="s">
        <v>50</v>
      </c>
    </row>
    <row r="51" spans="1:13" ht="12" customHeight="1" x14ac:dyDescent="0.25">
      <c r="A51" s="29"/>
      <c r="B51" s="28"/>
      <c r="C51" s="30" t="s">
        <v>137</v>
      </c>
      <c r="D51" s="596">
        <f>K51-J51</f>
        <v>40</v>
      </c>
      <c r="E51" s="596"/>
      <c r="F51" s="596"/>
      <c r="G51" s="596"/>
      <c r="H51" s="33">
        <v>24</v>
      </c>
      <c r="I51" s="33">
        <v>65</v>
      </c>
      <c r="J51" s="33">
        <f>IF(H51&lt;$K$4,$K$4,H51)</f>
        <v>25</v>
      </c>
      <c r="K51" s="33">
        <f>IF(I51&gt;$K$5,$K$5,I51)</f>
        <v>65</v>
      </c>
      <c r="L51" s="195" t="s">
        <v>1065</v>
      </c>
      <c r="M51" s="28" t="s">
        <v>50</v>
      </c>
    </row>
    <row r="52" spans="1:13" ht="12" customHeight="1" x14ac:dyDescent="0.25">
      <c r="A52" s="29"/>
      <c r="B52" s="28"/>
      <c r="C52" s="30" t="s">
        <v>817</v>
      </c>
      <c r="D52" s="39">
        <f>PV(D50,D51,D49*-1)</f>
        <v>75331.041863938779</v>
      </c>
      <c r="E52" s="31"/>
      <c r="F52" s="31"/>
      <c r="G52" s="31"/>
      <c r="H52" s="31"/>
      <c r="I52" s="31"/>
      <c r="J52" s="31"/>
      <c r="K52" s="31"/>
      <c r="L52" s="32" t="s">
        <v>138</v>
      </c>
      <c r="M52" s="28"/>
    </row>
    <row r="53" spans="1:13" ht="12" customHeight="1" x14ac:dyDescent="0.25">
      <c r="A53" s="22"/>
      <c r="B53" s="34" t="s">
        <v>80</v>
      </c>
      <c r="C53" s="24" t="s">
        <v>135</v>
      </c>
      <c r="D53" s="25">
        <v>301</v>
      </c>
      <c r="E53" s="26" t="s">
        <v>37</v>
      </c>
      <c r="F53" s="27" t="s">
        <v>37</v>
      </c>
      <c r="G53" s="27" t="s">
        <v>37</v>
      </c>
      <c r="H53" s="27"/>
      <c r="I53" s="27"/>
      <c r="J53" s="27"/>
      <c r="K53" s="27"/>
      <c r="L53" s="7" t="s">
        <v>141</v>
      </c>
      <c r="M53" s="28" t="s">
        <v>50</v>
      </c>
    </row>
    <row r="54" spans="1:13" ht="12" customHeight="1" x14ac:dyDescent="0.25">
      <c r="A54" s="29"/>
      <c r="B54" s="28"/>
      <c r="C54" s="30" t="s">
        <v>136</v>
      </c>
      <c r="D54" s="597">
        <f>K6</f>
        <v>0.03</v>
      </c>
      <c r="E54" s="597"/>
      <c r="F54" s="597"/>
      <c r="G54" s="597"/>
      <c r="H54" s="31"/>
      <c r="I54" s="31"/>
      <c r="J54" s="31"/>
      <c r="K54" s="31"/>
      <c r="L54" s="32" t="s">
        <v>125</v>
      </c>
      <c r="M54" s="28" t="s">
        <v>50</v>
      </c>
    </row>
    <row r="55" spans="1:13" ht="12" customHeight="1" x14ac:dyDescent="0.25">
      <c r="A55" s="29"/>
      <c r="B55" s="28"/>
      <c r="C55" s="30" t="s">
        <v>137</v>
      </c>
      <c r="D55" s="596">
        <f>K55-J55</f>
        <v>39</v>
      </c>
      <c r="E55" s="596"/>
      <c r="F55" s="596"/>
      <c r="G55" s="596"/>
      <c r="H55" s="33">
        <v>24</v>
      </c>
      <c r="I55" s="33">
        <v>64</v>
      </c>
      <c r="J55" s="33">
        <f>IF(H55&lt;$K$4,$K$4,H55)</f>
        <v>25</v>
      </c>
      <c r="K55" s="33">
        <f>IF(I55&gt;$K$5,$K$5,I55)</f>
        <v>64</v>
      </c>
      <c r="L55" s="195" t="s">
        <v>1065</v>
      </c>
      <c r="M55" s="28" t="s">
        <v>50</v>
      </c>
    </row>
    <row r="56" spans="1:13" ht="12" customHeight="1" x14ac:dyDescent="0.25">
      <c r="A56" s="29"/>
      <c r="B56" s="28"/>
      <c r="C56" s="30" t="s">
        <v>817</v>
      </c>
      <c r="D56" s="39">
        <f>PV(D54,D55,D53*-1)</f>
        <v>6865.2727551632233</v>
      </c>
      <c r="E56" s="31"/>
      <c r="F56" s="31"/>
      <c r="G56" s="31"/>
      <c r="H56" s="31"/>
      <c r="I56" s="31"/>
      <c r="J56" s="31"/>
      <c r="K56" s="31"/>
      <c r="L56" s="32" t="s">
        <v>138</v>
      </c>
      <c r="M56" s="28"/>
    </row>
    <row r="57" spans="1:13" ht="12" customHeight="1" x14ac:dyDescent="0.25">
      <c r="A57" s="22" t="s">
        <v>801</v>
      </c>
      <c r="B57" s="23" t="s">
        <v>74</v>
      </c>
      <c r="C57" s="24" t="s">
        <v>135</v>
      </c>
      <c r="D57" s="25">
        <v>1400</v>
      </c>
      <c r="E57" s="26" t="s">
        <v>37</v>
      </c>
      <c r="F57" s="27" t="s">
        <v>37</v>
      </c>
      <c r="G57" s="27" t="s">
        <v>37</v>
      </c>
      <c r="H57" s="27"/>
      <c r="I57" s="27"/>
      <c r="J57" s="27"/>
      <c r="K57" s="27"/>
      <c r="L57" s="7" t="s">
        <v>1122</v>
      </c>
      <c r="M57" s="28" t="s">
        <v>50</v>
      </c>
    </row>
    <row r="58" spans="1:13" ht="12" customHeight="1" x14ac:dyDescent="0.25">
      <c r="A58" s="29"/>
      <c r="B58" s="28"/>
      <c r="C58" s="30" t="s">
        <v>136</v>
      </c>
      <c r="D58" s="597">
        <f>K6</f>
        <v>0.03</v>
      </c>
      <c r="E58" s="597"/>
      <c r="F58" s="597"/>
      <c r="G58" s="597"/>
      <c r="H58" s="201"/>
      <c r="I58" s="201"/>
      <c r="J58" s="201"/>
      <c r="K58" s="201"/>
      <c r="L58" s="195" t="s">
        <v>125</v>
      </c>
      <c r="M58" s="28" t="s">
        <v>50</v>
      </c>
    </row>
    <row r="59" spans="1:13" ht="12" customHeight="1" x14ac:dyDescent="0.25">
      <c r="A59" s="29"/>
      <c r="B59" s="28"/>
      <c r="C59" s="30" t="s">
        <v>137</v>
      </c>
      <c r="D59" s="596">
        <f>K59-J59</f>
        <v>24</v>
      </c>
      <c r="E59" s="596"/>
      <c r="F59" s="596"/>
      <c r="G59" s="596"/>
      <c r="H59" s="33">
        <v>40</v>
      </c>
      <c r="I59" s="33">
        <v>64</v>
      </c>
      <c r="J59" s="33">
        <f>IF(H59&lt;$K$4,$K$4,H59)</f>
        <v>40</v>
      </c>
      <c r="K59" s="33">
        <f>IF(I59&gt;$K$5,$K$5,I59)</f>
        <v>64</v>
      </c>
      <c r="L59" s="195" t="s">
        <v>1065</v>
      </c>
      <c r="M59" s="28" t="s">
        <v>50</v>
      </c>
    </row>
    <row r="60" spans="1:13" ht="12" customHeight="1" x14ac:dyDescent="0.25">
      <c r="A60" s="29"/>
      <c r="B60" s="28"/>
      <c r="C60" s="30" t="s">
        <v>817</v>
      </c>
      <c r="D60" s="39">
        <f>PV(D58,D59,D57*-1)</f>
        <v>23709.758970822892</v>
      </c>
      <c r="E60" s="201"/>
      <c r="F60" s="201"/>
      <c r="G60" s="201"/>
      <c r="H60" s="201"/>
      <c r="I60" s="201"/>
      <c r="J60" s="201"/>
      <c r="K60" s="201"/>
      <c r="L60" s="195" t="s">
        <v>138</v>
      </c>
      <c r="M60" s="28"/>
    </row>
    <row r="61" spans="1:13" ht="12" customHeight="1" x14ac:dyDescent="0.25">
      <c r="A61" s="22"/>
      <c r="B61" s="23" t="s">
        <v>80</v>
      </c>
      <c r="C61" s="24" t="s">
        <v>135</v>
      </c>
      <c r="D61" s="25">
        <f>((33195*(115583+74133))+(9851*125882)+(12121*40671))/(115583+74133+125882+40671)</f>
        <v>22540.999618265974</v>
      </c>
      <c r="E61" s="26" t="s">
        <v>37</v>
      </c>
      <c r="F61" s="27" t="s">
        <v>37</v>
      </c>
      <c r="G61" s="27" t="s">
        <v>37</v>
      </c>
      <c r="H61" s="27"/>
      <c r="I61" s="27"/>
      <c r="J61" s="27"/>
      <c r="K61" s="27"/>
      <c r="L61" s="499" t="s">
        <v>1067</v>
      </c>
      <c r="M61" s="28" t="s">
        <v>50</v>
      </c>
    </row>
    <row r="62" spans="1:13" ht="12" customHeight="1" x14ac:dyDescent="0.25">
      <c r="A62" s="29"/>
      <c r="B62" s="28"/>
      <c r="C62" s="30" t="s">
        <v>136</v>
      </c>
      <c r="D62" s="597">
        <f>K6</f>
        <v>0.03</v>
      </c>
      <c r="E62" s="597"/>
      <c r="F62" s="597"/>
      <c r="G62" s="597"/>
      <c r="H62" s="206"/>
      <c r="I62" s="206"/>
      <c r="J62" s="206"/>
      <c r="K62" s="206"/>
      <c r="L62" s="195" t="s">
        <v>125</v>
      </c>
      <c r="M62" s="28" t="s">
        <v>50</v>
      </c>
    </row>
    <row r="63" spans="1:13" ht="12" customHeight="1" x14ac:dyDescent="0.25">
      <c r="A63" s="29"/>
      <c r="B63" s="28"/>
      <c r="C63" s="30" t="s">
        <v>137</v>
      </c>
      <c r="D63" s="596">
        <f>K63-J63</f>
        <v>24</v>
      </c>
      <c r="E63" s="596"/>
      <c r="F63" s="596"/>
      <c r="G63" s="596"/>
      <c r="H63" s="33">
        <v>40</v>
      </c>
      <c r="I63" s="33">
        <v>64</v>
      </c>
      <c r="J63" s="33">
        <f>IF(H63&lt;$K$4,$K$4,H63)</f>
        <v>40</v>
      </c>
      <c r="K63" s="33">
        <f>IF(I63&gt;$K$5,$K$5,I63)</f>
        <v>64</v>
      </c>
      <c r="L63" s="195" t="s">
        <v>1065</v>
      </c>
      <c r="M63" s="28" t="s">
        <v>50</v>
      </c>
    </row>
    <row r="64" spans="1:13" ht="12" customHeight="1" x14ac:dyDescent="0.25">
      <c r="A64" s="29"/>
      <c r="B64" s="28"/>
      <c r="C64" s="30" t="s">
        <v>817</v>
      </c>
      <c r="D64" s="39">
        <f>PV(D62,D63,D61*-1)</f>
        <v>381744.04850749788</v>
      </c>
      <c r="E64" s="206"/>
      <c r="F64" s="206"/>
      <c r="G64" s="206"/>
      <c r="H64" s="206"/>
      <c r="I64" s="206"/>
      <c r="J64" s="206"/>
      <c r="K64" s="206"/>
      <c r="L64" s="195" t="s">
        <v>138</v>
      </c>
      <c r="M64" s="28"/>
    </row>
    <row r="65" spans="1:13" ht="12" customHeight="1" x14ac:dyDescent="0.2">
      <c r="A65" s="22" t="s">
        <v>831</v>
      </c>
      <c r="B65" s="23" t="s">
        <v>74</v>
      </c>
      <c r="C65" s="24" t="s">
        <v>135</v>
      </c>
      <c r="D65" s="25">
        <f>(9326*1000000)/(18600*1000)</f>
        <v>501.39784946236557</v>
      </c>
      <c r="E65" s="26" t="s">
        <v>37</v>
      </c>
      <c r="F65" s="27" t="s">
        <v>37</v>
      </c>
      <c r="G65" s="27" t="s">
        <v>37</v>
      </c>
      <c r="H65" s="27"/>
      <c r="I65" s="27"/>
      <c r="J65" s="27"/>
      <c r="K65" s="27"/>
      <c r="L65" s="106" t="s">
        <v>1068</v>
      </c>
      <c r="M65" s="28" t="s">
        <v>50</v>
      </c>
    </row>
    <row r="66" spans="1:13" ht="12" customHeight="1" x14ac:dyDescent="0.25">
      <c r="A66" s="29"/>
      <c r="B66" s="28"/>
      <c r="C66" s="30" t="s">
        <v>136</v>
      </c>
      <c r="D66" s="597">
        <f>K6</f>
        <v>0.03</v>
      </c>
      <c r="E66" s="597"/>
      <c r="F66" s="597"/>
      <c r="G66" s="597"/>
      <c r="H66" s="206"/>
      <c r="I66" s="206"/>
      <c r="J66" s="206"/>
      <c r="K66" s="206"/>
      <c r="L66" s="195" t="s">
        <v>125</v>
      </c>
      <c r="M66" s="28" t="s">
        <v>50</v>
      </c>
    </row>
    <row r="67" spans="1:13" ht="12" customHeight="1" x14ac:dyDescent="0.25">
      <c r="A67" s="29"/>
      <c r="B67" s="28"/>
      <c r="C67" s="30" t="s">
        <v>137</v>
      </c>
      <c r="D67" s="596">
        <f>K67-J67</f>
        <v>40</v>
      </c>
      <c r="E67" s="596"/>
      <c r="F67" s="596"/>
      <c r="G67" s="596"/>
      <c r="H67" s="33">
        <v>0</v>
      </c>
      <c r="I67" s="33">
        <v>65</v>
      </c>
      <c r="J67" s="33">
        <f>IF(H67&lt;$K$4,$K$4,H67)</f>
        <v>25</v>
      </c>
      <c r="K67" s="33">
        <f>IF(I67&gt;$K$5,$K$5,I67)</f>
        <v>65</v>
      </c>
      <c r="L67" s="195" t="s">
        <v>1066</v>
      </c>
      <c r="M67" s="28" t="s">
        <v>50</v>
      </c>
    </row>
    <row r="68" spans="1:13" ht="12" customHeight="1" x14ac:dyDescent="0.25">
      <c r="A68" s="29"/>
      <c r="B68" s="28"/>
      <c r="C68" s="30" t="s">
        <v>817</v>
      </c>
      <c r="D68" s="39">
        <f>PV(D66,D67,D65*-1)</f>
        <v>11589.696958680066</v>
      </c>
      <c r="E68" s="206"/>
      <c r="F68" s="206"/>
      <c r="G68" s="206"/>
      <c r="H68" s="206"/>
      <c r="I68" s="206"/>
      <c r="J68" s="206"/>
      <c r="K68" s="206"/>
      <c r="L68" s="12" t="s">
        <v>138</v>
      </c>
      <c r="M68" s="28"/>
    </row>
    <row r="69" spans="1:13" ht="12" customHeight="1" x14ac:dyDescent="0.2">
      <c r="A69" s="22"/>
      <c r="B69" s="34" t="s">
        <v>80</v>
      </c>
      <c r="C69" s="24" t="s">
        <v>135</v>
      </c>
      <c r="D69" s="25">
        <f>(479*1000000)/(18600*1000)</f>
        <v>25.752688172043012</v>
      </c>
      <c r="E69" s="26" t="s">
        <v>37</v>
      </c>
      <c r="F69" s="27" t="s">
        <v>37</v>
      </c>
      <c r="G69" s="27" t="s">
        <v>37</v>
      </c>
      <c r="H69" s="27"/>
      <c r="I69" s="27"/>
      <c r="J69" s="27"/>
      <c r="K69" s="27"/>
      <c r="L69" s="106" t="s">
        <v>1068</v>
      </c>
      <c r="M69" s="28" t="s">
        <v>50</v>
      </c>
    </row>
    <row r="70" spans="1:13" ht="12" customHeight="1" x14ac:dyDescent="0.25">
      <c r="A70" s="29"/>
      <c r="B70" s="28"/>
      <c r="C70" s="30" t="s">
        <v>136</v>
      </c>
      <c r="D70" s="597">
        <f>K6</f>
        <v>0.03</v>
      </c>
      <c r="E70" s="597"/>
      <c r="F70" s="597"/>
      <c r="G70" s="597"/>
      <c r="H70" s="206"/>
      <c r="I70" s="206"/>
      <c r="J70" s="206"/>
      <c r="K70" s="206"/>
      <c r="L70" s="195" t="s">
        <v>125</v>
      </c>
      <c r="M70" s="28" t="s">
        <v>50</v>
      </c>
    </row>
    <row r="71" spans="1:13" ht="12" customHeight="1" x14ac:dyDescent="0.25">
      <c r="A71" s="29"/>
      <c r="B71" s="28"/>
      <c r="C71" s="30" t="s">
        <v>137</v>
      </c>
      <c r="D71" s="596">
        <f>K71-J71</f>
        <v>40</v>
      </c>
      <c r="E71" s="596"/>
      <c r="F71" s="596"/>
      <c r="G71" s="596"/>
      <c r="H71" s="33">
        <v>0</v>
      </c>
      <c r="I71" s="33">
        <v>65</v>
      </c>
      <c r="J71" s="33">
        <f>IF(H71&lt;$K$4,$K$4,H71)</f>
        <v>25</v>
      </c>
      <c r="K71" s="33">
        <f>IF(I71&gt;$K$5,$K$5,I71)</f>
        <v>65</v>
      </c>
      <c r="L71" s="195" t="s">
        <v>1066</v>
      </c>
      <c r="M71" s="28" t="s">
        <v>50</v>
      </c>
    </row>
    <row r="72" spans="1:13" ht="12" customHeight="1" x14ac:dyDescent="0.25">
      <c r="A72" s="35"/>
      <c r="B72" s="36"/>
      <c r="C72" s="38" t="s">
        <v>817</v>
      </c>
      <c r="D72" s="39">
        <f>PV(D70,D71,D69*-1)</f>
        <v>595.26751481961742</v>
      </c>
      <c r="E72" s="37"/>
      <c r="F72" s="37"/>
      <c r="G72" s="37"/>
      <c r="H72" s="37"/>
      <c r="I72" s="37"/>
      <c r="J72" s="37"/>
      <c r="K72" s="37"/>
      <c r="L72" s="12" t="s">
        <v>138</v>
      </c>
      <c r="M72" s="28"/>
    </row>
    <row r="73" spans="1:13" ht="12" customHeight="1" x14ac:dyDescent="0.2">
      <c r="A73" s="22" t="s">
        <v>800</v>
      </c>
      <c r="B73" s="23" t="s">
        <v>74</v>
      </c>
      <c r="C73" s="24" t="s">
        <v>135</v>
      </c>
      <c r="D73" s="25">
        <v>1861</v>
      </c>
      <c r="E73" s="26" t="s">
        <v>37</v>
      </c>
      <c r="F73" s="27" t="s">
        <v>37</v>
      </c>
      <c r="G73" s="27" t="s">
        <v>37</v>
      </c>
      <c r="H73" s="27"/>
      <c r="I73" s="27"/>
      <c r="J73" s="27"/>
      <c r="K73" s="27"/>
      <c r="L73" s="106" t="s">
        <v>1133</v>
      </c>
      <c r="M73" s="28" t="s">
        <v>50</v>
      </c>
    </row>
    <row r="74" spans="1:13" ht="12" customHeight="1" x14ac:dyDescent="0.25">
      <c r="A74" s="29"/>
      <c r="B74" s="28"/>
      <c r="C74" s="30" t="s">
        <v>136</v>
      </c>
      <c r="D74" s="597">
        <f>K6</f>
        <v>0.03</v>
      </c>
      <c r="E74" s="597"/>
      <c r="F74" s="597"/>
      <c r="G74" s="597"/>
      <c r="H74" s="204"/>
      <c r="I74" s="204"/>
      <c r="J74" s="204"/>
      <c r="K74" s="204"/>
      <c r="L74" s="195" t="s">
        <v>125</v>
      </c>
      <c r="M74" s="28" t="s">
        <v>50</v>
      </c>
    </row>
    <row r="75" spans="1:13" ht="12" customHeight="1" x14ac:dyDescent="0.25">
      <c r="A75" s="29"/>
      <c r="B75" s="28"/>
      <c r="C75" s="30" t="s">
        <v>137</v>
      </c>
      <c r="D75" s="596">
        <f>K75-J75</f>
        <v>40</v>
      </c>
      <c r="E75" s="596"/>
      <c r="F75" s="596"/>
      <c r="G75" s="596"/>
      <c r="H75" s="33">
        <v>24</v>
      </c>
      <c r="I75" s="33">
        <v>65</v>
      </c>
      <c r="J75" s="33">
        <f>IF(H75&lt;$K$4,$K$4,H75)</f>
        <v>25</v>
      </c>
      <c r="K75" s="33">
        <f>IF(I75&gt;$K$5,$K$5,I75)</f>
        <v>65</v>
      </c>
      <c r="L75" s="195" t="s">
        <v>1066</v>
      </c>
      <c r="M75" s="28" t="s">
        <v>50</v>
      </c>
    </row>
    <row r="76" spans="1:13" ht="12" customHeight="1" x14ac:dyDescent="0.25">
      <c r="A76" s="29"/>
      <c r="B76" s="28"/>
      <c r="C76" s="30" t="s">
        <v>817</v>
      </c>
      <c r="D76" s="39">
        <f>PV(D74,D75,D73*-1)</f>
        <v>43016.590643998185</v>
      </c>
      <c r="E76" s="204"/>
      <c r="F76" s="204"/>
      <c r="G76" s="204"/>
      <c r="H76" s="204"/>
      <c r="I76" s="204"/>
      <c r="J76" s="204"/>
      <c r="K76" s="204"/>
      <c r="L76" s="12" t="s">
        <v>138</v>
      </c>
      <c r="M76" s="28"/>
    </row>
    <row r="77" spans="1:13" ht="12" customHeight="1" x14ac:dyDescent="0.2">
      <c r="A77" s="22"/>
      <c r="B77" s="34" t="s">
        <v>80</v>
      </c>
      <c r="C77" s="24" t="s">
        <v>135</v>
      </c>
      <c r="D77" s="27">
        <f>(21791*1000000)/(14.1*1000000)</f>
        <v>1545.4609929078015</v>
      </c>
      <c r="E77" s="26" t="s">
        <v>37</v>
      </c>
      <c r="F77" s="27" t="s">
        <v>37</v>
      </c>
      <c r="G77" s="27" t="s">
        <v>37</v>
      </c>
      <c r="H77" s="27"/>
      <c r="I77" s="27"/>
      <c r="J77" s="27"/>
      <c r="K77" s="27"/>
      <c r="L77" s="106" t="s">
        <v>1135</v>
      </c>
      <c r="M77" s="28" t="s">
        <v>50</v>
      </c>
    </row>
    <row r="78" spans="1:13" ht="12" customHeight="1" x14ac:dyDescent="0.25">
      <c r="A78" s="29"/>
      <c r="B78" s="28"/>
      <c r="C78" s="30" t="s">
        <v>136</v>
      </c>
      <c r="D78" s="597">
        <f>K6</f>
        <v>0.03</v>
      </c>
      <c r="E78" s="597"/>
      <c r="F78" s="597"/>
      <c r="G78" s="597"/>
      <c r="H78" s="204"/>
      <c r="I78" s="204"/>
      <c r="J78" s="204"/>
      <c r="K78" s="204"/>
      <c r="L78" s="195" t="s">
        <v>125</v>
      </c>
      <c r="M78" s="28" t="s">
        <v>50</v>
      </c>
    </row>
    <row r="79" spans="1:13" ht="12" customHeight="1" x14ac:dyDescent="0.25">
      <c r="A79" s="29"/>
      <c r="B79" s="28"/>
      <c r="C79" s="30" t="s">
        <v>137</v>
      </c>
      <c r="D79" s="596">
        <f>K79-J79</f>
        <v>40</v>
      </c>
      <c r="E79" s="596"/>
      <c r="F79" s="596"/>
      <c r="G79" s="596"/>
      <c r="H79" s="33">
        <v>24</v>
      </c>
      <c r="I79" s="33">
        <v>65</v>
      </c>
      <c r="J79" s="33">
        <f>IF(H79&lt;$K$4,$K$4,H79)</f>
        <v>25</v>
      </c>
      <c r="K79" s="33">
        <f>IF(I79&gt;$K$5,$K$5,I79)</f>
        <v>65</v>
      </c>
      <c r="L79" s="195" t="s">
        <v>1066</v>
      </c>
      <c r="M79" s="28" t="s">
        <v>50</v>
      </c>
    </row>
    <row r="80" spans="1:13" ht="12" customHeight="1" x14ac:dyDescent="0.25">
      <c r="A80" s="35"/>
      <c r="B80" s="36"/>
      <c r="C80" s="38" t="s">
        <v>817</v>
      </c>
      <c r="D80" s="39">
        <f>PV(D78,D79,D77*-1)</f>
        <v>35722.978446094501</v>
      </c>
      <c r="E80" s="37"/>
      <c r="F80" s="37"/>
      <c r="G80" s="37"/>
      <c r="H80" s="37"/>
      <c r="I80" s="37"/>
      <c r="J80" s="37"/>
      <c r="K80" s="37"/>
      <c r="L80" s="12" t="s">
        <v>138</v>
      </c>
      <c r="M80" s="28"/>
    </row>
    <row r="81" spans="1:15" ht="12" customHeight="1" x14ac:dyDescent="0.2">
      <c r="A81" s="22" t="s">
        <v>1125</v>
      </c>
      <c r="B81" s="23" t="s">
        <v>80</v>
      </c>
      <c r="C81" s="24" t="s">
        <v>135</v>
      </c>
      <c r="D81" s="25">
        <f>((31.7*1000000000)/(43.8*1000000))+237</f>
        <v>960.74429223744289</v>
      </c>
      <c r="E81" s="26" t="s">
        <v>37</v>
      </c>
      <c r="F81" s="27" t="s">
        <v>37</v>
      </c>
      <c r="G81" s="27" t="s">
        <v>37</v>
      </c>
      <c r="H81" s="27"/>
      <c r="I81" s="27"/>
      <c r="J81" s="27"/>
      <c r="K81" s="27"/>
      <c r="L81" s="517" t="s">
        <v>1153</v>
      </c>
      <c r="M81" s="28" t="s">
        <v>50</v>
      </c>
    </row>
    <row r="82" spans="1:15" ht="12" customHeight="1" x14ac:dyDescent="0.25">
      <c r="A82" s="29"/>
      <c r="B82" s="28"/>
      <c r="C82" s="30" t="s">
        <v>136</v>
      </c>
      <c r="D82" s="597">
        <f>K6</f>
        <v>0.03</v>
      </c>
      <c r="E82" s="597"/>
      <c r="F82" s="597"/>
      <c r="G82" s="597"/>
      <c r="H82" s="206"/>
      <c r="I82" s="206"/>
      <c r="J82" s="206"/>
      <c r="K82" s="206"/>
      <c r="L82" s="195" t="s">
        <v>125</v>
      </c>
      <c r="M82" s="28" t="s">
        <v>50</v>
      </c>
    </row>
    <row r="83" spans="1:15" ht="12" customHeight="1" x14ac:dyDescent="0.25">
      <c r="A83" s="29"/>
      <c r="B83" s="28"/>
      <c r="C83" s="30" t="s">
        <v>137</v>
      </c>
      <c r="D83" s="596">
        <f>K83-J83</f>
        <v>40</v>
      </c>
      <c r="E83" s="596"/>
      <c r="F83" s="596"/>
      <c r="G83" s="596"/>
      <c r="H83" s="33">
        <v>20</v>
      </c>
      <c r="I83" s="33">
        <v>65</v>
      </c>
      <c r="J83" s="33">
        <f>IF(H83&lt;$K$4,$K$4,H83)</f>
        <v>25</v>
      </c>
      <c r="K83" s="33">
        <f>IF(I83&gt;$K$5,$K$5,I83)</f>
        <v>65</v>
      </c>
      <c r="L83" s="195" t="s">
        <v>1066</v>
      </c>
      <c r="M83" s="28" t="s">
        <v>50</v>
      </c>
    </row>
    <row r="84" spans="1:15" ht="12" customHeight="1" x14ac:dyDescent="0.25">
      <c r="A84" s="29"/>
      <c r="B84" s="28"/>
      <c r="C84" s="30" t="s">
        <v>817</v>
      </c>
      <c r="D84" s="39">
        <f>PV(D82,D83,D81*-1)</f>
        <v>22207.385240588843</v>
      </c>
      <c r="E84" s="206"/>
      <c r="F84" s="206"/>
      <c r="G84" s="206"/>
      <c r="H84" s="206"/>
      <c r="I84" s="206"/>
      <c r="J84" s="206"/>
      <c r="K84" s="206"/>
      <c r="L84" s="12" t="s">
        <v>138</v>
      </c>
      <c r="M84" s="28"/>
    </row>
    <row r="85" spans="1:15" ht="12" customHeight="1" x14ac:dyDescent="0.2">
      <c r="A85" s="22" t="s">
        <v>524</v>
      </c>
      <c r="B85" s="23" t="s">
        <v>74</v>
      </c>
      <c r="C85" s="24" t="s">
        <v>135</v>
      </c>
      <c r="D85" s="25">
        <v>649.07000000000005</v>
      </c>
      <c r="E85" s="26" t="s">
        <v>37</v>
      </c>
      <c r="F85" s="27" t="s">
        <v>37</v>
      </c>
      <c r="G85" s="27" t="s">
        <v>37</v>
      </c>
      <c r="H85" s="27"/>
      <c r="I85" s="27"/>
      <c r="J85" s="27"/>
      <c r="K85" s="27"/>
      <c r="L85" s="106" t="s">
        <v>1134</v>
      </c>
      <c r="M85" s="28" t="s">
        <v>50</v>
      </c>
    </row>
    <row r="86" spans="1:15" ht="12" customHeight="1" x14ac:dyDescent="0.25">
      <c r="A86" s="29"/>
      <c r="B86" s="28"/>
      <c r="C86" s="30" t="s">
        <v>136</v>
      </c>
      <c r="D86" s="597">
        <f>K6</f>
        <v>0.03</v>
      </c>
      <c r="E86" s="597"/>
      <c r="F86" s="597"/>
      <c r="G86" s="597"/>
      <c r="H86" s="31"/>
      <c r="I86" s="31"/>
      <c r="J86" s="31"/>
      <c r="K86" s="31"/>
      <c r="L86" s="32" t="s">
        <v>125</v>
      </c>
      <c r="M86" s="28" t="s">
        <v>50</v>
      </c>
    </row>
    <row r="87" spans="1:15" ht="12" customHeight="1" x14ac:dyDescent="0.25">
      <c r="A87" s="29"/>
      <c r="B87" s="28"/>
      <c r="C87" s="30" t="s">
        <v>137</v>
      </c>
      <c r="D87" s="596">
        <f>K87-J87</f>
        <v>40</v>
      </c>
      <c r="E87" s="596"/>
      <c r="F87" s="596"/>
      <c r="G87" s="596"/>
      <c r="H87" s="33">
        <v>24</v>
      </c>
      <c r="I87" s="33">
        <v>65</v>
      </c>
      <c r="J87" s="33">
        <f>IF(H87&lt;$K$4,$K$4,H87)</f>
        <v>25</v>
      </c>
      <c r="K87" s="33">
        <f>IF(I87&gt;$K$5,$K$5,I87)</f>
        <v>65</v>
      </c>
      <c r="L87" s="195" t="s">
        <v>1066</v>
      </c>
      <c r="M87" s="28" t="s">
        <v>50</v>
      </c>
    </row>
    <row r="88" spans="1:15" ht="12" customHeight="1" x14ac:dyDescent="0.25">
      <c r="A88" s="29"/>
      <c r="B88" s="28"/>
      <c r="C88" s="30" t="s">
        <v>817</v>
      </c>
      <c r="D88" s="39">
        <f>PV(D86,D87,D85*-1)</f>
        <v>15003.105045298174</v>
      </c>
      <c r="E88" s="31"/>
      <c r="F88" s="31"/>
      <c r="G88" s="31"/>
      <c r="H88" s="31"/>
      <c r="I88" s="31"/>
      <c r="J88" s="31"/>
      <c r="K88" s="31"/>
      <c r="L88" s="12" t="s">
        <v>138</v>
      </c>
      <c r="M88" s="28"/>
    </row>
    <row r="89" spans="1:15" ht="12" customHeight="1" x14ac:dyDescent="0.2">
      <c r="A89" s="22"/>
      <c r="B89" s="34" t="s">
        <v>80</v>
      </c>
      <c r="C89" s="24" t="s">
        <v>135</v>
      </c>
      <c r="D89" s="27">
        <f>(4293*1000000)/(49.1*1000000)</f>
        <v>87.433808553971488</v>
      </c>
      <c r="E89" s="26" t="s">
        <v>37</v>
      </c>
      <c r="F89" s="27" t="s">
        <v>37</v>
      </c>
      <c r="G89" s="27" t="s">
        <v>37</v>
      </c>
      <c r="H89" s="27"/>
      <c r="I89" s="27"/>
      <c r="J89" s="27"/>
      <c r="K89" s="27"/>
      <c r="L89" s="106" t="s">
        <v>1136</v>
      </c>
      <c r="M89" s="28" t="s">
        <v>50</v>
      </c>
    </row>
    <row r="90" spans="1:15" ht="12" customHeight="1" x14ac:dyDescent="0.25">
      <c r="A90" s="29"/>
      <c r="B90" s="28"/>
      <c r="C90" s="30" t="s">
        <v>136</v>
      </c>
      <c r="D90" s="597">
        <f>K6</f>
        <v>0.03</v>
      </c>
      <c r="E90" s="597"/>
      <c r="F90" s="597"/>
      <c r="G90" s="597"/>
      <c r="H90" s="31"/>
      <c r="I90" s="31"/>
      <c r="J90" s="31"/>
      <c r="K90" s="31"/>
      <c r="L90" s="32" t="s">
        <v>125</v>
      </c>
      <c r="M90" s="28" t="s">
        <v>50</v>
      </c>
    </row>
    <row r="91" spans="1:15" ht="12" customHeight="1" x14ac:dyDescent="0.25">
      <c r="A91" s="29"/>
      <c r="B91" s="28"/>
      <c r="C91" s="30" t="s">
        <v>137</v>
      </c>
      <c r="D91" s="596">
        <f>K91-J91</f>
        <v>40</v>
      </c>
      <c r="E91" s="596"/>
      <c r="F91" s="596"/>
      <c r="G91" s="596"/>
      <c r="H91" s="33">
        <v>24</v>
      </c>
      <c r="I91" s="33">
        <v>65</v>
      </c>
      <c r="J91" s="33">
        <f>IF(H91&lt;$K$4,$K$4,H91)</f>
        <v>25</v>
      </c>
      <c r="K91" s="33">
        <f>IF(I91&gt;$K$5,$K$5,I91)</f>
        <v>65</v>
      </c>
      <c r="L91" s="195" t="s">
        <v>1066</v>
      </c>
      <c r="M91" s="28" t="s">
        <v>50</v>
      </c>
    </row>
    <row r="92" spans="1:15" ht="12" customHeight="1" x14ac:dyDescent="0.25">
      <c r="A92" s="35"/>
      <c r="B92" s="36"/>
      <c r="C92" s="38" t="s">
        <v>817</v>
      </c>
      <c r="D92" s="39">
        <f>PV(D90,D91,D89*-1)</f>
        <v>2021.0125475614714</v>
      </c>
      <c r="E92" s="37"/>
      <c r="F92" s="37"/>
      <c r="G92" s="37"/>
      <c r="H92" s="37"/>
      <c r="I92" s="37"/>
      <c r="J92" s="37"/>
      <c r="K92" s="37"/>
      <c r="L92" s="12" t="s">
        <v>138</v>
      </c>
      <c r="M92" s="28"/>
    </row>
    <row r="93" spans="1:15" s="21" customFormat="1" x14ac:dyDescent="0.2">
      <c r="A93" s="504" t="s">
        <v>142</v>
      </c>
      <c r="B93" s="505"/>
      <c r="C93" s="506"/>
      <c r="D93" s="507"/>
      <c r="E93" s="507"/>
      <c r="F93" s="507"/>
      <c r="G93" s="507"/>
      <c r="H93" s="507"/>
      <c r="I93" s="507"/>
      <c r="J93" s="507"/>
      <c r="K93" s="507"/>
      <c r="L93" s="508"/>
      <c r="M93" s="20"/>
      <c r="N93" s="20"/>
    </row>
    <row r="94" spans="1:15" ht="12" customHeight="1" x14ac:dyDescent="0.25">
      <c r="A94" s="22" t="s">
        <v>1126</v>
      </c>
      <c r="B94" s="34" t="s">
        <v>80</v>
      </c>
      <c r="C94" s="24" t="s">
        <v>135</v>
      </c>
      <c r="D94" s="25">
        <v>45838</v>
      </c>
      <c r="E94" s="134" t="s">
        <v>37</v>
      </c>
      <c r="F94" s="134" t="s">
        <v>37</v>
      </c>
      <c r="G94" s="134" t="s">
        <v>37</v>
      </c>
      <c r="H94" s="134"/>
      <c r="I94" s="134"/>
      <c r="J94" s="134"/>
      <c r="K94" s="134"/>
      <c r="L94" s="7" t="s">
        <v>905</v>
      </c>
      <c r="M94" s="28" t="s">
        <v>50</v>
      </c>
      <c r="N94" s="28"/>
    </row>
    <row r="95" spans="1:15" ht="12" customHeight="1" x14ac:dyDescent="0.25">
      <c r="A95" s="40"/>
      <c r="B95" s="41"/>
      <c r="C95" s="30" t="s">
        <v>136</v>
      </c>
      <c r="D95" s="597">
        <f>K6-0.01</f>
        <v>1.9999999999999997E-2</v>
      </c>
      <c r="E95" s="597"/>
      <c r="F95" s="597"/>
      <c r="G95" s="597"/>
      <c r="H95" s="465"/>
      <c r="I95" s="465"/>
      <c r="J95" s="465"/>
      <c r="K95" s="465"/>
      <c r="L95" s="195" t="s">
        <v>904</v>
      </c>
      <c r="M95" s="28" t="s">
        <v>50</v>
      </c>
      <c r="N95" s="28"/>
      <c r="O95" s="28"/>
    </row>
    <row r="96" spans="1:15" ht="12" customHeight="1" x14ac:dyDescent="0.25">
      <c r="A96" s="40"/>
      <c r="B96" s="41"/>
      <c r="C96" s="30" t="s">
        <v>137</v>
      </c>
      <c r="D96" s="596">
        <f>'Table 2 Criminal justice'!B35</f>
        <v>2.3387752942099853</v>
      </c>
      <c r="E96" s="596"/>
      <c r="F96" s="596"/>
      <c r="G96" s="596"/>
      <c r="H96" s="466" t="s">
        <v>41</v>
      </c>
      <c r="I96" s="466" t="s">
        <v>41</v>
      </c>
      <c r="J96" s="466" t="s">
        <v>41</v>
      </c>
      <c r="K96" s="466" t="s">
        <v>41</v>
      </c>
      <c r="L96" s="195" t="s">
        <v>906</v>
      </c>
      <c r="M96" s="28" t="s">
        <v>50</v>
      </c>
      <c r="N96" s="28"/>
      <c r="O96" s="28"/>
    </row>
    <row r="97" spans="1:15" ht="12" customHeight="1" x14ac:dyDescent="0.25">
      <c r="A97" s="42"/>
      <c r="B97" s="43"/>
      <c r="C97" s="38" t="s">
        <v>818</v>
      </c>
      <c r="D97" s="39">
        <f>PV(D95,D96,D94*-1)</f>
        <v>103726.29250505319</v>
      </c>
      <c r="E97" s="37" t="s">
        <v>41</v>
      </c>
      <c r="F97" s="37" t="s">
        <v>41</v>
      </c>
      <c r="G97" s="37" t="s">
        <v>41</v>
      </c>
      <c r="H97" s="37"/>
      <c r="I97" s="37"/>
      <c r="J97" s="37"/>
      <c r="K97" s="37"/>
      <c r="L97" s="12" t="s">
        <v>138</v>
      </c>
      <c r="M97" s="28" t="s">
        <v>50</v>
      </c>
      <c r="N97" s="28"/>
      <c r="O97" s="28"/>
    </row>
    <row r="98" spans="1:15" ht="12" customHeight="1" x14ac:dyDescent="0.25">
      <c r="A98" s="28" t="s">
        <v>143</v>
      </c>
      <c r="B98" s="28"/>
      <c r="C98" s="28"/>
      <c r="D98" s="465"/>
      <c r="E98" s="465"/>
      <c r="F98" s="465"/>
      <c r="G98" s="465"/>
      <c r="H98" s="465"/>
      <c r="I98" s="465"/>
      <c r="J98" s="465"/>
      <c r="K98" s="465"/>
      <c r="L98" s="28"/>
      <c r="M98" s="2" t="s">
        <v>50</v>
      </c>
    </row>
  </sheetData>
  <mergeCells count="44">
    <mergeCell ref="D10:G10"/>
    <mergeCell ref="D11:G11"/>
    <mergeCell ref="D14:G14"/>
    <mergeCell ref="D15:G15"/>
    <mergeCell ref="D18:G18"/>
    <mergeCell ref="D19:G19"/>
    <mergeCell ref="D22:G22"/>
    <mergeCell ref="D23:G23"/>
    <mergeCell ref="D39:G39"/>
    <mergeCell ref="D26:G26"/>
    <mergeCell ref="D27:G27"/>
    <mergeCell ref="D30:G30"/>
    <mergeCell ref="D31:G31"/>
    <mergeCell ref="D34:G34"/>
    <mergeCell ref="D35:G35"/>
    <mergeCell ref="D38:G38"/>
    <mergeCell ref="D51:G51"/>
    <mergeCell ref="D42:G42"/>
    <mergeCell ref="D43:G43"/>
    <mergeCell ref="D46:G46"/>
    <mergeCell ref="D47:G47"/>
    <mergeCell ref="D50:G50"/>
    <mergeCell ref="D78:G78"/>
    <mergeCell ref="D62:G62"/>
    <mergeCell ref="D63:G63"/>
    <mergeCell ref="D66:G66"/>
    <mergeCell ref="D67:G67"/>
    <mergeCell ref="D70:G70"/>
    <mergeCell ref="D79:G79"/>
    <mergeCell ref="D71:G71"/>
    <mergeCell ref="D96:G96"/>
    <mergeCell ref="D54:G54"/>
    <mergeCell ref="D55:G55"/>
    <mergeCell ref="D86:G86"/>
    <mergeCell ref="D87:G87"/>
    <mergeCell ref="D90:G90"/>
    <mergeCell ref="D91:G91"/>
    <mergeCell ref="D95:G95"/>
    <mergeCell ref="D58:G58"/>
    <mergeCell ref="D59:G59"/>
    <mergeCell ref="D82:G82"/>
    <mergeCell ref="D83:G83"/>
    <mergeCell ref="D74:G74"/>
    <mergeCell ref="D75:G7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35"/>
  <sheetViews>
    <sheetView workbookViewId="0">
      <pane xSplit="2" ySplit="9" topLeftCell="S10" activePane="bottomRight" state="frozen"/>
      <selection pane="topRight" activeCell="C1" sqref="C1"/>
      <selection pane="bottomLeft" activeCell="A8" sqref="A8"/>
      <selection pane="bottomRight"/>
    </sheetView>
  </sheetViews>
  <sheetFormatPr defaultColWidth="9.140625" defaultRowHeight="12" x14ac:dyDescent="0.2"/>
  <cols>
    <col min="1" max="1" width="9.140625" style="266"/>
    <col min="2" max="2" width="58" style="266" bestFit="1" customWidth="1"/>
    <col min="3" max="7" width="9.140625" style="266" customWidth="1"/>
    <col min="8" max="12" width="9.140625" style="266"/>
    <col min="13" max="13" width="10.7109375" style="266" bestFit="1" customWidth="1"/>
    <col min="14" max="16" width="9.140625" style="266"/>
    <col min="17" max="17" width="10.7109375" style="266" bestFit="1" customWidth="1"/>
    <col min="18" max="16384" width="9.140625" style="266"/>
  </cols>
  <sheetData>
    <row r="2" spans="1:27" ht="18.75" x14ac:dyDescent="0.3">
      <c r="A2" s="336" t="s">
        <v>869</v>
      </c>
    </row>
    <row r="3" spans="1:27" x14ac:dyDescent="0.2">
      <c r="A3" s="319" t="s">
        <v>146</v>
      </c>
      <c r="B3" s="179"/>
      <c r="C3" s="179"/>
      <c r="D3" s="179"/>
      <c r="E3" s="179"/>
      <c r="F3" s="179"/>
      <c r="G3" s="179"/>
      <c r="H3" s="356"/>
      <c r="I3" s="356"/>
      <c r="J3" s="356"/>
      <c r="K3" s="356"/>
      <c r="L3" s="356"/>
      <c r="M3" s="356"/>
      <c r="N3" s="356"/>
      <c r="O3" s="356"/>
      <c r="P3" s="356"/>
      <c r="Q3" s="356"/>
      <c r="R3" s="356"/>
      <c r="S3" s="356"/>
      <c r="T3" s="356"/>
      <c r="U3" s="356"/>
      <c r="V3" s="356"/>
      <c r="W3" s="356"/>
      <c r="X3" s="356"/>
      <c r="Y3" s="356"/>
      <c r="Z3" s="356"/>
      <c r="AA3" s="356"/>
    </row>
    <row r="4" spans="1:27" x14ac:dyDescent="0.2">
      <c r="A4" s="319" t="s">
        <v>147</v>
      </c>
      <c r="B4" s="179"/>
      <c r="C4" s="179"/>
      <c r="D4" s="179"/>
      <c r="E4" s="179"/>
      <c r="F4" s="179"/>
      <c r="G4" s="179"/>
      <c r="H4" s="356"/>
      <c r="I4" s="356"/>
      <c r="J4" s="356"/>
      <c r="K4" s="356"/>
      <c r="L4" s="356"/>
      <c r="M4" s="356"/>
      <c r="N4" s="356"/>
      <c r="O4" s="356"/>
      <c r="P4" s="356"/>
      <c r="Q4" s="356"/>
      <c r="R4" s="356"/>
      <c r="S4" s="356"/>
      <c r="T4" s="356"/>
      <c r="U4" s="356"/>
      <c r="V4" s="357"/>
      <c r="W4" s="356"/>
      <c r="X4" s="356"/>
      <c r="Y4" s="356"/>
      <c r="Z4" s="356"/>
      <c r="AA4" s="356"/>
    </row>
    <row r="5" spans="1:27" x14ac:dyDescent="0.2">
      <c r="A5" s="179" t="s">
        <v>148</v>
      </c>
      <c r="B5" s="179"/>
      <c r="C5" s="179"/>
      <c r="D5" s="179"/>
      <c r="E5" s="179"/>
      <c r="F5" s="179"/>
      <c r="G5" s="179"/>
      <c r="H5" s="356"/>
      <c r="I5" s="356"/>
      <c r="J5" s="356"/>
      <c r="K5" s="356"/>
      <c r="L5" s="356"/>
      <c r="M5" s="357"/>
      <c r="N5" s="356"/>
      <c r="O5" s="356"/>
      <c r="P5" s="356"/>
      <c r="Q5" s="357"/>
      <c r="R5" s="356"/>
      <c r="S5" s="358"/>
      <c r="T5" s="356"/>
      <c r="U5" s="356"/>
      <c r="V5" s="357"/>
      <c r="W5" s="356"/>
      <c r="X5" s="356"/>
      <c r="Y5" s="356"/>
      <c r="Z5" s="356"/>
      <c r="AA5" s="356"/>
    </row>
    <row r="6" spans="1:27" x14ac:dyDescent="0.2">
      <c r="A6" s="179" t="s">
        <v>901</v>
      </c>
      <c r="B6" s="179"/>
      <c r="C6" s="179"/>
      <c r="D6" s="179"/>
      <c r="E6" s="179"/>
      <c r="F6" s="179"/>
      <c r="G6" s="179"/>
      <c r="H6" s="356"/>
      <c r="I6" s="356"/>
      <c r="J6" s="356"/>
      <c r="K6" s="356"/>
      <c r="L6" s="356"/>
      <c r="M6" s="357"/>
      <c r="N6" s="356"/>
      <c r="O6" s="356"/>
      <c r="P6" s="356"/>
      <c r="Q6" s="357"/>
      <c r="R6" s="356"/>
      <c r="S6" s="356"/>
      <c r="T6" s="356"/>
      <c r="U6" s="356"/>
      <c r="V6" s="357"/>
      <c r="W6" s="356"/>
      <c r="X6" s="356"/>
      <c r="Y6" s="356"/>
      <c r="Z6" s="356"/>
      <c r="AA6" s="356"/>
    </row>
    <row r="7" spans="1:27" x14ac:dyDescent="0.2">
      <c r="A7" s="322" t="s">
        <v>145</v>
      </c>
    </row>
    <row r="8" spans="1:27" x14ac:dyDescent="0.2">
      <c r="A8" s="322"/>
    </row>
    <row r="9" spans="1:27" x14ac:dyDescent="0.2">
      <c r="A9" s="361" t="s">
        <v>149</v>
      </c>
      <c r="B9" s="361" t="s">
        <v>150</v>
      </c>
      <c r="C9" s="362">
        <v>1990</v>
      </c>
      <c r="D9" s="362">
        <v>1991</v>
      </c>
      <c r="E9" s="362">
        <v>1992</v>
      </c>
      <c r="F9" s="362">
        <v>1993</v>
      </c>
      <c r="G9" s="362">
        <v>1994</v>
      </c>
      <c r="H9" s="362" t="s">
        <v>151</v>
      </c>
      <c r="I9" s="362" t="s">
        <v>152</v>
      </c>
      <c r="J9" s="362" t="s">
        <v>153</v>
      </c>
      <c r="K9" s="362" t="s">
        <v>154</v>
      </c>
      <c r="L9" s="362" t="s">
        <v>155</v>
      </c>
      <c r="M9" s="362" t="s">
        <v>156</v>
      </c>
      <c r="N9" s="362" t="s">
        <v>157</v>
      </c>
      <c r="O9" s="362" t="s">
        <v>158</v>
      </c>
      <c r="P9" s="362" t="s">
        <v>159</v>
      </c>
      <c r="Q9" s="362" t="s">
        <v>160</v>
      </c>
      <c r="R9" s="362" t="s">
        <v>161</v>
      </c>
      <c r="S9" s="362" t="s">
        <v>162</v>
      </c>
      <c r="T9" s="362" t="s">
        <v>163</v>
      </c>
      <c r="U9" s="362" t="s">
        <v>164</v>
      </c>
      <c r="V9" s="362" t="s">
        <v>165</v>
      </c>
      <c r="W9" s="362" t="s">
        <v>166</v>
      </c>
      <c r="X9" s="362" t="s">
        <v>167</v>
      </c>
      <c r="Y9" s="362" t="s">
        <v>168</v>
      </c>
      <c r="Z9" s="362" t="s">
        <v>169</v>
      </c>
      <c r="AA9" s="362" t="s">
        <v>170</v>
      </c>
    </row>
    <row r="10" spans="1:27" x14ac:dyDescent="0.2">
      <c r="A10" s="266" t="s">
        <v>171</v>
      </c>
      <c r="B10" s="359" t="s">
        <v>172</v>
      </c>
      <c r="C10" s="322">
        <v>66.840999999999994</v>
      </c>
      <c r="D10" s="322">
        <v>69.057000000000002</v>
      </c>
      <c r="E10" s="322">
        <v>70.632000000000005</v>
      </c>
      <c r="F10" s="322">
        <v>72.314999999999998</v>
      </c>
      <c r="G10" s="322">
        <v>73.850999999999999</v>
      </c>
      <c r="H10" s="360">
        <v>75.393000000000001</v>
      </c>
      <c r="I10" s="360">
        <v>76.766999999999996</v>
      </c>
      <c r="J10" s="360">
        <v>78.087999999999994</v>
      </c>
      <c r="K10" s="360">
        <v>78.935000000000002</v>
      </c>
      <c r="L10" s="360">
        <v>80.064999999999998</v>
      </c>
      <c r="M10" s="360">
        <v>81.89</v>
      </c>
      <c r="N10" s="360">
        <v>83.754999999999995</v>
      </c>
      <c r="O10" s="360">
        <v>85.04</v>
      </c>
      <c r="P10" s="360">
        <v>86.734999999999999</v>
      </c>
      <c r="Q10" s="360">
        <v>89.117999999999995</v>
      </c>
      <c r="R10" s="360">
        <v>91.984999999999999</v>
      </c>
      <c r="S10" s="360">
        <v>94.811999999999998</v>
      </c>
      <c r="T10" s="360">
        <v>97.34</v>
      </c>
      <c r="U10" s="360">
        <v>99.218000000000004</v>
      </c>
      <c r="V10" s="360">
        <v>100</v>
      </c>
      <c r="W10" s="360">
        <v>101.226</v>
      </c>
      <c r="X10" s="360">
        <v>103.315</v>
      </c>
      <c r="Y10" s="360">
        <v>105.22</v>
      </c>
      <c r="Z10" s="360">
        <v>106.935</v>
      </c>
      <c r="AA10" s="360">
        <v>108.694</v>
      </c>
    </row>
    <row r="11" spans="1:27" x14ac:dyDescent="0.2">
      <c r="A11" s="266" t="s">
        <v>173</v>
      </c>
      <c r="B11" s="359" t="s">
        <v>174</v>
      </c>
      <c r="C11" s="322">
        <v>67.44</v>
      </c>
      <c r="D11" s="322">
        <v>69.652000000000001</v>
      </c>
      <c r="E11" s="322">
        <v>71.494</v>
      </c>
      <c r="F11" s="322">
        <v>73.278999999999996</v>
      </c>
      <c r="G11" s="322">
        <v>74.802999999999997</v>
      </c>
      <c r="H11" s="360">
        <v>76.355999999999995</v>
      </c>
      <c r="I11" s="360">
        <v>77.980999999999995</v>
      </c>
      <c r="J11" s="360">
        <v>79.326999999999998</v>
      </c>
      <c r="K11" s="360">
        <v>79.936000000000007</v>
      </c>
      <c r="L11" s="360">
        <v>81.11</v>
      </c>
      <c r="M11" s="360">
        <v>83.131</v>
      </c>
      <c r="N11" s="360">
        <v>84.736000000000004</v>
      </c>
      <c r="O11" s="360">
        <v>85.873000000000005</v>
      </c>
      <c r="P11" s="360">
        <v>87.572000000000003</v>
      </c>
      <c r="Q11" s="360">
        <v>89.703000000000003</v>
      </c>
      <c r="R11" s="360">
        <v>92.260999999999996</v>
      </c>
      <c r="S11" s="360">
        <v>94.728999999999999</v>
      </c>
      <c r="T11" s="360">
        <v>97.102000000000004</v>
      </c>
      <c r="U11" s="360">
        <v>100.065</v>
      </c>
      <c r="V11" s="360">
        <v>100</v>
      </c>
      <c r="W11" s="360">
        <v>101.65300000000001</v>
      </c>
      <c r="X11" s="360">
        <v>104.149</v>
      </c>
      <c r="Y11" s="360">
        <v>106.121</v>
      </c>
      <c r="Z11" s="360">
        <v>107.572</v>
      </c>
      <c r="AA11" s="360">
        <v>109.105</v>
      </c>
    </row>
    <row r="12" spans="1:27" x14ac:dyDescent="0.2">
      <c r="A12" s="266" t="s">
        <v>175</v>
      </c>
      <c r="B12" s="266" t="s">
        <v>176</v>
      </c>
      <c r="C12" s="266">
        <v>87.158000000000001</v>
      </c>
      <c r="D12" s="266">
        <v>89.289000000000001</v>
      </c>
      <c r="E12" s="266">
        <v>90.366</v>
      </c>
      <c r="F12" s="266">
        <v>91.150999999999996</v>
      </c>
      <c r="G12" s="266">
        <v>92.078000000000003</v>
      </c>
      <c r="H12" s="360">
        <v>92.938999999999993</v>
      </c>
      <c r="I12" s="360">
        <v>93.96</v>
      </c>
      <c r="J12" s="360">
        <v>93.850999999999999</v>
      </c>
      <c r="K12" s="360">
        <v>92.44</v>
      </c>
      <c r="L12" s="360">
        <v>92.924999999999997</v>
      </c>
      <c r="M12" s="360">
        <v>94.769000000000005</v>
      </c>
      <c r="N12" s="360">
        <v>94.697000000000003</v>
      </c>
      <c r="O12" s="360">
        <v>93.805999999999997</v>
      </c>
      <c r="P12" s="360">
        <v>93.703000000000003</v>
      </c>
      <c r="Q12" s="360">
        <v>95.03</v>
      </c>
      <c r="R12" s="360">
        <v>96.950999999999993</v>
      </c>
      <c r="S12" s="360">
        <v>98.277000000000001</v>
      </c>
      <c r="T12" s="360">
        <v>99.403000000000006</v>
      </c>
      <c r="U12" s="360">
        <v>102.36199999999999</v>
      </c>
      <c r="V12" s="360">
        <v>100</v>
      </c>
      <c r="W12" s="360">
        <v>101.637</v>
      </c>
      <c r="X12" s="360">
        <v>105.413</v>
      </c>
      <c r="Y12" s="360">
        <v>106.70099999999999</v>
      </c>
      <c r="Z12" s="360">
        <v>106.2</v>
      </c>
      <c r="AA12" s="360">
        <v>105.82299999999999</v>
      </c>
    </row>
    <row r="13" spans="1:27" x14ac:dyDescent="0.2">
      <c r="A13" s="266" t="s">
        <v>177</v>
      </c>
      <c r="B13" s="266" t="s">
        <v>178</v>
      </c>
      <c r="C13" s="266">
        <v>126.291</v>
      </c>
      <c r="D13" s="266">
        <v>128.143</v>
      </c>
      <c r="E13" s="266">
        <v>129.02799999999999</v>
      </c>
      <c r="F13" s="266">
        <v>130.298</v>
      </c>
      <c r="G13" s="266">
        <v>132.84800000000001</v>
      </c>
      <c r="H13" s="360">
        <v>133.81700000000001</v>
      </c>
      <c r="I13" s="360">
        <v>132.46700000000001</v>
      </c>
      <c r="J13" s="360">
        <v>129.57400000000001</v>
      </c>
      <c r="K13" s="360">
        <v>125.91200000000001</v>
      </c>
      <c r="L13" s="360">
        <v>122.52</v>
      </c>
      <c r="M13" s="360">
        <v>120.339</v>
      </c>
      <c r="N13" s="360">
        <v>117.982</v>
      </c>
      <c r="O13" s="360">
        <v>115.03400000000001</v>
      </c>
      <c r="P13" s="360">
        <v>110.88500000000001</v>
      </c>
      <c r="Q13" s="360">
        <v>108.752</v>
      </c>
      <c r="R13" s="360">
        <v>107.669</v>
      </c>
      <c r="S13" s="360">
        <v>105.91500000000001</v>
      </c>
      <c r="T13" s="360">
        <v>103.764</v>
      </c>
      <c r="U13" s="360">
        <v>101.758</v>
      </c>
      <c r="V13" s="360">
        <v>100</v>
      </c>
      <c r="W13" s="360">
        <v>98.622</v>
      </c>
      <c r="X13" s="360">
        <v>97.724999999999994</v>
      </c>
      <c r="Y13" s="360">
        <v>96.412999999999997</v>
      </c>
      <c r="Z13" s="360">
        <v>94.665000000000006</v>
      </c>
      <c r="AA13" s="360">
        <v>92.494</v>
      </c>
    </row>
    <row r="14" spans="1:27" x14ac:dyDescent="0.2">
      <c r="A14" s="266" t="s">
        <v>179</v>
      </c>
      <c r="B14" s="266" t="s">
        <v>180</v>
      </c>
      <c r="C14" s="266">
        <v>70.501000000000005</v>
      </c>
      <c r="D14" s="266">
        <v>72.558999999999997</v>
      </c>
      <c r="E14" s="266">
        <v>73.614000000000004</v>
      </c>
      <c r="F14" s="266">
        <v>74.212000000000003</v>
      </c>
      <c r="G14" s="266">
        <v>74.606999999999999</v>
      </c>
      <c r="H14" s="360">
        <v>75.387</v>
      </c>
      <c r="I14" s="360">
        <v>77.093999999999994</v>
      </c>
      <c r="J14" s="360">
        <v>77.899000000000001</v>
      </c>
      <c r="K14" s="360">
        <v>77.325999999999993</v>
      </c>
      <c r="L14" s="360">
        <v>79.248000000000005</v>
      </c>
      <c r="M14" s="360">
        <v>82.650999999999996</v>
      </c>
      <c r="N14" s="360">
        <v>83.528999999999996</v>
      </c>
      <c r="O14" s="360">
        <v>83.537999999999997</v>
      </c>
      <c r="P14" s="360">
        <v>85.263999999999996</v>
      </c>
      <c r="Q14" s="360">
        <v>88.213999999999999</v>
      </c>
      <c r="R14" s="360">
        <v>91.591999999999999</v>
      </c>
      <c r="S14" s="360">
        <v>94.438000000000002</v>
      </c>
      <c r="T14" s="360">
        <v>97.213999999999999</v>
      </c>
      <c r="U14" s="360">
        <v>102.65300000000001</v>
      </c>
      <c r="V14" s="360">
        <v>100</v>
      </c>
      <c r="W14" s="360">
        <v>103.08499999999999</v>
      </c>
      <c r="X14" s="360">
        <v>109.188</v>
      </c>
      <c r="Y14" s="360">
        <v>111.84</v>
      </c>
      <c r="Z14" s="360">
        <v>112.03100000000001</v>
      </c>
      <c r="AA14" s="360">
        <v>112.688</v>
      </c>
    </row>
    <row r="15" spans="1:27" x14ac:dyDescent="0.2">
      <c r="A15" s="266" t="s">
        <v>181</v>
      </c>
      <c r="B15" s="266" t="s">
        <v>182</v>
      </c>
      <c r="C15" s="266">
        <v>58.472999999999999</v>
      </c>
      <c r="D15" s="266">
        <v>60.698</v>
      </c>
      <c r="E15" s="266">
        <v>62.831000000000003</v>
      </c>
      <c r="F15" s="266">
        <v>65.006</v>
      </c>
      <c r="G15" s="266">
        <v>66.763000000000005</v>
      </c>
      <c r="H15" s="360">
        <v>68.593999999999994</v>
      </c>
      <c r="I15" s="360">
        <v>70.462000000000003</v>
      </c>
      <c r="J15" s="360">
        <v>72.427999999999997</v>
      </c>
      <c r="K15" s="360">
        <v>73.921999999999997</v>
      </c>
      <c r="L15" s="360">
        <v>75.403999999999996</v>
      </c>
      <c r="M15" s="360">
        <v>77.501999999999995</v>
      </c>
      <c r="N15" s="360">
        <v>79.88</v>
      </c>
      <c r="O15" s="360">
        <v>81.968999999999994</v>
      </c>
      <c r="P15" s="360">
        <v>84.533000000000001</v>
      </c>
      <c r="Q15" s="360">
        <v>87.058000000000007</v>
      </c>
      <c r="R15" s="360">
        <v>89.933000000000007</v>
      </c>
      <c r="S15" s="360">
        <v>92.975999999999999</v>
      </c>
      <c r="T15" s="360">
        <v>95.980999999999995</v>
      </c>
      <c r="U15" s="360">
        <v>98.947000000000003</v>
      </c>
      <c r="V15" s="360">
        <v>100</v>
      </c>
      <c r="W15" s="360">
        <v>101.661</v>
      </c>
      <c r="X15" s="360">
        <v>103.524</v>
      </c>
      <c r="Y15" s="360">
        <v>105.84</v>
      </c>
      <c r="Z15" s="360">
        <v>108.292</v>
      </c>
      <c r="AA15" s="360">
        <v>110.818</v>
      </c>
    </row>
    <row r="16" spans="1:27" x14ac:dyDescent="0.2">
      <c r="A16" s="266" t="s">
        <v>183</v>
      </c>
      <c r="B16" s="359" t="s">
        <v>184</v>
      </c>
      <c r="C16" s="322">
        <v>80.108000000000004</v>
      </c>
      <c r="D16" s="322">
        <v>81.459999999999994</v>
      </c>
      <c r="E16" s="322">
        <v>81.430999999999997</v>
      </c>
      <c r="F16" s="322">
        <v>82.396000000000001</v>
      </c>
      <c r="G16" s="322">
        <v>83.608000000000004</v>
      </c>
      <c r="H16" s="360">
        <v>84.933000000000007</v>
      </c>
      <c r="I16" s="360">
        <v>84.87</v>
      </c>
      <c r="J16" s="360">
        <v>84.921999999999997</v>
      </c>
      <c r="K16" s="360">
        <v>84.308999999999997</v>
      </c>
      <c r="L16" s="360">
        <v>84.438999999999993</v>
      </c>
      <c r="M16" s="360">
        <v>85.625</v>
      </c>
      <c r="N16" s="360">
        <v>86.436000000000007</v>
      </c>
      <c r="O16" s="360">
        <v>86.783000000000001</v>
      </c>
      <c r="P16" s="360">
        <v>87.840999999999994</v>
      </c>
      <c r="Q16" s="360">
        <v>90.646000000000001</v>
      </c>
      <c r="R16" s="360">
        <v>94.543999999999997</v>
      </c>
      <c r="S16" s="360">
        <v>98.18</v>
      </c>
      <c r="T16" s="360">
        <v>100.001</v>
      </c>
      <c r="U16" s="360">
        <v>101.02800000000001</v>
      </c>
      <c r="V16" s="360">
        <v>100</v>
      </c>
      <c r="W16" s="360">
        <v>99.108999999999995</v>
      </c>
      <c r="X16" s="360">
        <v>100.453</v>
      </c>
      <c r="Y16" s="360">
        <v>101.9</v>
      </c>
      <c r="Z16" s="360">
        <v>103.44199999999999</v>
      </c>
      <c r="AA16" s="360">
        <v>105.288</v>
      </c>
    </row>
    <row r="17" spans="1:27" x14ac:dyDescent="0.2">
      <c r="A17" s="266" t="s">
        <v>185</v>
      </c>
      <c r="B17" s="266" t="s">
        <v>186</v>
      </c>
      <c r="C17" s="266">
        <v>79.28</v>
      </c>
      <c r="D17" s="266">
        <v>80.662000000000006</v>
      </c>
      <c r="E17" s="266">
        <v>80.677999999999997</v>
      </c>
      <c r="F17" s="266">
        <v>81.647000000000006</v>
      </c>
      <c r="G17" s="266">
        <v>82.885999999999996</v>
      </c>
      <c r="H17" s="360">
        <v>84.242000000000004</v>
      </c>
      <c r="I17" s="360">
        <v>84.298000000000002</v>
      </c>
      <c r="J17" s="360">
        <v>84.447999999999993</v>
      </c>
      <c r="K17" s="360">
        <v>83.995000000000005</v>
      </c>
      <c r="L17" s="360">
        <v>84.186000000000007</v>
      </c>
      <c r="M17" s="360">
        <v>85.45</v>
      </c>
      <c r="N17" s="360">
        <v>86.268000000000001</v>
      </c>
      <c r="O17" s="360">
        <v>86.614000000000004</v>
      </c>
      <c r="P17" s="360">
        <v>87.733999999999995</v>
      </c>
      <c r="Q17" s="360">
        <v>90.546000000000006</v>
      </c>
      <c r="R17" s="360">
        <v>94.507000000000005</v>
      </c>
      <c r="S17" s="360">
        <v>98.167000000000002</v>
      </c>
      <c r="T17" s="360">
        <v>99.988</v>
      </c>
      <c r="U17" s="360">
        <v>100.996</v>
      </c>
      <c r="V17" s="360">
        <v>100</v>
      </c>
      <c r="W17" s="360">
        <v>99.18</v>
      </c>
      <c r="X17" s="360">
        <v>100.524</v>
      </c>
      <c r="Y17" s="360">
        <v>102.062</v>
      </c>
      <c r="Z17" s="360">
        <v>103.652</v>
      </c>
      <c r="AA17" s="360">
        <v>105.663</v>
      </c>
    </row>
    <row r="18" spans="1:27" x14ac:dyDescent="0.2">
      <c r="A18" s="266" t="s">
        <v>187</v>
      </c>
      <c r="B18" s="266" t="s">
        <v>188</v>
      </c>
      <c r="C18" s="266">
        <v>90.412999999999997</v>
      </c>
      <c r="D18" s="266">
        <v>92.116</v>
      </c>
      <c r="E18" s="266">
        <v>91.772999999999996</v>
      </c>
      <c r="F18" s="266">
        <v>91.968000000000004</v>
      </c>
      <c r="G18" s="266">
        <v>92.667000000000002</v>
      </c>
      <c r="H18" s="360">
        <v>93.558000000000007</v>
      </c>
      <c r="I18" s="360">
        <v>92.968999999999994</v>
      </c>
      <c r="J18" s="360">
        <v>92.453000000000003</v>
      </c>
      <c r="K18" s="360">
        <v>91.010999999999996</v>
      </c>
      <c r="L18" s="360">
        <v>90.167000000000002</v>
      </c>
      <c r="M18" s="360">
        <v>90.661000000000001</v>
      </c>
      <c r="N18" s="360">
        <v>90.393000000000001</v>
      </c>
      <c r="O18" s="360">
        <v>90.046999999999997</v>
      </c>
      <c r="P18" s="360">
        <v>89.885000000000005</v>
      </c>
      <c r="Q18" s="360">
        <v>91.141000000000005</v>
      </c>
      <c r="R18" s="360">
        <v>93.83</v>
      </c>
      <c r="S18" s="360">
        <v>96.561000000000007</v>
      </c>
      <c r="T18" s="360">
        <v>98.573999999999998</v>
      </c>
      <c r="U18" s="360">
        <v>100.337</v>
      </c>
      <c r="V18" s="360">
        <v>100</v>
      </c>
      <c r="W18" s="360">
        <v>99.07</v>
      </c>
      <c r="X18" s="360">
        <v>100.545</v>
      </c>
      <c r="Y18" s="360">
        <v>102.21599999999999</v>
      </c>
      <c r="Z18" s="360">
        <v>102.99299999999999</v>
      </c>
      <c r="AA18" s="360">
        <v>103.977</v>
      </c>
    </row>
    <row r="19" spans="1:27" x14ac:dyDescent="0.2">
      <c r="A19" s="266" t="s">
        <v>189</v>
      </c>
      <c r="B19" s="266" t="s">
        <v>190</v>
      </c>
      <c r="C19" s="266">
        <v>44.156999999999996</v>
      </c>
      <c r="D19" s="266">
        <v>44.957000000000001</v>
      </c>
      <c r="E19" s="266">
        <v>44.966999999999999</v>
      </c>
      <c r="F19" s="266">
        <v>46.286000000000001</v>
      </c>
      <c r="G19" s="266">
        <v>47.92</v>
      </c>
      <c r="H19" s="360">
        <v>49.996000000000002</v>
      </c>
      <c r="I19" s="360">
        <v>51.265999999999998</v>
      </c>
      <c r="J19" s="360">
        <v>53.222999999999999</v>
      </c>
      <c r="K19" s="360">
        <v>55.658999999999999</v>
      </c>
      <c r="L19" s="360">
        <v>57.378</v>
      </c>
      <c r="M19" s="360">
        <v>59.634999999999998</v>
      </c>
      <c r="N19" s="360">
        <v>62.762</v>
      </c>
      <c r="O19" s="360">
        <v>65.403999999999996</v>
      </c>
      <c r="P19" s="360">
        <v>67.774000000000001</v>
      </c>
      <c r="Q19" s="360">
        <v>72.879000000000005</v>
      </c>
      <c r="R19" s="360">
        <v>82.055999999999997</v>
      </c>
      <c r="S19" s="360">
        <v>92.048000000000002</v>
      </c>
      <c r="T19" s="360">
        <v>97.62</v>
      </c>
      <c r="U19" s="360">
        <v>102.259</v>
      </c>
      <c r="V19" s="360">
        <v>100</v>
      </c>
      <c r="W19" s="360">
        <v>98.843999999999994</v>
      </c>
      <c r="X19" s="360">
        <v>101.851</v>
      </c>
      <c r="Y19" s="360">
        <v>105.884</v>
      </c>
      <c r="Z19" s="360">
        <v>107.541</v>
      </c>
      <c r="AA19" s="360">
        <v>109.12</v>
      </c>
    </row>
    <row r="20" spans="1:27" x14ac:dyDescent="0.2">
      <c r="A20" s="266" t="s">
        <v>191</v>
      </c>
      <c r="B20" s="266" t="s">
        <v>192</v>
      </c>
      <c r="C20" s="266">
        <v>124.59399999999999</v>
      </c>
      <c r="D20" s="266">
        <v>126.705</v>
      </c>
      <c r="E20" s="266">
        <v>126.51300000000001</v>
      </c>
      <c r="F20" s="266">
        <v>125.03400000000001</v>
      </c>
      <c r="G20" s="266">
        <v>124.812</v>
      </c>
      <c r="H20" s="360">
        <v>123.44499999999999</v>
      </c>
      <c r="I20" s="360">
        <v>120.646</v>
      </c>
      <c r="J20" s="360">
        <v>117.318</v>
      </c>
      <c r="K20" s="360">
        <v>112.054</v>
      </c>
      <c r="L20" s="360">
        <v>107.72799999999999</v>
      </c>
      <c r="M20" s="360">
        <v>105.386</v>
      </c>
      <c r="N20" s="360">
        <v>102.28</v>
      </c>
      <c r="O20" s="360">
        <v>100.246</v>
      </c>
      <c r="P20" s="360">
        <v>98.52</v>
      </c>
      <c r="Q20" s="360">
        <v>98.36</v>
      </c>
      <c r="R20" s="360">
        <v>98.638999999999996</v>
      </c>
      <c r="S20" s="360">
        <v>98.316999999999993</v>
      </c>
      <c r="T20" s="360">
        <v>98.602000000000004</v>
      </c>
      <c r="U20" s="360">
        <v>98.691000000000003</v>
      </c>
      <c r="V20" s="360">
        <v>100</v>
      </c>
      <c r="W20" s="360">
        <v>98.009</v>
      </c>
      <c r="X20" s="360">
        <v>98.858000000000004</v>
      </c>
      <c r="Y20" s="360">
        <v>99.861000000000004</v>
      </c>
      <c r="Z20" s="360">
        <v>100.29</v>
      </c>
      <c r="AA20" s="360">
        <v>101.03</v>
      </c>
    </row>
    <row r="21" spans="1:27" x14ac:dyDescent="0.2">
      <c r="A21" s="266" t="s">
        <v>193</v>
      </c>
      <c r="B21" s="266" t="s">
        <v>194</v>
      </c>
      <c r="C21" s="266">
        <v>86.456000000000003</v>
      </c>
      <c r="D21" s="266">
        <v>88.504999999999995</v>
      </c>
      <c r="E21" s="266">
        <v>87.460999999999999</v>
      </c>
      <c r="F21" s="266">
        <v>88.067999999999998</v>
      </c>
      <c r="G21" s="266">
        <v>88.421999999999997</v>
      </c>
      <c r="H21" s="360">
        <v>90.900999999999996</v>
      </c>
      <c r="I21" s="360">
        <v>91.212000000000003</v>
      </c>
      <c r="J21" s="360">
        <v>91.724999999999994</v>
      </c>
      <c r="K21" s="360">
        <v>91.32</v>
      </c>
      <c r="L21" s="360">
        <v>93.073999999999998</v>
      </c>
      <c r="M21" s="360">
        <v>96.128</v>
      </c>
      <c r="N21" s="360">
        <v>96.408000000000001</v>
      </c>
      <c r="O21" s="360">
        <v>95.408000000000001</v>
      </c>
      <c r="P21" s="360">
        <v>95.192999999999998</v>
      </c>
      <c r="Q21" s="360">
        <v>95.11</v>
      </c>
      <c r="R21" s="360">
        <v>95.986999999999995</v>
      </c>
      <c r="S21" s="360">
        <v>97.509</v>
      </c>
      <c r="T21" s="360">
        <v>99.180999999999997</v>
      </c>
      <c r="U21" s="360">
        <v>100.827</v>
      </c>
      <c r="V21" s="360">
        <v>100</v>
      </c>
      <c r="W21" s="360">
        <v>100.541</v>
      </c>
      <c r="X21" s="360">
        <v>101.883</v>
      </c>
      <c r="Y21" s="360">
        <v>102.967</v>
      </c>
      <c r="Z21" s="360">
        <v>103.67100000000001</v>
      </c>
      <c r="AA21" s="360">
        <v>104.61799999999999</v>
      </c>
    </row>
    <row r="22" spans="1:27" x14ac:dyDescent="0.2">
      <c r="A22" s="266" t="s">
        <v>195</v>
      </c>
      <c r="B22" s="266" t="s">
        <v>196</v>
      </c>
      <c r="C22" s="266">
        <v>57.104999999999997</v>
      </c>
      <c r="D22" s="266">
        <v>57.847999999999999</v>
      </c>
      <c r="E22" s="266">
        <v>58.561</v>
      </c>
      <c r="F22" s="266">
        <v>60.945</v>
      </c>
      <c r="G22" s="266">
        <v>63.15</v>
      </c>
      <c r="H22" s="360">
        <v>65.408000000000001</v>
      </c>
      <c r="I22" s="360">
        <v>66.811999999999998</v>
      </c>
      <c r="J22" s="360">
        <v>68.424000000000007</v>
      </c>
      <c r="K22" s="360">
        <v>70.228999999999999</v>
      </c>
      <c r="L22" s="360">
        <v>72.86</v>
      </c>
      <c r="M22" s="360">
        <v>76.093000000000004</v>
      </c>
      <c r="N22" s="360">
        <v>79.704999999999998</v>
      </c>
      <c r="O22" s="360">
        <v>81.679000000000002</v>
      </c>
      <c r="P22" s="360">
        <v>85.549000000000007</v>
      </c>
      <c r="Q22" s="360">
        <v>91.546000000000006</v>
      </c>
      <c r="R22" s="360">
        <v>98.102999999999994</v>
      </c>
      <c r="S22" s="360">
        <v>103.821</v>
      </c>
      <c r="T22" s="360">
        <v>105.176</v>
      </c>
      <c r="U22" s="360">
        <v>103.64700000000001</v>
      </c>
      <c r="V22" s="360">
        <v>100</v>
      </c>
      <c r="W22" s="360">
        <v>99.644999999999996</v>
      </c>
      <c r="X22" s="360">
        <v>100.395</v>
      </c>
      <c r="Y22" s="360">
        <v>101.324</v>
      </c>
      <c r="Z22" s="360">
        <v>106.458</v>
      </c>
      <c r="AA22" s="360">
        <v>112.90300000000001</v>
      </c>
    </row>
    <row r="23" spans="1:27" x14ac:dyDescent="0.2">
      <c r="A23" s="266" t="s">
        <v>197</v>
      </c>
      <c r="B23" s="266" t="s">
        <v>198</v>
      </c>
      <c r="C23" s="266" t="s">
        <v>199</v>
      </c>
      <c r="D23" s="266" t="s">
        <v>199</v>
      </c>
      <c r="E23" s="266" t="s">
        <v>199</v>
      </c>
      <c r="F23" s="266" t="s">
        <v>199</v>
      </c>
      <c r="G23" s="266" t="s">
        <v>199</v>
      </c>
      <c r="H23" s="360" t="s">
        <v>199</v>
      </c>
      <c r="I23" s="360" t="s">
        <v>199</v>
      </c>
      <c r="J23" s="360" t="s">
        <v>199</v>
      </c>
      <c r="K23" s="360" t="s">
        <v>199</v>
      </c>
      <c r="L23" s="360" t="s">
        <v>199</v>
      </c>
      <c r="M23" s="360" t="s">
        <v>199</v>
      </c>
      <c r="N23" s="360" t="s">
        <v>199</v>
      </c>
      <c r="O23" s="360" t="s">
        <v>199</v>
      </c>
      <c r="P23" s="360" t="s">
        <v>199</v>
      </c>
      <c r="Q23" s="360" t="s">
        <v>199</v>
      </c>
      <c r="R23" s="360" t="s">
        <v>199</v>
      </c>
      <c r="S23" s="360" t="s">
        <v>199</v>
      </c>
      <c r="T23" s="360" t="s">
        <v>199</v>
      </c>
      <c r="U23" s="360" t="s">
        <v>199</v>
      </c>
      <c r="V23" s="360" t="s">
        <v>199</v>
      </c>
      <c r="W23" s="360" t="s">
        <v>199</v>
      </c>
      <c r="X23" s="360" t="s">
        <v>199</v>
      </c>
      <c r="Y23" s="360" t="s">
        <v>199</v>
      </c>
      <c r="Z23" s="360" t="s">
        <v>199</v>
      </c>
      <c r="AA23" s="360" t="s">
        <v>199</v>
      </c>
    </row>
    <row r="24" spans="1:27" x14ac:dyDescent="0.2">
      <c r="A24" s="266" t="s">
        <v>200</v>
      </c>
      <c r="B24" s="359" t="s">
        <v>201</v>
      </c>
      <c r="C24" s="322" t="s">
        <v>199</v>
      </c>
      <c r="D24" s="322" t="s">
        <v>199</v>
      </c>
      <c r="E24" s="322" t="s">
        <v>199</v>
      </c>
      <c r="F24" s="322" t="s">
        <v>199</v>
      </c>
      <c r="G24" s="322" t="s">
        <v>199</v>
      </c>
      <c r="H24" s="360" t="s">
        <v>199</v>
      </c>
      <c r="I24" s="360" t="s">
        <v>199</v>
      </c>
      <c r="J24" s="360" t="s">
        <v>199</v>
      </c>
      <c r="K24" s="360" t="s">
        <v>199</v>
      </c>
      <c r="L24" s="360" t="s">
        <v>199</v>
      </c>
      <c r="M24" s="360" t="s">
        <v>199</v>
      </c>
      <c r="N24" s="360" t="s">
        <v>199</v>
      </c>
      <c r="O24" s="360" t="s">
        <v>199</v>
      </c>
      <c r="P24" s="360" t="s">
        <v>199</v>
      </c>
      <c r="Q24" s="360" t="s">
        <v>199</v>
      </c>
      <c r="R24" s="360" t="s">
        <v>199</v>
      </c>
      <c r="S24" s="360" t="s">
        <v>199</v>
      </c>
      <c r="T24" s="360" t="s">
        <v>199</v>
      </c>
      <c r="U24" s="360" t="s">
        <v>199</v>
      </c>
      <c r="V24" s="360" t="s">
        <v>199</v>
      </c>
      <c r="W24" s="360" t="s">
        <v>199</v>
      </c>
      <c r="X24" s="360" t="s">
        <v>199</v>
      </c>
      <c r="Y24" s="360" t="s">
        <v>199</v>
      </c>
      <c r="Z24" s="360" t="s">
        <v>199</v>
      </c>
      <c r="AA24" s="360" t="s">
        <v>199</v>
      </c>
    </row>
    <row r="25" spans="1:27" x14ac:dyDescent="0.2">
      <c r="A25" s="266" t="s">
        <v>202</v>
      </c>
      <c r="B25" s="266" t="s">
        <v>203</v>
      </c>
      <c r="C25" s="266">
        <v>87.460999999999999</v>
      </c>
      <c r="D25" s="266">
        <v>88.436000000000007</v>
      </c>
      <c r="E25" s="266">
        <v>88.004000000000005</v>
      </c>
      <c r="F25" s="266">
        <v>88.138999999999996</v>
      </c>
      <c r="G25" s="266">
        <v>89.159000000000006</v>
      </c>
      <c r="H25" s="360">
        <v>91.153000000000006</v>
      </c>
      <c r="I25" s="360">
        <v>89.936999999999998</v>
      </c>
      <c r="J25" s="360">
        <v>88.349000000000004</v>
      </c>
      <c r="K25" s="360">
        <v>86.257999999999996</v>
      </c>
      <c r="L25" s="360">
        <v>85.578000000000003</v>
      </c>
      <c r="M25" s="360">
        <v>87.159000000000006</v>
      </c>
      <c r="N25" s="360">
        <v>86.649000000000001</v>
      </c>
      <c r="O25" s="360">
        <v>86.091999999999999</v>
      </c>
      <c r="P25" s="360">
        <v>87.786000000000001</v>
      </c>
      <c r="Q25" s="360">
        <v>90.844999999999999</v>
      </c>
      <c r="R25" s="360">
        <v>94.716999999999999</v>
      </c>
      <c r="S25" s="360">
        <v>97.978999999999999</v>
      </c>
      <c r="T25" s="360">
        <v>101.107</v>
      </c>
      <c r="U25" s="360">
        <v>105.809</v>
      </c>
      <c r="V25" s="360">
        <v>100</v>
      </c>
      <c r="W25" s="360">
        <v>104.26300000000001</v>
      </c>
      <c r="X25" s="360">
        <v>110.96</v>
      </c>
      <c r="Y25" s="360">
        <v>111.97</v>
      </c>
      <c r="Z25" s="360">
        <v>112.14700000000001</v>
      </c>
      <c r="AA25" s="360">
        <v>112.25</v>
      </c>
    </row>
    <row r="26" spans="1:27" x14ac:dyDescent="0.2">
      <c r="A26" s="266" t="s">
        <v>204</v>
      </c>
      <c r="B26" s="266" t="s">
        <v>205</v>
      </c>
      <c r="C26" s="266">
        <v>94.667000000000002</v>
      </c>
      <c r="D26" s="266">
        <v>94.623999999999995</v>
      </c>
      <c r="E26" s="266">
        <v>93.144999999999996</v>
      </c>
      <c r="F26" s="266">
        <v>92.674999999999997</v>
      </c>
      <c r="G26" s="266">
        <v>93.727999999999994</v>
      </c>
      <c r="H26" s="360">
        <v>95.953999999999994</v>
      </c>
      <c r="I26" s="360">
        <v>93.513999999999996</v>
      </c>
      <c r="J26" s="360">
        <v>90.918000000000006</v>
      </c>
      <c r="K26" s="360">
        <v>88.051000000000002</v>
      </c>
      <c r="L26" s="360">
        <v>86.858999999999995</v>
      </c>
      <c r="M26" s="360">
        <v>88.364999999999995</v>
      </c>
      <c r="N26" s="360">
        <v>87.85</v>
      </c>
      <c r="O26" s="360">
        <v>87.204999999999998</v>
      </c>
      <c r="P26" s="360">
        <v>88.991</v>
      </c>
      <c r="Q26" s="360">
        <v>92.248000000000005</v>
      </c>
      <c r="R26" s="360">
        <v>95.468999999999994</v>
      </c>
      <c r="S26" s="360">
        <v>98.828000000000003</v>
      </c>
      <c r="T26" s="360">
        <v>102.18600000000001</v>
      </c>
      <c r="U26" s="360">
        <v>107.20399999999999</v>
      </c>
      <c r="V26" s="360">
        <v>100</v>
      </c>
      <c r="W26" s="360">
        <v>105.033</v>
      </c>
      <c r="X26" s="360">
        <v>113.048</v>
      </c>
      <c r="Y26" s="360">
        <v>113.526</v>
      </c>
      <c r="Z26" s="360">
        <v>112.923</v>
      </c>
      <c r="AA26" s="360">
        <v>112.125</v>
      </c>
    </row>
    <row r="27" spans="1:27" x14ac:dyDescent="0.2">
      <c r="A27" s="266" t="s">
        <v>206</v>
      </c>
      <c r="B27" s="266" t="s">
        <v>207</v>
      </c>
      <c r="C27" s="266">
        <v>71.313999999999993</v>
      </c>
      <c r="D27" s="266">
        <v>74.358000000000004</v>
      </c>
      <c r="E27" s="266">
        <v>76.105000000000004</v>
      </c>
      <c r="F27" s="266">
        <v>77.506</v>
      </c>
      <c r="G27" s="266">
        <v>78.445999999999998</v>
      </c>
      <c r="H27" s="360">
        <v>79.921999999999997</v>
      </c>
      <c r="I27" s="360">
        <v>81.498000000000005</v>
      </c>
      <c r="J27" s="360">
        <v>82.323999999999998</v>
      </c>
      <c r="K27" s="360">
        <v>82.152000000000001</v>
      </c>
      <c r="L27" s="360">
        <v>82.772000000000006</v>
      </c>
      <c r="M27" s="360">
        <v>84.543999999999997</v>
      </c>
      <c r="N27" s="360">
        <v>84.046999999999997</v>
      </c>
      <c r="O27" s="360">
        <v>83.701999999999998</v>
      </c>
      <c r="P27" s="360">
        <v>85.185000000000002</v>
      </c>
      <c r="Q27" s="360">
        <v>87.787000000000006</v>
      </c>
      <c r="R27" s="360">
        <v>93.179000000000002</v>
      </c>
      <c r="S27" s="360">
        <v>96.218999999999994</v>
      </c>
      <c r="T27" s="360">
        <v>98.822999999999993</v>
      </c>
      <c r="U27" s="360">
        <v>102.813</v>
      </c>
      <c r="V27" s="360">
        <v>100</v>
      </c>
      <c r="W27" s="360">
        <v>102.64100000000001</v>
      </c>
      <c r="X27" s="360">
        <v>106.477</v>
      </c>
      <c r="Y27" s="360">
        <v>108.64</v>
      </c>
      <c r="Z27" s="360">
        <v>110.514</v>
      </c>
      <c r="AA27" s="360">
        <v>112.608</v>
      </c>
    </row>
    <row r="28" spans="1:27" x14ac:dyDescent="0.2">
      <c r="A28" s="266" t="s">
        <v>208</v>
      </c>
      <c r="B28" s="266" t="s">
        <v>209</v>
      </c>
      <c r="C28" s="266">
        <v>88.138000000000005</v>
      </c>
      <c r="D28" s="266">
        <v>87.403999999999996</v>
      </c>
      <c r="E28" s="266">
        <v>87.474000000000004</v>
      </c>
      <c r="F28" s="266">
        <v>86.804000000000002</v>
      </c>
      <c r="G28" s="266">
        <v>87.619</v>
      </c>
      <c r="H28" s="360">
        <v>90.02</v>
      </c>
      <c r="I28" s="360">
        <v>88.450999999999993</v>
      </c>
      <c r="J28" s="360">
        <v>85.376000000000005</v>
      </c>
      <c r="K28" s="360">
        <v>80.778999999999996</v>
      </c>
      <c r="L28" s="360">
        <v>81.28</v>
      </c>
      <c r="M28" s="360">
        <v>84.817999999999998</v>
      </c>
      <c r="N28" s="360">
        <v>82.715999999999994</v>
      </c>
      <c r="O28" s="360">
        <v>81.712000000000003</v>
      </c>
      <c r="P28" s="360">
        <v>84.512</v>
      </c>
      <c r="Q28" s="360">
        <v>88.471000000000004</v>
      </c>
      <c r="R28" s="360">
        <v>93.802000000000007</v>
      </c>
      <c r="S28" s="360">
        <v>97.662999999999997</v>
      </c>
      <c r="T28" s="360">
        <v>101.024</v>
      </c>
      <c r="U28" s="360">
        <v>111.58799999999999</v>
      </c>
      <c r="V28" s="360">
        <v>100</v>
      </c>
      <c r="W28" s="360">
        <v>105.8</v>
      </c>
      <c r="X28" s="360">
        <v>113.94199999999999</v>
      </c>
      <c r="Y28" s="360">
        <v>114.67100000000001</v>
      </c>
      <c r="Z28" s="360">
        <v>113.798</v>
      </c>
      <c r="AA28" s="360">
        <v>113.566</v>
      </c>
    </row>
    <row r="29" spans="1:27" x14ac:dyDescent="0.2">
      <c r="A29" s="266" t="s">
        <v>210</v>
      </c>
      <c r="B29" s="266" t="s">
        <v>205</v>
      </c>
      <c r="C29" s="266">
        <v>93.141000000000005</v>
      </c>
      <c r="D29" s="266">
        <v>91.38</v>
      </c>
      <c r="E29" s="266">
        <v>90.881</v>
      </c>
      <c r="F29" s="266">
        <v>89.864999999999995</v>
      </c>
      <c r="G29" s="266">
        <v>90.52</v>
      </c>
      <c r="H29" s="360">
        <v>92.933000000000007</v>
      </c>
      <c r="I29" s="360">
        <v>90.576999999999998</v>
      </c>
      <c r="J29" s="360">
        <v>86.835999999999999</v>
      </c>
      <c r="K29" s="360">
        <v>81.59</v>
      </c>
      <c r="L29" s="360">
        <v>81.686999999999998</v>
      </c>
      <c r="M29" s="360">
        <v>85.988</v>
      </c>
      <c r="N29" s="360">
        <v>83.548000000000002</v>
      </c>
      <c r="O29" s="360">
        <v>82.084999999999994</v>
      </c>
      <c r="P29" s="360">
        <v>84.552999999999997</v>
      </c>
      <c r="Q29" s="360">
        <v>88.7</v>
      </c>
      <c r="R29" s="360">
        <v>94.581000000000003</v>
      </c>
      <c r="S29" s="360">
        <v>98.665000000000006</v>
      </c>
      <c r="T29" s="360">
        <v>102.188</v>
      </c>
      <c r="U29" s="360">
        <v>113.852</v>
      </c>
      <c r="V29" s="360">
        <v>100</v>
      </c>
      <c r="W29" s="360">
        <v>106.73699999999999</v>
      </c>
      <c r="X29" s="360">
        <v>116.178</v>
      </c>
      <c r="Y29" s="360">
        <v>116.91800000000001</v>
      </c>
      <c r="Z29" s="360">
        <v>115.598</v>
      </c>
      <c r="AA29" s="360">
        <v>115.02500000000001</v>
      </c>
    </row>
    <row r="30" spans="1:27" x14ac:dyDescent="0.2">
      <c r="A30" s="266" t="s">
        <v>211</v>
      </c>
      <c r="B30" s="266" t="s">
        <v>207</v>
      </c>
      <c r="C30" s="266">
        <v>68.561000000000007</v>
      </c>
      <c r="D30" s="266">
        <v>71.069000000000003</v>
      </c>
      <c r="E30" s="266">
        <v>73.063999999999993</v>
      </c>
      <c r="F30" s="266">
        <v>73.683999999999997</v>
      </c>
      <c r="G30" s="266">
        <v>75.13</v>
      </c>
      <c r="H30" s="360">
        <v>77.474999999999994</v>
      </c>
      <c r="I30" s="360">
        <v>79.408000000000001</v>
      </c>
      <c r="J30" s="360">
        <v>79.406000000000006</v>
      </c>
      <c r="K30" s="360">
        <v>77.852999999999994</v>
      </c>
      <c r="L30" s="360">
        <v>80.427999999999997</v>
      </c>
      <c r="M30" s="360">
        <v>80.012</v>
      </c>
      <c r="N30" s="360">
        <v>79.635999999999996</v>
      </c>
      <c r="O30" s="360">
        <v>80.972999999999999</v>
      </c>
      <c r="P30" s="360">
        <v>85.548000000000002</v>
      </c>
      <c r="Q30" s="360">
        <v>88.575999999999993</v>
      </c>
      <c r="R30" s="360">
        <v>91.088999999999999</v>
      </c>
      <c r="S30" s="360">
        <v>93.825999999999993</v>
      </c>
      <c r="T30" s="360">
        <v>96.417000000000002</v>
      </c>
      <c r="U30" s="360">
        <v>101.809</v>
      </c>
      <c r="V30" s="360">
        <v>100</v>
      </c>
      <c r="W30" s="360">
        <v>101.816</v>
      </c>
      <c r="X30" s="360">
        <v>104.105</v>
      </c>
      <c r="Y30" s="360">
        <v>104.789</v>
      </c>
      <c r="Z30" s="360">
        <v>105.929</v>
      </c>
      <c r="AA30" s="360">
        <v>107.247</v>
      </c>
    </row>
    <row r="31" spans="1:27" x14ac:dyDescent="0.2">
      <c r="A31" s="266" t="s">
        <v>212</v>
      </c>
      <c r="B31" s="359" t="s">
        <v>213</v>
      </c>
      <c r="C31" s="322">
        <v>55.673000000000002</v>
      </c>
      <c r="D31" s="322">
        <v>57.671999999999997</v>
      </c>
      <c r="E31" s="322">
        <v>59.472999999999999</v>
      </c>
      <c r="F31" s="322">
        <v>60.893000000000001</v>
      </c>
      <c r="G31" s="322">
        <v>62.51</v>
      </c>
      <c r="H31" s="360">
        <v>64.323999999999998</v>
      </c>
      <c r="I31" s="360">
        <v>65.656000000000006</v>
      </c>
      <c r="J31" s="360">
        <v>66.932000000000002</v>
      </c>
      <c r="K31" s="360">
        <v>68.067999999999998</v>
      </c>
      <c r="L31" s="360">
        <v>70.403000000000006</v>
      </c>
      <c r="M31" s="360">
        <v>73.430999999999997</v>
      </c>
      <c r="N31" s="360">
        <v>75.558999999999997</v>
      </c>
      <c r="O31" s="360">
        <v>77.426000000000002</v>
      </c>
      <c r="P31" s="360">
        <v>80.340999999999994</v>
      </c>
      <c r="Q31" s="360">
        <v>83.947000000000003</v>
      </c>
      <c r="R31" s="360">
        <v>88.234999999999999</v>
      </c>
      <c r="S31" s="360">
        <v>92.085999999999999</v>
      </c>
      <c r="T31" s="360">
        <v>96.14</v>
      </c>
      <c r="U31" s="360">
        <v>100.282</v>
      </c>
      <c r="V31" s="360">
        <v>100</v>
      </c>
      <c r="W31" s="360">
        <v>102.673</v>
      </c>
      <c r="X31" s="360">
        <v>105.717</v>
      </c>
      <c r="Y31" s="360">
        <v>107.378</v>
      </c>
      <c r="Z31" s="360">
        <v>109.086</v>
      </c>
      <c r="AA31" s="360">
        <v>111.057</v>
      </c>
    </row>
    <row r="32" spans="1:27" x14ac:dyDescent="0.2">
      <c r="A32" s="266" t="s">
        <v>214</v>
      </c>
      <c r="B32" s="266" t="s">
        <v>215</v>
      </c>
      <c r="C32" s="266">
        <v>60.807000000000002</v>
      </c>
      <c r="D32" s="266">
        <v>63.067999999999998</v>
      </c>
      <c r="E32" s="266">
        <v>64.641999999999996</v>
      </c>
      <c r="F32" s="266">
        <v>66.040000000000006</v>
      </c>
      <c r="G32" s="266">
        <v>67.790000000000006</v>
      </c>
      <c r="H32" s="360">
        <v>69.944999999999993</v>
      </c>
      <c r="I32" s="360">
        <v>71.129000000000005</v>
      </c>
      <c r="J32" s="360">
        <v>72.224000000000004</v>
      </c>
      <c r="K32" s="360">
        <v>73.058999999999997</v>
      </c>
      <c r="L32" s="360">
        <v>74.867000000000004</v>
      </c>
      <c r="M32" s="360">
        <v>77.340999999999994</v>
      </c>
      <c r="N32" s="360">
        <v>78.748000000000005</v>
      </c>
      <c r="O32" s="360">
        <v>81.31</v>
      </c>
      <c r="P32" s="360">
        <v>84.772999999999996</v>
      </c>
      <c r="Q32" s="360">
        <v>87.736000000000004</v>
      </c>
      <c r="R32" s="360">
        <v>91.448999999999998</v>
      </c>
      <c r="S32" s="360">
        <v>94.447999999999993</v>
      </c>
      <c r="T32" s="360">
        <v>97.319000000000003</v>
      </c>
      <c r="U32" s="360">
        <v>100.286</v>
      </c>
      <c r="V32" s="360">
        <v>100</v>
      </c>
      <c r="W32" s="360">
        <v>102.614</v>
      </c>
      <c r="X32" s="360">
        <v>105.422</v>
      </c>
      <c r="Y32" s="360">
        <v>106.512</v>
      </c>
      <c r="Z32" s="360">
        <v>107.562</v>
      </c>
      <c r="AA32" s="360">
        <v>109.274</v>
      </c>
    </row>
    <row r="33" spans="1:27" x14ac:dyDescent="0.2">
      <c r="A33" s="266" t="s">
        <v>216</v>
      </c>
      <c r="B33" s="266" t="s">
        <v>217</v>
      </c>
      <c r="C33" s="266">
        <v>60.88</v>
      </c>
      <c r="D33" s="266">
        <v>62.887999999999998</v>
      </c>
      <c r="E33" s="266">
        <v>64.661000000000001</v>
      </c>
      <c r="F33" s="266">
        <v>65.635999999999996</v>
      </c>
      <c r="G33" s="266">
        <v>67.260999999999996</v>
      </c>
      <c r="H33" s="360">
        <v>69.266000000000005</v>
      </c>
      <c r="I33" s="360">
        <v>70.450999999999993</v>
      </c>
      <c r="J33" s="360">
        <v>71.435000000000002</v>
      </c>
      <c r="K33" s="360">
        <v>72.23</v>
      </c>
      <c r="L33" s="360">
        <v>74.034000000000006</v>
      </c>
      <c r="M33" s="360">
        <v>76.466999999999999</v>
      </c>
      <c r="N33" s="360">
        <v>77.873999999999995</v>
      </c>
      <c r="O33" s="360">
        <v>80.528999999999996</v>
      </c>
      <c r="P33" s="360">
        <v>84.474999999999994</v>
      </c>
      <c r="Q33" s="360">
        <v>87.370999999999995</v>
      </c>
      <c r="R33" s="360">
        <v>91.394999999999996</v>
      </c>
      <c r="S33" s="360">
        <v>94.632999999999996</v>
      </c>
      <c r="T33" s="360">
        <v>97.572000000000003</v>
      </c>
      <c r="U33" s="360">
        <v>100.809</v>
      </c>
      <c r="V33" s="360">
        <v>100</v>
      </c>
      <c r="W33" s="360">
        <v>102.36499999999999</v>
      </c>
      <c r="X33" s="360">
        <v>105.274</v>
      </c>
      <c r="Y33" s="360">
        <v>106.46599999999999</v>
      </c>
      <c r="Z33" s="360">
        <v>107.13</v>
      </c>
      <c r="AA33" s="360">
        <v>108.58499999999999</v>
      </c>
    </row>
    <row r="34" spans="1:27" x14ac:dyDescent="0.2">
      <c r="A34" s="266" t="s">
        <v>218</v>
      </c>
      <c r="B34" s="266" t="s">
        <v>219</v>
      </c>
      <c r="C34" s="266">
        <v>60.347000000000001</v>
      </c>
      <c r="D34" s="266">
        <v>63.228000000000002</v>
      </c>
      <c r="E34" s="266">
        <v>64.332999999999998</v>
      </c>
      <c r="F34" s="266">
        <v>66.638000000000005</v>
      </c>
      <c r="G34" s="266">
        <v>68.638999999999996</v>
      </c>
      <c r="H34" s="360">
        <v>71.085999999999999</v>
      </c>
      <c r="I34" s="360">
        <v>72.266999999999996</v>
      </c>
      <c r="J34" s="360">
        <v>73.566000000000003</v>
      </c>
      <c r="K34" s="360">
        <v>74.471000000000004</v>
      </c>
      <c r="L34" s="360">
        <v>76.284999999999997</v>
      </c>
      <c r="M34" s="360">
        <v>78.828999999999994</v>
      </c>
      <c r="N34" s="360">
        <v>80.236999999999995</v>
      </c>
      <c r="O34" s="360">
        <v>82.644999999999996</v>
      </c>
      <c r="P34" s="360">
        <v>85.296999999999997</v>
      </c>
      <c r="Q34" s="360">
        <v>88.376999999999995</v>
      </c>
      <c r="R34" s="360">
        <v>91.528999999999996</v>
      </c>
      <c r="S34" s="360">
        <v>94.100999999999999</v>
      </c>
      <c r="T34" s="360">
        <v>96.849000000000004</v>
      </c>
      <c r="U34" s="360">
        <v>99.320999999999998</v>
      </c>
      <c r="V34" s="360">
        <v>100</v>
      </c>
      <c r="W34" s="360">
        <v>103.06399999999999</v>
      </c>
      <c r="X34" s="360">
        <v>105.691</v>
      </c>
      <c r="Y34" s="360">
        <v>106.6</v>
      </c>
      <c r="Z34" s="360">
        <v>108.30800000000001</v>
      </c>
      <c r="AA34" s="360">
        <v>110.444</v>
      </c>
    </row>
    <row r="35" spans="1:27" x14ac:dyDescent="0.2">
      <c r="A35" s="266" t="s">
        <v>220</v>
      </c>
      <c r="B35" s="266" t="s">
        <v>221</v>
      </c>
      <c r="C35" s="266">
        <v>52.780999999999999</v>
      </c>
      <c r="D35" s="266">
        <v>54.621000000000002</v>
      </c>
      <c r="E35" s="266">
        <v>56.598999999999997</v>
      </c>
      <c r="F35" s="266">
        <v>58.045999999999999</v>
      </c>
      <c r="G35" s="266">
        <v>59.591000000000001</v>
      </c>
      <c r="H35" s="360">
        <v>61.209000000000003</v>
      </c>
      <c r="I35" s="360">
        <v>62.624000000000002</v>
      </c>
      <c r="J35" s="360">
        <v>63.997999999999998</v>
      </c>
      <c r="K35" s="360">
        <v>65.287000000000006</v>
      </c>
      <c r="L35" s="360">
        <v>67.876999999999995</v>
      </c>
      <c r="M35" s="360">
        <v>71.162000000000006</v>
      </c>
      <c r="N35" s="360">
        <v>73.628</v>
      </c>
      <c r="O35" s="360">
        <v>75.143000000000001</v>
      </c>
      <c r="P35" s="360">
        <v>77.760999999999996</v>
      </c>
      <c r="Q35" s="360">
        <v>81.718999999999994</v>
      </c>
      <c r="R35" s="360">
        <v>86.332999999999998</v>
      </c>
      <c r="S35" s="360">
        <v>90.677000000000007</v>
      </c>
      <c r="T35" s="360">
        <v>95.426000000000002</v>
      </c>
      <c r="U35" s="360">
        <v>100.279</v>
      </c>
      <c r="V35" s="360">
        <v>100</v>
      </c>
      <c r="W35" s="360">
        <v>102.714</v>
      </c>
      <c r="X35" s="360">
        <v>105.923</v>
      </c>
      <c r="Y35" s="360">
        <v>107.985</v>
      </c>
      <c r="Z35" s="360">
        <v>110.143</v>
      </c>
      <c r="AA35" s="360">
        <v>112.28700000000001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74"/>
  <sheetViews>
    <sheetView workbookViewId="0">
      <pane xSplit="2" ySplit="9" topLeftCell="H37" activePane="bottomRight" state="frozen"/>
      <selection pane="topRight" activeCell="C1" sqref="C1"/>
      <selection pane="bottomLeft" activeCell="A9" sqref="A9"/>
      <selection pane="bottomRight"/>
    </sheetView>
  </sheetViews>
  <sheetFormatPr defaultRowHeight="12" x14ac:dyDescent="0.2"/>
  <cols>
    <col min="1" max="1" width="8" style="266" customWidth="1"/>
    <col min="2" max="2" width="44.42578125" style="345" customWidth="1"/>
    <col min="3" max="7" width="9.140625" style="345" customWidth="1"/>
    <col min="8" max="261" width="9.140625" style="266"/>
    <col min="262" max="262" width="82.7109375" style="266" bestFit="1" customWidth="1"/>
    <col min="263" max="517" width="9.140625" style="266"/>
    <col min="518" max="518" width="82.7109375" style="266" bestFit="1" customWidth="1"/>
    <col min="519" max="773" width="9.140625" style="266"/>
    <col min="774" max="774" width="82.7109375" style="266" bestFit="1" customWidth="1"/>
    <col min="775" max="1029" width="9.140625" style="266"/>
    <col min="1030" max="1030" width="82.7109375" style="266" bestFit="1" customWidth="1"/>
    <col min="1031" max="1285" width="9.140625" style="266"/>
    <col min="1286" max="1286" width="82.7109375" style="266" bestFit="1" customWidth="1"/>
    <col min="1287" max="1541" width="9.140625" style="266"/>
    <col min="1542" max="1542" width="82.7109375" style="266" bestFit="1" customWidth="1"/>
    <col min="1543" max="1797" width="9.140625" style="266"/>
    <col min="1798" max="1798" width="82.7109375" style="266" bestFit="1" customWidth="1"/>
    <col min="1799" max="2053" width="9.140625" style="266"/>
    <col min="2054" max="2054" width="82.7109375" style="266" bestFit="1" customWidth="1"/>
    <col min="2055" max="2309" width="9.140625" style="266"/>
    <col min="2310" max="2310" width="82.7109375" style="266" bestFit="1" customWidth="1"/>
    <col min="2311" max="2565" width="9.140625" style="266"/>
    <col min="2566" max="2566" width="82.7109375" style="266" bestFit="1" customWidth="1"/>
    <col min="2567" max="2821" width="9.140625" style="266"/>
    <col min="2822" max="2822" width="82.7109375" style="266" bestFit="1" customWidth="1"/>
    <col min="2823" max="3077" width="9.140625" style="266"/>
    <col min="3078" max="3078" width="82.7109375" style="266" bestFit="1" customWidth="1"/>
    <col min="3079" max="3333" width="9.140625" style="266"/>
    <col min="3334" max="3334" width="82.7109375" style="266" bestFit="1" customWidth="1"/>
    <col min="3335" max="3589" width="9.140625" style="266"/>
    <col min="3590" max="3590" width="82.7109375" style="266" bestFit="1" customWidth="1"/>
    <col min="3591" max="3845" width="9.140625" style="266"/>
    <col min="3846" max="3846" width="82.7109375" style="266" bestFit="1" customWidth="1"/>
    <col min="3847" max="4101" width="9.140625" style="266"/>
    <col min="4102" max="4102" width="82.7109375" style="266" bestFit="1" customWidth="1"/>
    <col min="4103" max="4357" width="9.140625" style="266"/>
    <col min="4358" max="4358" width="82.7109375" style="266" bestFit="1" customWidth="1"/>
    <col min="4359" max="4613" width="9.140625" style="266"/>
    <col min="4614" max="4614" width="82.7109375" style="266" bestFit="1" customWidth="1"/>
    <col min="4615" max="4869" width="9.140625" style="266"/>
    <col min="4870" max="4870" width="82.7109375" style="266" bestFit="1" customWidth="1"/>
    <col min="4871" max="5125" width="9.140625" style="266"/>
    <col min="5126" max="5126" width="82.7109375" style="266" bestFit="1" customWidth="1"/>
    <col min="5127" max="5381" width="9.140625" style="266"/>
    <col min="5382" max="5382" width="82.7109375" style="266" bestFit="1" customWidth="1"/>
    <col min="5383" max="5637" width="9.140625" style="266"/>
    <col min="5638" max="5638" width="82.7109375" style="266" bestFit="1" customWidth="1"/>
    <col min="5639" max="5893" width="9.140625" style="266"/>
    <col min="5894" max="5894" width="82.7109375" style="266" bestFit="1" customWidth="1"/>
    <col min="5895" max="6149" width="9.140625" style="266"/>
    <col min="6150" max="6150" width="82.7109375" style="266" bestFit="1" customWidth="1"/>
    <col min="6151" max="6405" width="9.140625" style="266"/>
    <col min="6406" max="6406" width="82.7109375" style="266" bestFit="1" customWidth="1"/>
    <col min="6407" max="6661" width="9.140625" style="266"/>
    <col min="6662" max="6662" width="82.7109375" style="266" bestFit="1" customWidth="1"/>
    <col min="6663" max="6917" width="9.140625" style="266"/>
    <col min="6918" max="6918" width="82.7109375" style="266" bestFit="1" customWidth="1"/>
    <col min="6919" max="7173" width="9.140625" style="266"/>
    <col min="7174" max="7174" width="82.7109375" style="266" bestFit="1" customWidth="1"/>
    <col min="7175" max="7429" width="9.140625" style="266"/>
    <col min="7430" max="7430" width="82.7109375" style="266" bestFit="1" customWidth="1"/>
    <col min="7431" max="7685" width="9.140625" style="266"/>
    <col min="7686" max="7686" width="82.7109375" style="266" bestFit="1" customWidth="1"/>
    <col min="7687" max="7941" width="9.140625" style="266"/>
    <col min="7942" max="7942" width="82.7109375" style="266" bestFit="1" customWidth="1"/>
    <col min="7943" max="8197" width="9.140625" style="266"/>
    <col min="8198" max="8198" width="82.7109375" style="266" bestFit="1" customWidth="1"/>
    <col min="8199" max="8453" width="9.140625" style="266"/>
    <col min="8454" max="8454" width="82.7109375" style="266" bestFit="1" customWidth="1"/>
    <col min="8455" max="8709" width="9.140625" style="266"/>
    <col min="8710" max="8710" width="82.7109375" style="266" bestFit="1" customWidth="1"/>
    <col min="8711" max="8965" width="9.140625" style="266"/>
    <col min="8966" max="8966" width="82.7109375" style="266" bestFit="1" customWidth="1"/>
    <col min="8967" max="9221" width="9.140625" style="266"/>
    <col min="9222" max="9222" width="82.7109375" style="266" bestFit="1" customWidth="1"/>
    <col min="9223" max="9477" width="9.140625" style="266"/>
    <col min="9478" max="9478" width="82.7109375" style="266" bestFit="1" customWidth="1"/>
    <col min="9479" max="9733" width="9.140625" style="266"/>
    <col min="9734" max="9734" width="82.7109375" style="266" bestFit="1" customWidth="1"/>
    <col min="9735" max="9989" width="9.140625" style="266"/>
    <col min="9990" max="9990" width="82.7109375" style="266" bestFit="1" customWidth="1"/>
    <col min="9991" max="10245" width="9.140625" style="266"/>
    <col min="10246" max="10246" width="82.7109375" style="266" bestFit="1" customWidth="1"/>
    <col min="10247" max="10501" width="9.140625" style="266"/>
    <col min="10502" max="10502" width="82.7109375" style="266" bestFit="1" customWidth="1"/>
    <col min="10503" max="10757" width="9.140625" style="266"/>
    <col min="10758" max="10758" width="82.7109375" style="266" bestFit="1" customWidth="1"/>
    <col min="10759" max="11013" width="9.140625" style="266"/>
    <col min="11014" max="11014" width="82.7109375" style="266" bestFit="1" customWidth="1"/>
    <col min="11015" max="11269" width="9.140625" style="266"/>
    <col min="11270" max="11270" width="82.7109375" style="266" bestFit="1" customWidth="1"/>
    <col min="11271" max="11525" width="9.140625" style="266"/>
    <col min="11526" max="11526" width="82.7109375" style="266" bestFit="1" customWidth="1"/>
    <col min="11527" max="11781" width="9.140625" style="266"/>
    <col min="11782" max="11782" width="82.7109375" style="266" bestFit="1" customWidth="1"/>
    <col min="11783" max="12037" width="9.140625" style="266"/>
    <col min="12038" max="12038" width="82.7109375" style="266" bestFit="1" customWidth="1"/>
    <col min="12039" max="12293" width="9.140625" style="266"/>
    <col min="12294" max="12294" width="82.7109375" style="266" bestFit="1" customWidth="1"/>
    <col min="12295" max="12549" width="9.140625" style="266"/>
    <col min="12550" max="12550" width="82.7109375" style="266" bestFit="1" customWidth="1"/>
    <col min="12551" max="12805" width="9.140625" style="266"/>
    <col min="12806" max="12806" width="82.7109375" style="266" bestFit="1" customWidth="1"/>
    <col min="12807" max="13061" width="9.140625" style="266"/>
    <col min="13062" max="13062" width="82.7109375" style="266" bestFit="1" customWidth="1"/>
    <col min="13063" max="13317" width="9.140625" style="266"/>
    <col min="13318" max="13318" width="82.7109375" style="266" bestFit="1" customWidth="1"/>
    <col min="13319" max="13573" width="9.140625" style="266"/>
    <col min="13574" max="13574" width="82.7109375" style="266" bestFit="1" customWidth="1"/>
    <col min="13575" max="13829" width="9.140625" style="266"/>
    <col min="13830" max="13830" width="82.7109375" style="266" bestFit="1" customWidth="1"/>
    <col min="13831" max="14085" width="9.140625" style="266"/>
    <col min="14086" max="14086" width="82.7109375" style="266" bestFit="1" customWidth="1"/>
    <col min="14087" max="14341" width="9.140625" style="266"/>
    <col min="14342" max="14342" width="82.7109375" style="266" bestFit="1" customWidth="1"/>
    <col min="14343" max="14597" width="9.140625" style="266"/>
    <col min="14598" max="14598" width="82.7109375" style="266" bestFit="1" customWidth="1"/>
    <col min="14599" max="14853" width="9.140625" style="266"/>
    <col min="14854" max="14854" width="82.7109375" style="266" bestFit="1" customWidth="1"/>
    <col min="14855" max="15109" width="9.140625" style="266"/>
    <col min="15110" max="15110" width="82.7109375" style="266" bestFit="1" customWidth="1"/>
    <col min="15111" max="15365" width="9.140625" style="266"/>
    <col min="15366" max="15366" width="82.7109375" style="266" bestFit="1" customWidth="1"/>
    <col min="15367" max="15621" width="9.140625" style="266"/>
    <col min="15622" max="15622" width="82.7109375" style="266" bestFit="1" customWidth="1"/>
    <col min="15623" max="15877" width="9.140625" style="266"/>
    <col min="15878" max="15878" width="82.7109375" style="266" bestFit="1" customWidth="1"/>
    <col min="15879" max="16133" width="9.140625" style="266"/>
    <col min="16134" max="16134" width="82.7109375" style="266" bestFit="1" customWidth="1"/>
    <col min="16135" max="16384" width="9.140625" style="266"/>
  </cols>
  <sheetData>
    <row r="2" spans="1:27" ht="18.75" x14ac:dyDescent="0.3">
      <c r="A2" s="336" t="s">
        <v>869</v>
      </c>
    </row>
    <row r="3" spans="1:27" x14ac:dyDescent="0.2">
      <c r="A3" s="346" t="s">
        <v>223</v>
      </c>
      <c r="H3" s="179"/>
      <c r="I3" s="179"/>
      <c r="J3" s="179"/>
      <c r="K3" s="179"/>
      <c r="L3" s="179"/>
      <c r="M3" s="179"/>
      <c r="N3" s="179"/>
      <c r="O3" s="179"/>
      <c r="P3" s="179"/>
      <c r="Q3" s="179"/>
      <c r="R3" s="179"/>
      <c r="S3" s="179"/>
      <c r="T3" s="179"/>
      <c r="U3" s="179"/>
      <c r="V3" s="179"/>
      <c r="W3" s="179"/>
      <c r="X3" s="179"/>
      <c r="Y3" s="179"/>
      <c r="Z3" s="179"/>
      <c r="AA3" s="179"/>
    </row>
    <row r="4" spans="1:27" x14ac:dyDescent="0.2">
      <c r="A4" s="319" t="s">
        <v>147</v>
      </c>
      <c r="H4" s="179"/>
      <c r="I4" s="179"/>
      <c r="J4" s="179"/>
      <c r="K4" s="179"/>
      <c r="L4" s="179"/>
      <c r="M4" s="179"/>
      <c r="N4" s="179"/>
      <c r="O4" s="179"/>
      <c r="P4" s="179"/>
      <c r="Q4" s="179"/>
      <c r="R4" s="179"/>
      <c r="S4" s="179"/>
      <c r="T4" s="179"/>
      <c r="U4" s="179"/>
      <c r="V4" s="179"/>
      <c r="W4" s="179"/>
      <c r="X4" s="179"/>
      <c r="Y4" s="179"/>
      <c r="Z4" s="179"/>
      <c r="AA4" s="179"/>
    </row>
    <row r="5" spans="1:27" x14ac:dyDescent="0.2">
      <c r="A5" s="179" t="s">
        <v>148</v>
      </c>
      <c r="H5" s="179"/>
      <c r="I5" s="179"/>
      <c r="J5" s="179"/>
      <c r="K5" s="179"/>
      <c r="L5" s="179"/>
      <c r="M5" s="179"/>
      <c r="N5" s="179"/>
      <c r="O5" s="179"/>
      <c r="P5" s="179"/>
      <c r="Q5" s="179"/>
      <c r="R5" s="179"/>
      <c r="S5" s="179"/>
      <c r="T5" s="179"/>
      <c r="U5" s="179"/>
      <c r="V5" s="179"/>
      <c r="W5" s="179"/>
      <c r="X5" s="179"/>
      <c r="Y5" s="179"/>
      <c r="Z5" s="179"/>
      <c r="AA5" s="179"/>
    </row>
    <row r="6" spans="1:27" x14ac:dyDescent="0.2">
      <c r="A6" s="179" t="s">
        <v>224</v>
      </c>
      <c r="H6" s="179"/>
      <c r="I6" s="179"/>
      <c r="J6" s="179"/>
      <c r="K6" s="179"/>
      <c r="L6" s="179"/>
      <c r="M6" s="179"/>
      <c r="N6" s="179"/>
      <c r="O6" s="179"/>
      <c r="P6" s="179"/>
      <c r="Q6" s="179"/>
      <c r="R6" s="179"/>
      <c r="S6" s="179"/>
      <c r="T6" s="347"/>
      <c r="U6" s="179"/>
      <c r="V6" s="179"/>
      <c r="W6" s="179"/>
      <c r="X6" s="179"/>
      <c r="Y6" s="179"/>
      <c r="Z6" s="179"/>
      <c r="AA6" s="179"/>
    </row>
    <row r="7" spans="1:27" x14ac:dyDescent="0.2">
      <c r="A7" s="322" t="s">
        <v>222</v>
      </c>
    </row>
    <row r="9" spans="1:27" x14ac:dyDescent="0.2">
      <c r="A9" s="353" t="s">
        <v>149</v>
      </c>
      <c r="B9" s="354" t="s">
        <v>150</v>
      </c>
      <c r="C9" s="355" t="s">
        <v>225</v>
      </c>
      <c r="D9" s="355" t="s">
        <v>226</v>
      </c>
      <c r="E9" s="355" t="s">
        <v>227</v>
      </c>
      <c r="F9" s="355" t="s">
        <v>228</v>
      </c>
      <c r="G9" s="355" t="s">
        <v>229</v>
      </c>
      <c r="H9" s="353" t="s">
        <v>151</v>
      </c>
      <c r="I9" s="353" t="s">
        <v>152</v>
      </c>
      <c r="J9" s="353" t="s">
        <v>153</v>
      </c>
      <c r="K9" s="353" t="s">
        <v>154</v>
      </c>
      <c r="L9" s="353" t="s">
        <v>155</v>
      </c>
      <c r="M9" s="353" t="s">
        <v>156</v>
      </c>
      <c r="N9" s="353" t="s">
        <v>157</v>
      </c>
      <c r="O9" s="353" t="s">
        <v>158</v>
      </c>
      <c r="P9" s="353" t="s">
        <v>159</v>
      </c>
      <c r="Q9" s="353" t="s">
        <v>160</v>
      </c>
      <c r="R9" s="353" t="s">
        <v>161</v>
      </c>
      <c r="S9" s="353" t="s">
        <v>162</v>
      </c>
      <c r="T9" s="353" t="s">
        <v>163</v>
      </c>
      <c r="U9" s="353" t="s">
        <v>164</v>
      </c>
      <c r="V9" s="353" t="s">
        <v>165</v>
      </c>
      <c r="W9" s="353" t="s">
        <v>166</v>
      </c>
      <c r="X9" s="353" t="s">
        <v>167</v>
      </c>
      <c r="Y9" s="353" t="s">
        <v>168</v>
      </c>
      <c r="Z9" s="353" t="s">
        <v>169</v>
      </c>
      <c r="AA9" s="353" t="s">
        <v>170</v>
      </c>
    </row>
    <row r="10" spans="1:27" x14ac:dyDescent="0.2">
      <c r="A10" s="266" t="s">
        <v>171</v>
      </c>
      <c r="B10" s="348" t="s">
        <v>230</v>
      </c>
      <c r="C10" s="349">
        <v>67.44</v>
      </c>
      <c r="D10" s="349">
        <v>69.652000000000001</v>
      </c>
      <c r="E10" s="349">
        <v>71.494</v>
      </c>
      <c r="F10" s="349">
        <v>73.278999999999996</v>
      </c>
      <c r="G10" s="349">
        <v>74.802999999999997</v>
      </c>
      <c r="H10" s="266">
        <v>76.355999999999995</v>
      </c>
      <c r="I10" s="266">
        <v>77.980999999999995</v>
      </c>
      <c r="J10" s="266">
        <v>79.326999999999998</v>
      </c>
      <c r="K10" s="266">
        <v>79.936000000000007</v>
      </c>
      <c r="L10" s="266">
        <v>81.11</v>
      </c>
      <c r="M10" s="266">
        <v>83.131</v>
      </c>
      <c r="N10" s="266">
        <v>84.736000000000004</v>
      </c>
      <c r="O10" s="266">
        <v>85.873000000000005</v>
      </c>
      <c r="P10" s="266">
        <v>87.572000000000003</v>
      </c>
      <c r="Q10" s="266">
        <v>89.703000000000003</v>
      </c>
      <c r="R10" s="266">
        <v>92.260999999999996</v>
      </c>
      <c r="S10" s="266">
        <v>94.728999999999999</v>
      </c>
      <c r="T10" s="266">
        <v>97.102000000000004</v>
      </c>
      <c r="U10" s="266">
        <v>100.065</v>
      </c>
      <c r="V10" s="266">
        <v>100</v>
      </c>
      <c r="W10" s="266">
        <v>101.65300000000001</v>
      </c>
      <c r="X10" s="266">
        <v>104.149</v>
      </c>
      <c r="Y10" s="266">
        <v>106.121</v>
      </c>
      <c r="Z10" s="266">
        <v>107.572</v>
      </c>
      <c r="AA10" s="266">
        <v>109.105</v>
      </c>
    </row>
    <row r="11" spans="1:27" x14ac:dyDescent="0.2">
      <c r="A11" s="266" t="s">
        <v>173</v>
      </c>
      <c r="B11" s="348" t="s">
        <v>231</v>
      </c>
      <c r="C11" s="349">
        <v>66.841999999999999</v>
      </c>
      <c r="D11" s="349">
        <v>69.19</v>
      </c>
      <c r="E11" s="349">
        <v>71.198999999999998</v>
      </c>
      <c r="F11" s="349">
        <v>73.096999999999994</v>
      </c>
      <c r="G11" s="349">
        <v>74.653000000000006</v>
      </c>
      <c r="H11" s="266">
        <v>76.236999999999995</v>
      </c>
      <c r="I11" s="266">
        <v>77.866</v>
      </c>
      <c r="J11" s="266">
        <v>79.171000000000006</v>
      </c>
      <c r="K11" s="266">
        <v>79.683999999999997</v>
      </c>
      <c r="L11" s="266">
        <v>80.817999999999998</v>
      </c>
      <c r="M11" s="266">
        <v>82.777000000000001</v>
      </c>
      <c r="N11" s="266">
        <v>84.319000000000003</v>
      </c>
      <c r="O11" s="266">
        <v>85.471000000000004</v>
      </c>
      <c r="P11" s="266">
        <v>87.269000000000005</v>
      </c>
      <c r="Q11" s="266">
        <v>89.484999999999999</v>
      </c>
      <c r="R11" s="266">
        <v>92.054000000000002</v>
      </c>
      <c r="S11" s="266">
        <v>94.557000000000002</v>
      </c>
      <c r="T11" s="266">
        <v>96.954999999999998</v>
      </c>
      <c r="U11" s="266">
        <v>99.977999999999994</v>
      </c>
      <c r="V11" s="266">
        <v>100</v>
      </c>
      <c r="W11" s="266">
        <v>101.73</v>
      </c>
      <c r="X11" s="266">
        <v>104.26900000000001</v>
      </c>
      <c r="Y11" s="266">
        <v>106.309</v>
      </c>
      <c r="Z11" s="266">
        <v>107.748</v>
      </c>
      <c r="AA11" s="266">
        <v>109.20699999999999</v>
      </c>
    </row>
    <row r="12" spans="1:27" x14ac:dyDescent="0.2">
      <c r="A12" s="266" t="s">
        <v>175</v>
      </c>
      <c r="B12" s="348" t="s">
        <v>232</v>
      </c>
      <c r="C12" s="349">
        <v>65.218999999999994</v>
      </c>
      <c r="D12" s="349">
        <v>67.266000000000005</v>
      </c>
      <c r="E12" s="349">
        <v>67.783000000000001</v>
      </c>
      <c r="F12" s="349">
        <v>68.730999999999995</v>
      </c>
      <c r="G12" s="349">
        <v>69.881</v>
      </c>
      <c r="H12" s="266">
        <v>71.396000000000001</v>
      </c>
      <c r="I12" s="266">
        <v>73.573999999999998</v>
      </c>
      <c r="J12" s="266">
        <v>74.975999999999999</v>
      </c>
      <c r="K12" s="266">
        <v>75.918000000000006</v>
      </c>
      <c r="L12" s="266">
        <v>77.161000000000001</v>
      </c>
      <c r="M12" s="266">
        <v>78.968999999999994</v>
      </c>
      <c r="N12" s="266">
        <v>81.271000000000001</v>
      </c>
      <c r="O12" s="266">
        <v>82.5</v>
      </c>
      <c r="P12" s="266">
        <v>84.061999999999998</v>
      </c>
      <c r="Q12" s="266">
        <v>86.686000000000007</v>
      </c>
      <c r="R12" s="266">
        <v>88.2</v>
      </c>
      <c r="S12" s="266">
        <v>89.683000000000007</v>
      </c>
      <c r="T12" s="266">
        <v>93.182000000000002</v>
      </c>
      <c r="U12" s="266">
        <v>98.850999999999999</v>
      </c>
      <c r="V12" s="266">
        <v>100</v>
      </c>
      <c r="W12" s="266">
        <v>100.309</v>
      </c>
      <c r="X12" s="266">
        <v>104.276</v>
      </c>
      <c r="Y12" s="266">
        <v>106.67700000000001</v>
      </c>
      <c r="Z12" s="266">
        <v>107.785</v>
      </c>
      <c r="AA12" s="266">
        <v>109.783</v>
      </c>
    </row>
    <row r="13" spans="1:27" x14ac:dyDescent="0.2">
      <c r="A13" s="266" t="s">
        <v>177</v>
      </c>
      <c r="B13" s="345" t="s">
        <v>233</v>
      </c>
      <c r="C13" s="349">
        <v>65.069999999999993</v>
      </c>
      <c r="D13" s="349">
        <v>66.353999999999999</v>
      </c>
      <c r="E13" s="349">
        <v>66.683999999999997</v>
      </c>
      <c r="F13" s="349">
        <v>67.736999999999995</v>
      </c>
      <c r="G13" s="349">
        <v>69.052999999999997</v>
      </c>
      <c r="H13" s="266">
        <v>70.739000000000004</v>
      </c>
      <c r="I13" s="266">
        <v>72.959999999999994</v>
      </c>
      <c r="J13" s="266">
        <v>74.388000000000005</v>
      </c>
      <c r="K13" s="266">
        <v>75.415000000000006</v>
      </c>
      <c r="L13" s="266">
        <v>76.599999999999994</v>
      </c>
      <c r="M13" s="266">
        <v>78.317999999999998</v>
      </c>
      <c r="N13" s="266">
        <v>80.718999999999994</v>
      </c>
      <c r="O13" s="266">
        <v>81.893000000000001</v>
      </c>
      <c r="P13" s="266">
        <v>83.484999999999999</v>
      </c>
      <c r="Q13" s="266">
        <v>86.204999999999998</v>
      </c>
      <c r="R13" s="266">
        <v>87.79</v>
      </c>
      <c r="S13" s="266">
        <v>89.307000000000002</v>
      </c>
      <c r="T13" s="266">
        <v>93.010999999999996</v>
      </c>
      <c r="U13" s="266">
        <v>99.113</v>
      </c>
      <c r="V13" s="266">
        <v>100</v>
      </c>
      <c r="W13" s="266">
        <v>100.28400000000001</v>
      </c>
      <c r="X13" s="266">
        <v>104.81399999999999</v>
      </c>
      <c r="Y13" s="266">
        <v>107.467</v>
      </c>
      <c r="Z13" s="266">
        <v>108.545</v>
      </c>
      <c r="AA13" s="266">
        <v>110.752</v>
      </c>
    </row>
    <row r="14" spans="1:27" x14ac:dyDescent="0.2">
      <c r="A14" s="266" t="s">
        <v>179</v>
      </c>
      <c r="B14" s="345" t="s">
        <v>234</v>
      </c>
      <c r="C14" s="349">
        <v>65.706000000000003</v>
      </c>
      <c r="D14" s="349">
        <v>73.37</v>
      </c>
      <c r="E14" s="349">
        <v>75.388999999999996</v>
      </c>
      <c r="F14" s="349">
        <v>75.465000000000003</v>
      </c>
      <c r="G14" s="349">
        <v>75.372</v>
      </c>
      <c r="H14" s="266">
        <v>75.572999999999993</v>
      </c>
      <c r="I14" s="266">
        <v>77.424999999999997</v>
      </c>
      <c r="J14" s="266">
        <v>78.605000000000004</v>
      </c>
      <c r="K14" s="266">
        <v>79.016000000000005</v>
      </c>
      <c r="L14" s="266">
        <v>80.671999999999997</v>
      </c>
      <c r="M14" s="266">
        <v>83.05</v>
      </c>
      <c r="N14" s="266">
        <v>84.724999999999994</v>
      </c>
      <c r="O14" s="266">
        <v>86.328000000000003</v>
      </c>
      <c r="P14" s="266">
        <v>87.674000000000007</v>
      </c>
      <c r="Q14" s="266">
        <v>89.661000000000001</v>
      </c>
      <c r="R14" s="266">
        <v>90.730999999999995</v>
      </c>
      <c r="S14" s="266">
        <v>92.004000000000005</v>
      </c>
      <c r="T14" s="266">
        <v>94.19</v>
      </c>
      <c r="U14" s="266">
        <v>97.17</v>
      </c>
      <c r="V14" s="266">
        <v>100</v>
      </c>
      <c r="W14" s="266">
        <v>100.41800000000001</v>
      </c>
      <c r="X14" s="266">
        <v>101.012</v>
      </c>
      <c r="Y14" s="266">
        <v>101.949</v>
      </c>
      <c r="Z14" s="266">
        <v>103.21</v>
      </c>
      <c r="AA14" s="266">
        <v>103.97</v>
      </c>
    </row>
    <row r="15" spans="1:27" x14ac:dyDescent="0.2">
      <c r="A15" s="266" t="s">
        <v>181</v>
      </c>
      <c r="B15" s="345" t="s">
        <v>235</v>
      </c>
      <c r="C15" s="349">
        <v>101.905</v>
      </c>
      <c r="D15" s="349">
        <v>97.805000000000007</v>
      </c>
      <c r="E15" s="349">
        <v>94.033000000000001</v>
      </c>
      <c r="F15" s="349">
        <v>96.512</v>
      </c>
      <c r="G15" s="349">
        <v>89.094999999999999</v>
      </c>
      <c r="H15" s="266">
        <v>88.924000000000007</v>
      </c>
      <c r="I15" s="266">
        <v>89.606999999999999</v>
      </c>
      <c r="J15" s="266">
        <v>95.031999999999996</v>
      </c>
      <c r="K15" s="266">
        <v>84.594999999999999</v>
      </c>
      <c r="L15" s="266">
        <v>80.900000000000006</v>
      </c>
      <c r="M15" s="266">
        <v>85.38</v>
      </c>
      <c r="N15" s="266">
        <v>91.031999999999996</v>
      </c>
      <c r="O15" s="266">
        <v>81.286000000000001</v>
      </c>
      <c r="P15" s="266">
        <v>92.671999999999997</v>
      </c>
      <c r="Q15" s="266">
        <v>104.125</v>
      </c>
      <c r="R15" s="266">
        <v>104.56699999999999</v>
      </c>
      <c r="S15" s="266">
        <v>103.289</v>
      </c>
      <c r="T15" s="266">
        <v>113.123</v>
      </c>
      <c r="U15" s="266">
        <v>111.37</v>
      </c>
      <c r="V15" s="266">
        <v>100</v>
      </c>
      <c r="W15" s="266">
        <v>113.05800000000001</v>
      </c>
      <c r="X15" s="266">
        <v>129.381</v>
      </c>
      <c r="Y15" s="266">
        <v>134.773</v>
      </c>
      <c r="Z15" s="266">
        <v>140.941</v>
      </c>
      <c r="AA15" s="266">
        <v>154.89099999999999</v>
      </c>
    </row>
    <row r="16" spans="1:27" x14ac:dyDescent="0.2">
      <c r="A16" s="266" t="s">
        <v>183</v>
      </c>
      <c r="B16" s="348" t="s">
        <v>236</v>
      </c>
      <c r="C16" s="349">
        <v>114.42700000000001</v>
      </c>
      <c r="D16" s="349">
        <v>116.739</v>
      </c>
      <c r="E16" s="349">
        <v>117.706</v>
      </c>
      <c r="F16" s="349">
        <v>117.277</v>
      </c>
      <c r="G16" s="349">
        <v>115.56399999999999</v>
      </c>
      <c r="H16" s="266">
        <v>113.093</v>
      </c>
      <c r="I16" s="266">
        <v>111.907</v>
      </c>
      <c r="J16" s="266">
        <v>112.092</v>
      </c>
      <c r="K16" s="266">
        <v>110.254</v>
      </c>
      <c r="L16" s="266">
        <v>109.018</v>
      </c>
      <c r="M16" s="266">
        <v>107.935</v>
      </c>
      <c r="N16" s="266">
        <v>106.149</v>
      </c>
      <c r="O16" s="266">
        <v>103.678</v>
      </c>
      <c r="P16" s="266">
        <v>101.373</v>
      </c>
      <c r="Q16" s="266">
        <v>101.196</v>
      </c>
      <c r="R16" s="266">
        <v>100.494</v>
      </c>
      <c r="S16" s="266">
        <v>100.282</v>
      </c>
      <c r="T16" s="266">
        <v>99.552999999999997</v>
      </c>
      <c r="U16" s="266">
        <v>99.015000000000001</v>
      </c>
      <c r="V16" s="266">
        <v>100</v>
      </c>
      <c r="W16" s="266">
        <v>99.495999999999995</v>
      </c>
      <c r="X16" s="266">
        <v>101.256</v>
      </c>
      <c r="Y16" s="266">
        <v>104.667</v>
      </c>
      <c r="Z16" s="266">
        <v>105.717</v>
      </c>
      <c r="AA16" s="266">
        <v>106.117</v>
      </c>
    </row>
    <row r="17" spans="1:27" x14ac:dyDescent="0.2">
      <c r="A17" s="266" t="s">
        <v>185</v>
      </c>
      <c r="B17" s="345" t="s">
        <v>237</v>
      </c>
      <c r="C17" s="349">
        <v>117.379</v>
      </c>
      <c r="D17" s="349">
        <v>119.703</v>
      </c>
      <c r="E17" s="349">
        <v>120.379</v>
      </c>
      <c r="F17" s="349">
        <v>119.79600000000001</v>
      </c>
      <c r="G17" s="349">
        <v>117.92400000000001</v>
      </c>
      <c r="H17" s="266">
        <v>115.23399999999999</v>
      </c>
      <c r="I17" s="266">
        <v>113.95699999999999</v>
      </c>
      <c r="J17" s="266">
        <v>114.206</v>
      </c>
      <c r="K17" s="266">
        <v>112.185</v>
      </c>
      <c r="L17" s="266">
        <v>111.22799999999999</v>
      </c>
      <c r="M17" s="266">
        <v>110.227</v>
      </c>
      <c r="N17" s="266">
        <v>108.19</v>
      </c>
      <c r="O17" s="266">
        <v>105.456</v>
      </c>
      <c r="P17" s="266">
        <v>102.964</v>
      </c>
      <c r="Q17" s="266">
        <v>102.792</v>
      </c>
      <c r="R17" s="266">
        <v>101.372</v>
      </c>
      <c r="S17" s="266">
        <v>100.958</v>
      </c>
      <c r="T17" s="266">
        <v>100.26</v>
      </c>
      <c r="U17" s="266">
        <v>99.272000000000006</v>
      </c>
      <c r="V17" s="266">
        <v>100</v>
      </c>
      <c r="W17" s="266">
        <v>99.180999999999997</v>
      </c>
      <c r="X17" s="266">
        <v>101.256</v>
      </c>
      <c r="Y17" s="266">
        <v>104.83199999999999</v>
      </c>
      <c r="Z17" s="266">
        <v>105.54</v>
      </c>
      <c r="AA17" s="266">
        <v>105.95099999999999</v>
      </c>
    </row>
    <row r="18" spans="1:27" x14ac:dyDescent="0.2">
      <c r="A18" s="266" t="s">
        <v>187</v>
      </c>
      <c r="B18" s="345" t="s">
        <v>238</v>
      </c>
      <c r="C18" s="349">
        <v>122.92100000000001</v>
      </c>
      <c r="D18" s="349">
        <v>125.217</v>
      </c>
      <c r="E18" s="349">
        <v>125.771</v>
      </c>
      <c r="F18" s="349">
        <v>124.91</v>
      </c>
      <c r="G18" s="349">
        <v>122.607</v>
      </c>
      <c r="H18" s="266">
        <v>119.366</v>
      </c>
      <c r="I18" s="266">
        <v>117.78400000000001</v>
      </c>
      <c r="J18" s="266">
        <v>117.988</v>
      </c>
      <c r="K18" s="266">
        <v>115.703</v>
      </c>
      <c r="L18" s="266">
        <v>114.496</v>
      </c>
      <c r="M18" s="266">
        <v>113.19</v>
      </c>
      <c r="N18" s="266">
        <v>110.60599999999999</v>
      </c>
      <c r="O18" s="266">
        <v>107.357</v>
      </c>
      <c r="P18" s="266">
        <v>104.476</v>
      </c>
      <c r="Q18" s="266">
        <v>104.07599999999999</v>
      </c>
      <c r="R18" s="266">
        <v>102.366</v>
      </c>
      <c r="S18" s="266">
        <v>101.723</v>
      </c>
      <c r="T18" s="266">
        <v>100.82</v>
      </c>
      <c r="U18" s="266">
        <v>99.456000000000003</v>
      </c>
      <c r="V18" s="266">
        <v>100</v>
      </c>
      <c r="W18" s="266">
        <v>98.927999999999997</v>
      </c>
      <c r="X18" s="266">
        <v>100.989</v>
      </c>
      <c r="Y18" s="266">
        <v>104.645</v>
      </c>
      <c r="Z18" s="266">
        <v>105.273</v>
      </c>
      <c r="AA18" s="266">
        <v>105.602</v>
      </c>
    </row>
    <row r="19" spans="1:27" x14ac:dyDescent="0.2">
      <c r="A19" s="266" t="s">
        <v>189</v>
      </c>
      <c r="B19" s="345" t="s">
        <v>239</v>
      </c>
      <c r="C19" s="349">
        <v>128.53299999999999</v>
      </c>
      <c r="D19" s="349">
        <v>130.31</v>
      </c>
      <c r="E19" s="349">
        <v>130.744</v>
      </c>
      <c r="F19" s="349">
        <v>129.78100000000001</v>
      </c>
      <c r="G19" s="349">
        <v>127.03400000000001</v>
      </c>
      <c r="H19" s="266">
        <v>122.34699999999999</v>
      </c>
      <c r="I19" s="266">
        <v>119.34699999999999</v>
      </c>
      <c r="J19" s="266">
        <v>119.205</v>
      </c>
      <c r="K19" s="266">
        <v>116.101</v>
      </c>
      <c r="L19" s="266">
        <v>114.036</v>
      </c>
      <c r="M19" s="266">
        <v>112.43</v>
      </c>
      <c r="N19" s="266">
        <v>110.32299999999999</v>
      </c>
      <c r="O19" s="266">
        <v>107.14</v>
      </c>
      <c r="P19" s="266">
        <v>104.611</v>
      </c>
      <c r="Q19" s="266">
        <v>104.51</v>
      </c>
      <c r="R19" s="266">
        <v>102.494</v>
      </c>
      <c r="S19" s="266">
        <v>102.42100000000001</v>
      </c>
      <c r="T19" s="266">
        <v>102.036</v>
      </c>
      <c r="U19" s="266">
        <v>99.435000000000002</v>
      </c>
      <c r="V19" s="266">
        <v>100</v>
      </c>
      <c r="W19" s="266">
        <v>99.072999999999993</v>
      </c>
      <c r="X19" s="266">
        <v>101.23399999999999</v>
      </c>
      <c r="Y19" s="266">
        <v>104.34399999999999</v>
      </c>
      <c r="Z19" s="266">
        <v>104.697</v>
      </c>
      <c r="AA19" s="266">
        <v>105.626</v>
      </c>
    </row>
    <row r="20" spans="1:27" x14ac:dyDescent="0.2">
      <c r="A20" s="266" t="s">
        <v>191</v>
      </c>
      <c r="B20" s="345" t="s">
        <v>240</v>
      </c>
      <c r="C20" s="349">
        <v>115.658</v>
      </c>
      <c r="D20" s="349">
        <v>118.754</v>
      </c>
      <c r="E20" s="349">
        <v>119.497</v>
      </c>
      <c r="F20" s="349">
        <v>119.066</v>
      </c>
      <c r="G20" s="349">
        <v>117.277</v>
      </c>
      <c r="H20" s="266">
        <v>115.794</v>
      </c>
      <c r="I20" s="266">
        <v>115.858</v>
      </c>
      <c r="J20" s="266">
        <v>116.80200000000001</v>
      </c>
      <c r="K20" s="266">
        <v>115.76</v>
      </c>
      <c r="L20" s="266">
        <v>115.36</v>
      </c>
      <c r="M20" s="266">
        <v>114.176</v>
      </c>
      <c r="N20" s="266">
        <v>110.64400000000001</v>
      </c>
      <c r="O20" s="266">
        <v>107.167</v>
      </c>
      <c r="P20" s="266">
        <v>103.851</v>
      </c>
      <c r="Q20" s="266">
        <v>103.386</v>
      </c>
      <c r="R20" s="266">
        <v>102.18600000000001</v>
      </c>
      <c r="S20" s="266">
        <v>100.47</v>
      </c>
      <c r="T20" s="266">
        <v>98.921999999999997</v>
      </c>
      <c r="U20" s="266">
        <v>99.513999999999996</v>
      </c>
      <c r="V20" s="266">
        <v>100</v>
      </c>
      <c r="W20" s="266">
        <v>98.501000000000005</v>
      </c>
      <c r="X20" s="266">
        <v>100.819</v>
      </c>
      <c r="Y20" s="266">
        <v>105.117</v>
      </c>
      <c r="Z20" s="266">
        <v>106.934</v>
      </c>
      <c r="AA20" s="266">
        <v>106.05800000000001</v>
      </c>
    </row>
    <row r="21" spans="1:27" x14ac:dyDescent="0.2">
      <c r="A21" s="266" t="s">
        <v>193</v>
      </c>
      <c r="B21" s="345" t="s">
        <v>241</v>
      </c>
      <c r="C21" s="349">
        <v>116.22199999999999</v>
      </c>
      <c r="D21" s="349">
        <v>118.304</v>
      </c>
      <c r="E21" s="349">
        <v>118.768</v>
      </c>
      <c r="F21" s="349">
        <v>115.78700000000001</v>
      </c>
      <c r="G21" s="349">
        <v>114.48099999999999</v>
      </c>
      <c r="H21" s="266">
        <v>113.664</v>
      </c>
      <c r="I21" s="266">
        <v>115.127</v>
      </c>
      <c r="J21" s="266">
        <v>113.245</v>
      </c>
      <c r="K21" s="266">
        <v>110.331</v>
      </c>
      <c r="L21" s="266">
        <v>112.711</v>
      </c>
      <c r="M21" s="266">
        <v>113.995</v>
      </c>
      <c r="N21" s="266">
        <v>112.837</v>
      </c>
      <c r="O21" s="266">
        <v>110.46899999999999</v>
      </c>
      <c r="P21" s="266">
        <v>106.68</v>
      </c>
      <c r="Q21" s="266">
        <v>103.578</v>
      </c>
      <c r="R21" s="266">
        <v>101.946</v>
      </c>
      <c r="S21" s="266">
        <v>101.76</v>
      </c>
      <c r="T21" s="266">
        <v>99.516999999999996</v>
      </c>
      <c r="U21" s="266">
        <v>99.366</v>
      </c>
      <c r="V21" s="266">
        <v>100</v>
      </c>
      <c r="W21" s="266">
        <v>99.741</v>
      </c>
      <c r="X21" s="266">
        <v>99.691000000000003</v>
      </c>
      <c r="Y21" s="266">
        <v>105.03100000000001</v>
      </c>
      <c r="Z21" s="266">
        <v>102.298</v>
      </c>
      <c r="AA21" s="266">
        <v>103.18</v>
      </c>
    </row>
    <row r="22" spans="1:27" x14ac:dyDescent="0.2">
      <c r="A22" s="266" t="s">
        <v>195</v>
      </c>
      <c r="B22" s="345" t="s">
        <v>242</v>
      </c>
      <c r="C22" s="349">
        <v>114.29600000000001</v>
      </c>
      <c r="D22" s="349">
        <v>115.322</v>
      </c>
      <c r="E22" s="349">
        <v>116.483</v>
      </c>
      <c r="F22" s="349">
        <v>115.81399999999999</v>
      </c>
      <c r="G22" s="349">
        <v>115.015</v>
      </c>
      <c r="H22" s="266">
        <v>119.85599999999999</v>
      </c>
      <c r="I22" s="266">
        <v>120.467</v>
      </c>
      <c r="J22" s="266">
        <v>113.625</v>
      </c>
      <c r="K22" s="266">
        <v>108.057</v>
      </c>
      <c r="L22" s="266">
        <v>105.252</v>
      </c>
      <c r="M22" s="266">
        <v>105.161</v>
      </c>
      <c r="N22" s="266">
        <v>105.054</v>
      </c>
      <c r="O22" s="266">
        <v>104.556</v>
      </c>
      <c r="P22" s="266">
        <v>102.502</v>
      </c>
      <c r="Q22" s="266">
        <v>103.012</v>
      </c>
      <c r="R22" s="266">
        <v>101.273</v>
      </c>
      <c r="S22" s="266">
        <v>100.48399999999999</v>
      </c>
      <c r="T22" s="266">
        <v>97.144000000000005</v>
      </c>
      <c r="U22" s="266">
        <v>97.454999999999998</v>
      </c>
      <c r="V22" s="266">
        <v>100</v>
      </c>
      <c r="W22" s="266">
        <v>102.589</v>
      </c>
      <c r="X22" s="266">
        <v>105.503</v>
      </c>
      <c r="Y22" s="266">
        <v>108.548</v>
      </c>
      <c r="Z22" s="266">
        <v>108.938</v>
      </c>
      <c r="AA22" s="266">
        <v>108.801</v>
      </c>
    </row>
    <row r="23" spans="1:27" x14ac:dyDescent="0.2">
      <c r="A23" s="266" t="s">
        <v>197</v>
      </c>
      <c r="B23" s="345" t="s">
        <v>243</v>
      </c>
      <c r="C23" s="349">
        <v>58.962000000000003</v>
      </c>
      <c r="D23" s="349">
        <v>61.396000000000001</v>
      </c>
      <c r="E23" s="349">
        <v>62.835000000000001</v>
      </c>
      <c r="F23" s="349">
        <v>64.558000000000007</v>
      </c>
      <c r="G23" s="349">
        <v>66.262</v>
      </c>
      <c r="H23" s="266">
        <v>67.194000000000003</v>
      </c>
      <c r="I23" s="266">
        <v>68.311999999999998</v>
      </c>
      <c r="J23" s="266">
        <v>70.015000000000001</v>
      </c>
      <c r="K23" s="266">
        <v>71.049000000000007</v>
      </c>
      <c r="L23" s="266">
        <v>72.72</v>
      </c>
      <c r="M23" s="266">
        <v>74.438000000000002</v>
      </c>
      <c r="N23" s="266">
        <v>77.38</v>
      </c>
      <c r="O23" s="266">
        <v>79.576999999999998</v>
      </c>
      <c r="P23" s="266">
        <v>81.396000000000001</v>
      </c>
      <c r="Q23" s="266">
        <v>83.811000000000007</v>
      </c>
      <c r="R23" s="266">
        <v>86.286000000000001</v>
      </c>
      <c r="S23" s="266">
        <v>89.203000000000003</v>
      </c>
      <c r="T23" s="266">
        <v>92.206000000000003</v>
      </c>
      <c r="U23" s="266">
        <v>96.75</v>
      </c>
      <c r="V23" s="266">
        <v>100</v>
      </c>
      <c r="W23" s="266">
        <v>102.59</v>
      </c>
      <c r="X23" s="266">
        <v>104.693</v>
      </c>
      <c r="Y23" s="266">
        <v>106.90900000000001</v>
      </c>
      <c r="Z23" s="266">
        <v>109.22799999999999</v>
      </c>
      <c r="AA23" s="266">
        <v>111.336</v>
      </c>
    </row>
    <row r="24" spans="1:27" x14ac:dyDescent="0.2">
      <c r="A24" s="266" t="s">
        <v>200</v>
      </c>
      <c r="B24" s="345" t="s">
        <v>244</v>
      </c>
      <c r="C24" s="349">
        <v>60.445</v>
      </c>
      <c r="D24" s="349">
        <v>62.970999999999997</v>
      </c>
      <c r="E24" s="349">
        <v>64.44</v>
      </c>
      <c r="F24" s="349">
        <v>66.194000000000003</v>
      </c>
      <c r="G24" s="349">
        <v>67.941999999999993</v>
      </c>
      <c r="H24" s="266">
        <v>68.894000000000005</v>
      </c>
      <c r="I24" s="266">
        <v>70.043000000000006</v>
      </c>
      <c r="J24" s="266">
        <v>71.787000000000006</v>
      </c>
      <c r="K24" s="266">
        <v>72.966999999999999</v>
      </c>
      <c r="L24" s="266">
        <v>74.753</v>
      </c>
      <c r="M24" s="266">
        <v>76.254000000000005</v>
      </c>
      <c r="N24" s="266">
        <v>79.010000000000005</v>
      </c>
      <c r="O24" s="266">
        <v>81.429000000000002</v>
      </c>
      <c r="P24" s="266">
        <v>83.277000000000001</v>
      </c>
      <c r="Q24" s="266">
        <v>85.593999999999994</v>
      </c>
      <c r="R24" s="266">
        <v>87.564999999999998</v>
      </c>
      <c r="S24" s="266">
        <v>90.218000000000004</v>
      </c>
      <c r="T24" s="266">
        <v>93.075000000000003</v>
      </c>
      <c r="U24" s="266">
        <v>97.155000000000001</v>
      </c>
      <c r="V24" s="266">
        <v>100</v>
      </c>
      <c r="W24" s="266">
        <v>102.255</v>
      </c>
      <c r="X24" s="266">
        <v>103.76300000000001</v>
      </c>
      <c r="Y24" s="266">
        <v>105.61799999999999</v>
      </c>
      <c r="Z24" s="266">
        <v>107.474</v>
      </c>
      <c r="AA24" s="266">
        <v>109.479</v>
      </c>
    </row>
    <row r="25" spans="1:27" x14ac:dyDescent="0.2">
      <c r="A25" s="266" t="s">
        <v>202</v>
      </c>
      <c r="B25" s="345" t="s">
        <v>245</v>
      </c>
      <c r="C25" s="349">
        <v>55.171999999999997</v>
      </c>
      <c r="D25" s="349">
        <v>57.423999999999999</v>
      </c>
      <c r="E25" s="349">
        <v>58.777999999999999</v>
      </c>
      <c r="F25" s="349">
        <v>60.41</v>
      </c>
      <c r="G25" s="349">
        <v>62.002000000000002</v>
      </c>
      <c r="H25" s="266">
        <v>62.878</v>
      </c>
      <c r="I25" s="266">
        <v>63.920999999999999</v>
      </c>
      <c r="J25" s="266">
        <v>65.516999999999996</v>
      </c>
      <c r="K25" s="266">
        <v>66.281000000000006</v>
      </c>
      <c r="L25" s="266">
        <v>67.715999999999994</v>
      </c>
      <c r="M25" s="266">
        <v>69.813999999999993</v>
      </c>
      <c r="N25" s="266">
        <v>73.087000000000003</v>
      </c>
      <c r="O25" s="266">
        <v>74.784000000000006</v>
      </c>
      <c r="P25" s="266">
        <v>76.524000000000001</v>
      </c>
      <c r="Q25" s="266">
        <v>79.155000000000001</v>
      </c>
      <c r="R25" s="266">
        <v>82.837999999999994</v>
      </c>
      <c r="S25" s="266">
        <v>86.421999999999997</v>
      </c>
      <c r="T25" s="266">
        <v>89.81</v>
      </c>
      <c r="U25" s="266">
        <v>95.611000000000004</v>
      </c>
      <c r="V25" s="266">
        <v>100</v>
      </c>
      <c r="W25" s="266">
        <v>103.566</v>
      </c>
      <c r="X25" s="266">
        <v>107.42700000000001</v>
      </c>
      <c r="Y25" s="266">
        <v>110.711</v>
      </c>
      <c r="Z25" s="266">
        <v>114.39700000000001</v>
      </c>
      <c r="AA25" s="266">
        <v>116.81</v>
      </c>
    </row>
    <row r="26" spans="1:27" x14ac:dyDescent="0.2">
      <c r="A26" s="266" t="s">
        <v>204</v>
      </c>
      <c r="B26" s="345" t="s">
        <v>246</v>
      </c>
      <c r="C26" s="349">
        <v>100.581</v>
      </c>
      <c r="D26" s="349">
        <v>102.836</v>
      </c>
      <c r="E26" s="349">
        <v>105.221</v>
      </c>
      <c r="F26" s="349">
        <v>105.55200000000001</v>
      </c>
      <c r="G26" s="349">
        <v>104.614</v>
      </c>
      <c r="H26" s="266">
        <v>103.197</v>
      </c>
      <c r="I26" s="266">
        <v>102.449</v>
      </c>
      <c r="J26" s="266">
        <v>102.32599999999999</v>
      </c>
      <c r="K26" s="266">
        <v>101.358</v>
      </c>
      <c r="L26" s="266">
        <v>98.792000000000002</v>
      </c>
      <c r="M26" s="266">
        <v>97.322000000000003</v>
      </c>
      <c r="N26" s="266">
        <v>96.727000000000004</v>
      </c>
      <c r="O26" s="266">
        <v>95.510999999999996</v>
      </c>
      <c r="P26" s="266">
        <v>94.102999999999994</v>
      </c>
      <c r="Q26" s="266">
        <v>93.9</v>
      </c>
      <c r="R26" s="266">
        <v>96.578000000000003</v>
      </c>
      <c r="S26" s="266">
        <v>97.296000000000006</v>
      </c>
      <c r="T26" s="266">
        <v>96.429000000000002</v>
      </c>
      <c r="U26" s="266">
        <v>97.866</v>
      </c>
      <c r="V26" s="266">
        <v>100</v>
      </c>
      <c r="W26" s="266">
        <v>100.917</v>
      </c>
      <c r="X26" s="266">
        <v>101.26600000000001</v>
      </c>
      <c r="Y26" s="266">
        <v>103.953</v>
      </c>
      <c r="Z26" s="266">
        <v>106.485</v>
      </c>
      <c r="AA26" s="266">
        <v>106.83799999999999</v>
      </c>
    </row>
    <row r="27" spans="1:27" x14ac:dyDescent="0.2">
      <c r="A27" s="266" t="s">
        <v>206</v>
      </c>
      <c r="B27" s="348" t="s">
        <v>247</v>
      </c>
      <c r="C27" s="349">
        <v>56.561</v>
      </c>
      <c r="D27" s="349">
        <v>58.354999999999997</v>
      </c>
      <c r="E27" s="349">
        <v>59.917999999999999</v>
      </c>
      <c r="F27" s="349">
        <v>61.616</v>
      </c>
      <c r="G27" s="349">
        <v>63.165999999999997</v>
      </c>
      <c r="H27" s="266">
        <v>64.840999999999994</v>
      </c>
      <c r="I27" s="266">
        <v>66.849999999999994</v>
      </c>
      <c r="J27" s="266">
        <v>68.647999999999996</v>
      </c>
      <c r="K27" s="266">
        <v>70.146000000000001</v>
      </c>
      <c r="L27" s="266">
        <v>71.81</v>
      </c>
      <c r="M27" s="266">
        <v>74.548000000000002</v>
      </c>
      <c r="N27" s="266">
        <v>77.944999999999993</v>
      </c>
      <c r="O27" s="266">
        <v>80.078999999999994</v>
      </c>
      <c r="P27" s="266">
        <v>82.757999999999996</v>
      </c>
      <c r="Q27" s="266">
        <v>85.213999999999999</v>
      </c>
      <c r="R27" s="266">
        <v>88.539000000000001</v>
      </c>
      <c r="S27" s="266">
        <v>92.376000000000005</v>
      </c>
      <c r="T27" s="266">
        <v>95.659000000000006</v>
      </c>
      <c r="U27" s="266">
        <v>99.436000000000007</v>
      </c>
      <c r="V27" s="266">
        <v>100</v>
      </c>
      <c r="W27" s="266">
        <v>100.452</v>
      </c>
      <c r="X27" s="266">
        <v>102.18600000000001</v>
      </c>
      <c r="Y27" s="266">
        <v>103.97</v>
      </c>
      <c r="Z27" s="266">
        <v>106.614</v>
      </c>
      <c r="AA27" s="266">
        <v>109.71899999999999</v>
      </c>
    </row>
    <row r="28" spans="1:27" x14ac:dyDescent="0.2">
      <c r="A28" s="266" t="s">
        <v>208</v>
      </c>
      <c r="B28" s="345" t="s">
        <v>248</v>
      </c>
      <c r="C28" s="349">
        <v>57.277000000000001</v>
      </c>
      <c r="D28" s="349">
        <v>59.085999999999999</v>
      </c>
      <c r="E28" s="349">
        <v>60.704000000000001</v>
      </c>
      <c r="F28" s="349">
        <v>62.357999999999997</v>
      </c>
      <c r="G28" s="349">
        <v>64.111000000000004</v>
      </c>
      <c r="H28" s="266">
        <v>66.093000000000004</v>
      </c>
      <c r="I28" s="266">
        <v>68.093999999999994</v>
      </c>
      <c r="J28" s="266">
        <v>70.004999999999995</v>
      </c>
      <c r="K28" s="266">
        <v>72.22</v>
      </c>
      <c r="L28" s="266">
        <v>74.222999999999999</v>
      </c>
      <c r="M28" s="266">
        <v>76.524000000000001</v>
      </c>
      <c r="N28" s="266">
        <v>79.543000000000006</v>
      </c>
      <c r="O28" s="266">
        <v>82.73</v>
      </c>
      <c r="P28" s="266">
        <v>84.828000000000003</v>
      </c>
      <c r="Q28" s="266">
        <v>86.965000000000003</v>
      </c>
      <c r="R28" s="266">
        <v>89.213999999999999</v>
      </c>
      <c r="S28" s="266">
        <v>92.340999999999994</v>
      </c>
      <c r="T28" s="266">
        <v>95.653999999999996</v>
      </c>
      <c r="U28" s="266">
        <v>98.253</v>
      </c>
      <c r="V28" s="266">
        <v>100</v>
      </c>
      <c r="W28" s="266">
        <v>100.05800000000001</v>
      </c>
      <c r="X28" s="266">
        <v>101.399</v>
      </c>
      <c r="Y28" s="266">
        <v>103.53100000000001</v>
      </c>
      <c r="Z28" s="266">
        <v>106.107</v>
      </c>
      <c r="AA28" s="266">
        <v>109.005</v>
      </c>
    </row>
    <row r="29" spans="1:27" x14ac:dyDescent="0.2">
      <c r="A29" s="266" t="s">
        <v>210</v>
      </c>
      <c r="B29" s="345" t="s">
        <v>249</v>
      </c>
      <c r="C29" s="349">
        <v>56.156999999999996</v>
      </c>
      <c r="D29" s="349">
        <v>58.231999999999999</v>
      </c>
      <c r="E29" s="349">
        <v>59.805999999999997</v>
      </c>
      <c r="F29" s="349">
        <v>61.271000000000001</v>
      </c>
      <c r="G29" s="349">
        <v>62.741</v>
      </c>
      <c r="H29" s="266">
        <v>64.234999999999999</v>
      </c>
      <c r="I29" s="266">
        <v>65.894999999999996</v>
      </c>
      <c r="J29" s="266">
        <v>67.754999999999995</v>
      </c>
      <c r="K29" s="266">
        <v>69.816000000000003</v>
      </c>
      <c r="L29" s="266">
        <v>71.858999999999995</v>
      </c>
      <c r="M29" s="266">
        <v>74.39</v>
      </c>
      <c r="N29" s="266">
        <v>77.608000000000004</v>
      </c>
      <c r="O29" s="266">
        <v>80.563999999999993</v>
      </c>
      <c r="P29" s="266">
        <v>82.807000000000002</v>
      </c>
      <c r="Q29" s="266">
        <v>84.902000000000001</v>
      </c>
      <c r="R29" s="266">
        <v>87.456999999999994</v>
      </c>
      <c r="S29" s="266">
        <v>90.576999999999998</v>
      </c>
      <c r="T29" s="266">
        <v>94.415999999999997</v>
      </c>
      <c r="U29" s="266">
        <v>97.820999999999998</v>
      </c>
      <c r="V29" s="266">
        <v>100</v>
      </c>
      <c r="W29" s="266">
        <v>100.13500000000001</v>
      </c>
      <c r="X29" s="266">
        <v>101.788</v>
      </c>
      <c r="Y29" s="266">
        <v>104.518</v>
      </c>
      <c r="Z29" s="266">
        <v>107.38</v>
      </c>
      <c r="AA29" s="266">
        <v>110.59099999999999</v>
      </c>
    </row>
    <row r="30" spans="1:27" x14ac:dyDescent="0.2">
      <c r="A30" s="266" t="s">
        <v>211</v>
      </c>
      <c r="B30" s="345" t="s">
        <v>250</v>
      </c>
      <c r="C30" s="349">
        <v>57.935000000000002</v>
      </c>
      <c r="D30" s="349">
        <v>59.62</v>
      </c>
      <c r="E30" s="349">
        <v>61.225999999999999</v>
      </c>
      <c r="F30" s="349">
        <v>62.863999999999997</v>
      </c>
      <c r="G30" s="349">
        <v>64.632999999999996</v>
      </c>
      <c r="H30" s="266">
        <v>66.774000000000001</v>
      </c>
      <c r="I30" s="266">
        <v>68.891999999999996</v>
      </c>
      <c r="J30" s="266">
        <v>70.899000000000001</v>
      </c>
      <c r="K30" s="266">
        <v>73.195999999999998</v>
      </c>
      <c r="L30" s="266">
        <v>75.191000000000003</v>
      </c>
      <c r="M30" s="266">
        <v>77.427999999999997</v>
      </c>
      <c r="N30" s="266">
        <v>80.397000000000006</v>
      </c>
      <c r="O30" s="266">
        <v>83.667000000000002</v>
      </c>
      <c r="P30" s="266">
        <v>85.710999999999999</v>
      </c>
      <c r="Q30" s="266">
        <v>87.664000000000001</v>
      </c>
      <c r="R30" s="266">
        <v>89.692999999999998</v>
      </c>
      <c r="S30" s="266">
        <v>92.817999999999998</v>
      </c>
      <c r="T30" s="266">
        <v>95.956999999999994</v>
      </c>
      <c r="U30" s="266">
        <v>98.372</v>
      </c>
      <c r="V30" s="266">
        <v>100</v>
      </c>
      <c r="W30" s="266">
        <v>99.986999999999995</v>
      </c>
      <c r="X30" s="266">
        <v>101.15</v>
      </c>
      <c r="Y30" s="266">
        <v>103.203</v>
      </c>
      <c r="Z30" s="266">
        <v>105.483</v>
      </c>
      <c r="AA30" s="266">
        <v>108.26900000000001</v>
      </c>
    </row>
    <row r="31" spans="1:27" x14ac:dyDescent="0.2">
      <c r="A31" s="266" t="s">
        <v>212</v>
      </c>
      <c r="B31" s="345" t="s">
        <v>251</v>
      </c>
      <c r="C31" s="349">
        <v>38.848999999999997</v>
      </c>
      <c r="D31" s="349">
        <v>41.49</v>
      </c>
      <c r="E31" s="349">
        <v>44.204000000000001</v>
      </c>
      <c r="F31" s="349">
        <v>49.654000000000003</v>
      </c>
      <c r="G31" s="349">
        <v>55.277000000000001</v>
      </c>
      <c r="H31" s="266">
        <v>57.561</v>
      </c>
      <c r="I31" s="266">
        <v>59.439</v>
      </c>
      <c r="J31" s="266">
        <v>56.978000000000002</v>
      </c>
      <c r="K31" s="266">
        <v>57.469000000000001</v>
      </c>
      <c r="L31" s="266">
        <v>59.05</v>
      </c>
      <c r="M31" s="266">
        <v>60.805</v>
      </c>
      <c r="N31" s="266">
        <v>63.118000000000002</v>
      </c>
      <c r="O31" s="266">
        <v>65.55</v>
      </c>
      <c r="P31" s="266">
        <v>68.147999999999996</v>
      </c>
      <c r="Q31" s="266">
        <v>80.5</v>
      </c>
      <c r="R31" s="266">
        <v>90.188000000000002</v>
      </c>
      <c r="S31" s="266">
        <v>93.626999999999995</v>
      </c>
      <c r="T31" s="266">
        <v>98.665999999999997</v>
      </c>
      <c r="U31" s="266">
        <v>98.721999999999994</v>
      </c>
      <c r="V31" s="266">
        <v>100</v>
      </c>
      <c r="W31" s="266">
        <v>102.84399999999999</v>
      </c>
      <c r="X31" s="266">
        <v>108.834</v>
      </c>
      <c r="Y31" s="266">
        <v>103.878</v>
      </c>
      <c r="Z31" s="266">
        <v>119.626</v>
      </c>
      <c r="AA31" s="266">
        <v>123.163</v>
      </c>
    </row>
    <row r="32" spans="1:27" x14ac:dyDescent="0.2">
      <c r="A32" s="266" t="s">
        <v>214</v>
      </c>
      <c r="B32" s="345" t="s">
        <v>252</v>
      </c>
      <c r="C32" s="349">
        <v>55.473999999999997</v>
      </c>
      <c r="D32" s="349">
        <v>57.53</v>
      </c>
      <c r="E32" s="349">
        <v>59.073</v>
      </c>
      <c r="F32" s="349">
        <v>60.533999999999999</v>
      </c>
      <c r="G32" s="349">
        <v>61.975999999999999</v>
      </c>
      <c r="H32" s="266">
        <v>63.512999999999998</v>
      </c>
      <c r="I32" s="266">
        <v>65.19</v>
      </c>
      <c r="J32" s="266">
        <v>67.087999999999994</v>
      </c>
      <c r="K32" s="266">
        <v>69.216999999999999</v>
      </c>
      <c r="L32" s="266">
        <v>71.326999999999998</v>
      </c>
      <c r="M32" s="266">
        <v>73.917000000000002</v>
      </c>
      <c r="N32" s="266">
        <v>77.183000000000007</v>
      </c>
      <c r="O32" s="266">
        <v>80.236999999999995</v>
      </c>
      <c r="P32" s="266">
        <v>82.608000000000004</v>
      </c>
      <c r="Q32" s="266">
        <v>84.805000000000007</v>
      </c>
      <c r="R32" s="266">
        <v>87.353999999999999</v>
      </c>
      <c r="S32" s="266">
        <v>90.491</v>
      </c>
      <c r="T32" s="266">
        <v>94.332999999999998</v>
      </c>
      <c r="U32" s="266">
        <v>97.775999999999996</v>
      </c>
      <c r="V32" s="266">
        <v>100</v>
      </c>
      <c r="W32" s="266">
        <v>100.23099999999999</v>
      </c>
      <c r="X32" s="266">
        <v>101.96</v>
      </c>
      <c r="Y32" s="266">
        <v>104.652</v>
      </c>
      <c r="Z32" s="266">
        <v>107.59699999999999</v>
      </c>
      <c r="AA32" s="266">
        <v>110.994</v>
      </c>
    </row>
    <row r="33" spans="1:28" x14ac:dyDescent="0.2">
      <c r="A33" s="266" t="s">
        <v>216</v>
      </c>
      <c r="B33" s="345" t="s">
        <v>253</v>
      </c>
      <c r="C33" s="349">
        <v>52.878</v>
      </c>
      <c r="D33" s="349">
        <v>54.585999999999999</v>
      </c>
      <c r="E33" s="349">
        <v>55.91</v>
      </c>
      <c r="F33" s="349">
        <v>57.750999999999998</v>
      </c>
      <c r="G33" s="349">
        <v>58.491999999999997</v>
      </c>
      <c r="H33" s="266">
        <v>58.942</v>
      </c>
      <c r="I33" s="266">
        <v>60.951999999999998</v>
      </c>
      <c r="J33" s="266">
        <v>62.274000000000001</v>
      </c>
      <c r="K33" s="266">
        <v>60.820999999999998</v>
      </c>
      <c r="L33" s="266">
        <v>61.064</v>
      </c>
      <c r="M33" s="266">
        <v>65.617999999999995</v>
      </c>
      <c r="N33" s="266">
        <v>70.635000000000005</v>
      </c>
      <c r="O33" s="266">
        <v>68.137</v>
      </c>
      <c r="P33" s="266">
        <v>73.326999999999998</v>
      </c>
      <c r="Q33" s="266">
        <v>77.180000000000007</v>
      </c>
      <c r="R33" s="266">
        <v>85.415999999999997</v>
      </c>
      <c r="S33" s="266">
        <v>92.647999999999996</v>
      </c>
      <c r="T33" s="266">
        <v>95.789000000000001</v>
      </c>
      <c r="U33" s="266">
        <v>105.423</v>
      </c>
      <c r="V33" s="266">
        <v>100</v>
      </c>
      <c r="W33" s="266">
        <v>102.45099999999999</v>
      </c>
      <c r="X33" s="266">
        <v>106.21299999999999</v>
      </c>
      <c r="Y33" s="266">
        <v>106.111</v>
      </c>
      <c r="Z33" s="266">
        <v>109.121</v>
      </c>
      <c r="AA33" s="266">
        <v>113.351</v>
      </c>
    </row>
    <row r="34" spans="1:28" x14ac:dyDescent="0.2">
      <c r="A34" s="266" t="s">
        <v>218</v>
      </c>
      <c r="B34" s="345" t="s">
        <v>254</v>
      </c>
      <c r="C34" s="349">
        <v>43.46</v>
      </c>
      <c r="D34" s="349">
        <v>46.81</v>
      </c>
      <c r="E34" s="349">
        <v>50.146999999999998</v>
      </c>
      <c r="F34" s="349">
        <v>52.915999999999997</v>
      </c>
      <c r="G34" s="349">
        <v>55.52</v>
      </c>
      <c r="H34" s="266">
        <v>57.311</v>
      </c>
      <c r="I34" s="266">
        <v>59.36</v>
      </c>
      <c r="J34" s="266">
        <v>60.825000000000003</v>
      </c>
      <c r="K34" s="266">
        <v>62.793999999999997</v>
      </c>
      <c r="L34" s="266">
        <v>64.185000000000002</v>
      </c>
      <c r="M34" s="266">
        <v>65.760000000000005</v>
      </c>
      <c r="N34" s="266">
        <v>67.658000000000001</v>
      </c>
      <c r="O34" s="266">
        <v>69.843999999999994</v>
      </c>
      <c r="P34" s="266">
        <v>72.408000000000001</v>
      </c>
      <c r="Q34" s="266">
        <v>76.713999999999999</v>
      </c>
      <c r="R34" s="266">
        <v>80.738</v>
      </c>
      <c r="S34" s="266">
        <v>84.715999999999994</v>
      </c>
      <c r="T34" s="266">
        <v>89.001000000000005</v>
      </c>
      <c r="U34" s="266">
        <v>94.238</v>
      </c>
      <c r="V34" s="266">
        <v>100</v>
      </c>
      <c r="W34" s="266">
        <v>106.27</v>
      </c>
      <c r="X34" s="266">
        <v>111.76</v>
      </c>
      <c r="Y34" s="266">
        <v>117.96599999999999</v>
      </c>
      <c r="Z34" s="266">
        <v>123.255</v>
      </c>
      <c r="AA34" s="266">
        <v>127.83199999999999</v>
      </c>
    </row>
    <row r="35" spans="1:28" x14ac:dyDescent="0.2">
      <c r="A35" s="266" t="s">
        <v>220</v>
      </c>
      <c r="B35" s="345" t="s">
        <v>255</v>
      </c>
      <c r="C35" s="349">
        <v>55.743000000000002</v>
      </c>
      <c r="D35" s="349">
        <v>56.948</v>
      </c>
      <c r="E35" s="349">
        <v>57.676000000000002</v>
      </c>
      <c r="F35" s="349">
        <v>59.246000000000002</v>
      </c>
      <c r="G35" s="349">
        <v>59.433</v>
      </c>
      <c r="H35" s="266">
        <v>59.470999999999997</v>
      </c>
      <c r="I35" s="266">
        <v>61.469000000000001</v>
      </c>
      <c r="J35" s="266">
        <v>62.746000000000002</v>
      </c>
      <c r="K35" s="266">
        <v>60.183</v>
      </c>
      <c r="L35" s="266">
        <v>60.051000000000002</v>
      </c>
      <c r="M35" s="266">
        <v>65.582999999999998</v>
      </c>
      <c r="N35" s="266">
        <v>71.637</v>
      </c>
      <c r="O35" s="266">
        <v>67.575999999999993</v>
      </c>
      <c r="P35" s="266">
        <v>73.626000000000005</v>
      </c>
      <c r="Q35" s="266">
        <v>77.332999999999998</v>
      </c>
      <c r="R35" s="266">
        <v>86.888999999999996</v>
      </c>
      <c r="S35" s="266">
        <v>95.158000000000001</v>
      </c>
      <c r="T35" s="266">
        <v>97.929000000000002</v>
      </c>
      <c r="U35" s="266">
        <v>108.973</v>
      </c>
      <c r="V35" s="266">
        <v>100</v>
      </c>
      <c r="W35" s="266">
        <v>101.285</v>
      </c>
      <c r="X35" s="266">
        <v>104.524</v>
      </c>
      <c r="Y35" s="266">
        <v>102.48699999999999</v>
      </c>
      <c r="Z35" s="266">
        <v>104.81</v>
      </c>
      <c r="AA35" s="266">
        <v>108.931</v>
      </c>
    </row>
    <row r="36" spans="1:28" x14ac:dyDescent="0.2">
      <c r="A36" s="266" t="s">
        <v>256</v>
      </c>
      <c r="B36" s="345" t="s">
        <v>257</v>
      </c>
      <c r="C36" s="349">
        <v>61.02</v>
      </c>
      <c r="D36" s="349">
        <v>63.295000000000002</v>
      </c>
      <c r="E36" s="349">
        <v>64.524000000000001</v>
      </c>
      <c r="F36" s="349">
        <v>65.789000000000001</v>
      </c>
      <c r="G36" s="349">
        <v>65.813999999999993</v>
      </c>
      <c r="H36" s="266">
        <v>67.299000000000007</v>
      </c>
      <c r="I36" s="266">
        <v>68.415000000000006</v>
      </c>
      <c r="J36" s="266">
        <v>68.78</v>
      </c>
      <c r="K36" s="266">
        <v>66.12</v>
      </c>
      <c r="L36" s="266">
        <v>65.602999999999994</v>
      </c>
      <c r="M36" s="266">
        <v>66.664000000000001</v>
      </c>
      <c r="N36" s="266">
        <v>71.39</v>
      </c>
      <c r="O36" s="266">
        <v>70.697000000000003</v>
      </c>
      <c r="P36" s="266">
        <v>72.367999999999995</v>
      </c>
      <c r="Q36" s="266">
        <v>73.710999999999999</v>
      </c>
      <c r="R36" s="266">
        <v>78.290999999999997</v>
      </c>
      <c r="S36" s="266">
        <v>87.766999999999996</v>
      </c>
      <c r="T36" s="266">
        <v>91.207999999999998</v>
      </c>
      <c r="U36" s="266">
        <v>97.039000000000001</v>
      </c>
      <c r="V36" s="266">
        <v>100</v>
      </c>
      <c r="W36" s="266">
        <v>100.167</v>
      </c>
      <c r="X36" s="266">
        <v>101.83799999999999</v>
      </c>
      <c r="Y36" s="266">
        <v>101.816</v>
      </c>
      <c r="Z36" s="266">
        <v>103.955</v>
      </c>
      <c r="AA36" s="266">
        <v>107.68899999999999</v>
      </c>
    </row>
    <row r="37" spans="1:28" x14ac:dyDescent="0.2">
      <c r="A37" s="266" t="s">
        <v>258</v>
      </c>
      <c r="B37" s="345" t="s">
        <v>259</v>
      </c>
      <c r="C37" s="349">
        <v>50.29</v>
      </c>
      <c r="D37" s="349">
        <v>50.920999999999999</v>
      </c>
      <c r="E37" s="349">
        <v>51.86</v>
      </c>
      <c r="F37" s="349">
        <v>55.037999999999997</v>
      </c>
      <c r="G37" s="349">
        <v>56.067</v>
      </c>
      <c r="H37" s="266">
        <v>53.113999999999997</v>
      </c>
      <c r="I37" s="266">
        <v>55.274000000000001</v>
      </c>
      <c r="J37" s="266">
        <v>59.115000000000002</v>
      </c>
      <c r="K37" s="266">
        <v>58.011000000000003</v>
      </c>
      <c r="L37" s="266">
        <v>58.427999999999997</v>
      </c>
      <c r="M37" s="266">
        <v>68.953000000000003</v>
      </c>
      <c r="N37" s="266">
        <v>82.137</v>
      </c>
      <c r="O37" s="266">
        <v>70.028000000000006</v>
      </c>
      <c r="P37" s="266">
        <v>85.944000000000003</v>
      </c>
      <c r="Q37" s="266">
        <v>93.168000000000006</v>
      </c>
      <c r="R37" s="266">
        <v>111.01300000000001</v>
      </c>
      <c r="S37" s="266">
        <v>113.82899999999999</v>
      </c>
      <c r="T37" s="266">
        <v>112.72499999999999</v>
      </c>
      <c r="U37" s="266">
        <v>127.84099999999999</v>
      </c>
      <c r="V37" s="266">
        <v>100</v>
      </c>
      <c r="W37" s="266">
        <v>98.039000000000001</v>
      </c>
      <c r="X37" s="266">
        <v>95.088999999999999</v>
      </c>
      <c r="Y37" s="266">
        <v>85.563999999999993</v>
      </c>
      <c r="Z37" s="266">
        <v>89.727000000000004</v>
      </c>
      <c r="AA37" s="266">
        <v>96.212999999999994</v>
      </c>
    </row>
    <row r="38" spans="1:28" x14ac:dyDescent="0.2">
      <c r="A38" s="266" t="s">
        <v>260</v>
      </c>
      <c r="B38" s="345" t="s">
        <v>261</v>
      </c>
      <c r="C38" s="349">
        <v>40.887999999999998</v>
      </c>
      <c r="D38" s="349">
        <v>38.927999999999997</v>
      </c>
      <c r="E38" s="349">
        <v>37.344000000000001</v>
      </c>
      <c r="F38" s="349">
        <v>37.085999999999999</v>
      </c>
      <c r="G38" s="349">
        <v>36.411999999999999</v>
      </c>
      <c r="H38" s="266">
        <v>36.072000000000003</v>
      </c>
      <c r="I38" s="266">
        <v>40.884</v>
      </c>
      <c r="J38" s="266">
        <v>40.951000000000001</v>
      </c>
      <c r="K38" s="266">
        <v>36.289000000000001</v>
      </c>
      <c r="L38" s="266">
        <v>36.911000000000001</v>
      </c>
      <c r="M38" s="266">
        <v>54.116999999999997</v>
      </c>
      <c r="N38" s="266">
        <v>53.06</v>
      </c>
      <c r="O38" s="266">
        <v>47.302999999999997</v>
      </c>
      <c r="P38" s="266">
        <v>57.197000000000003</v>
      </c>
      <c r="Q38" s="266">
        <v>66.591999999999999</v>
      </c>
      <c r="R38" s="266">
        <v>88.600999999999999</v>
      </c>
      <c r="S38" s="266">
        <v>100.72499999999999</v>
      </c>
      <c r="T38" s="266">
        <v>107.664</v>
      </c>
      <c r="U38" s="266">
        <v>146.024</v>
      </c>
      <c r="V38" s="266">
        <v>100</v>
      </c>
      <c r="W38" s="266">
        <v>116.956</v>
      </c>
      <c r="X38" s="266">
        <v>148.768</v>
      </c>
      <c r="Y38" s="266">
        <v>150.749</v>
      </c>
      <c r="Z38" s="266">
        <v>148.96700000000001</v>
      </c>
      <c r="AA38" s="266">
        <v>148.86099999999999</v>
      </c>
    </row>
    <row r="39" spans="1:28" x14ac:dyDescent="0.2">
      <c r="A39" s="266" t="s">
        <v>262</v>
      </c>
      <c r="B39" s="348" t="s">
        <v>263</v>
      </c>
      <c r="C39" s="349">
        <v>94.518000000000001</v>
      </c>
      <c r="D39" s="349">
        <v>96.013999999999996</v>
      </c>
      <c r="E39" s="349">
        <v>97.191000000000003</v>
      </c>
      <c r="F39" s="349">
        <v>97.837999999999994</v>
      </c>
      <c r="G39" s="349">
        <v>99.001999999999995</v>
      </c>
      <c r="H39" s="266">
        <v>99.840999999999994</v>
      </c>
      <c r="I39" s="266">
        <v>100.71</v>
      </c>
      <c r="J39" s="266">
        <v>100.977</v>
      </c>
      <c r="K39" s="266">
        <v>101.455</v>
      </c>
      <c r="L39" s="266">
        <v>101.352</v>
      </c>
      <c r="M39" s="266">
        <v>102.143</v>
      </c>
      <c r="N39" s="266">
        <v>102.182</v>
      </c>
      <c r="O39" s="266">
        <v>101.255</v>
      </c>
      <c r="P39" s="266">
        <v>99.027000000000001</v>
      </c>
      <c r="Q39" s="266">
        <v>98.396000000000001</v>
      </c>
      <c r="R39" s="266">
        <v>99.100999999999999</v>
      </c>
      <c r="S39" s="266">
        <v>99.453999999999994</v>
      </c>
      <c r="T39" s="266">
        <v>99.063999999999993</v>
      </c>
      <c r="U39" s="266">
        <v>99.593000000000004</v>
      </c>
      <c r="V39" s="266">
        <v>100</v>
      </c>
      <c r="W39" s="266">
        <v>97.197000000000003</v>
      </c>
      <c r="X39" s="266">
        <v>96.406999999999996</v>
      </c>
      <c r="Y39" s="266">
        <v>96.68</v>
      </c>
      <c r="Z39" s="266">
        <v>95.355999999999995</v>
      </c>
      <c r="AA39" s="266">
        <v>93.313999999999993</v>
      </c>
    </row>
    <row r="40" spans="1:28" x14ac:dyDescent="0.2">
      <c r="A40" s="266" t="s">
        <v>264</v>
      </c>
      <c r="B40" s="345" t="s">
        <v>265</v>
      </c>
      <c r="C40" s="349">
        <v>106.464</v>
      </c>
      <c r="D40" s="349">
        <v>107.22499999999999</v>
      </c>
      <c r="E40" s="349">
        <v>109.35299999999999</v>
      </c>
      <c r="F40" s="349">
        <v>110.67</v>
      </c>
      <c r="G40" s="349">
        <v>112.661</v>
      </c>
      <c r="H40" s="266">
        <v>113.495</v>
      </c>
      <c r="I40" s="266">
        <v>114.539</v>
      </c>
      <c r="J40" s="266">
        <v>114.6</v>
      </c>
      <c r="K40" s="266">
        <v>114.949</v>
      </c>
      <c r="L40" s="266">
        <v>114.211</v>
      </c>
      <c r="M40" s="266">
        <v>113.40300000000001</v>
      </c>
      <c r="N40" s="266">
        <v>111.895</v>
      </c>
      <c r="O40" s="266">
        <v>109.782</v>
      </c>
      <c r="P40" s="266">
        <v>107.148</v>
      </c>
      <c r="Q40" s="266">
        <v>106.006</v>
      </c>
      <c r="R40" s="266">
        <v>105.151</v>
      </c>
      <c r="S40" s="266">
        <v>104.37</v>
      </c>
      <c r="T40" s="266">
        <v>102.38200000000001</v>
      </c>
      <c r="U40" s="266">
        <v>100.636</v>
      </c>
      <c r="V40" s="266">
        <v>100</v>
      </c>
      <c r="W40" s="266">
        <v>95.486000000000004</v>
      </c>
      <c r="X40" s="266">
        <v>93.731999999999999</v>
      </c>
      <c r="Y40" s="266">
        <v>93.117000000000004</v>
      </c>
      <c r="Z40" s="266">
        <v>90.597999999999999</v>
      </c>
      <c r="AA40" s="266">
        <v>87.748999999999995</v>
      </c>
    </row>
    <row r="41" spans="1:28" x14ac:dyDescent="0.2">
      <c r="A41" s="266" t="s">
        <v>266</v>
      </c>
      <c r="B41" s="345" t="s">
        <v>267</v>
      </c>
      <c r="C41" s="349">
        <v>159.578</v>
      </c>
      <c r="D41" s="349">
        <v>159.65299999999999</v>
      </c>
      <c r="E41" s="349">
        <v>160.84100000000001</v>
      </c>
      <c r="F41" s="349">
        <v>160.767</v>
      </c>
      <c r="G41" s="349">
        <v>160.75899999999999</v>
      </c>
      <c r="H41" s="266">
        <v>158.53100000000001</v>
      </c>
      <c r="I41" s="266">
        <v>155.17099999999999</v>
      </c>
      <c r="J41" s="266">
        <v>151.64599999999999</v>
      </c>
      <c r="K41" s="266">
        <v>147.733</v>
      </c>
      <c r="L41" s="266">
        <v>146.33099999999999</v>
      </c>
      <c r="M41" s="266">
        <v>144.11500000000001</v>
      </c>
      <c r="N41" s="266">
        <v>139.05199999999999</v>
      </c>
      <c r="O41" s="266">
        <v>135.34</v>
      </c>
      <c r="P41" s="266">
        <v>127.35</v>
      </c>
      <c r="Q41" s="266">
        <v>122.66500000000001</v>
      </c>
      <c r="R41" s="266">
        <v>119.742</v>
      </c>
      <c r="S41" s="266">
        <v>114.143</v>
      </c>
      <c r="T41" s="266">
        <v>108.423</v>
      </c>
      <c r="U41" s="266">
        <v>104.346</v>
      </c>
      <c r="V41" s="266">
        <v>100</v>
      </c>
      <c r="W41" s="266">
        <v>94.745999999999995</v>
      </c>
      <c r="X41" s="266">
        <v>92.171999999999997</v>
      </c>
      <c r="Y41" s="266">
        <v>88.855000000000004</v>
      </c>
      <c r="Z41" s="266">
        <v>85.555999999999997</v>
      </c>
      <c r="AA41" s="266">
        <v>83.319000000000003</v>
      </c>
    </row>
    <row r="42" spans="1:28" x14ac:dyDescent="0.2">
      <c r="A42" s="266" t="s">
        <v>268</v>
      </c>
      <c r="B42" s="345" t="s">
        <v>269</v>
      </c>
      <c r="C42" s="349">
        <v>97.075000000000003</v>
      </c>
      <c r="D42" s="349">
        <v>96.236999999999995</v>
      </c>
      <c r="E42" s="349">
        <v>95.867999999999995</v>
      </c>
      <c r="F42" s="349">
        <v>96.36</v>
      </c>
      <c r="G42" s="349">
        <v>97.591999999999999</v>
      </c>
      <c r="H42" s="266">
        <v>97.031000000000006</v>
      </c>
      <c r="I42" s="266">
        <v>97.233000000000004</v>
      </c>
      <c r="J42" s="266">
        <v>97.063000000000002</v>
      </c>
      <c r="K42" s="266">
        <v>96.207999999999998</v>
      </c>
      <c r="L42" s="266">
        <v>94.787000000000006</v>
      </c>
      <c r="M42" s="266">
        <v>94.296000000000006</v>
      </c>
      <c r="N42" s="266">
        <v>94.283000000000001</v>
      </c>
      <c r="O42" s="266">
        <v>93.760999999999996</v>
      </c>
      <c r="P42" s="266">
        <v>91.5</v>
      </c>
      <c r="Q42" s="266">
        <v>89.114999999999995</v>
      </c>
      <c r="R42" s="266">
        <v>91.853999999999999</v>
      </c>
      <c r="S42" s="266">
        <v>94.352999999999994</v>
      </c>
      <c r="T42" s="266">
        <v>97.537000000000006</v>
      </c>
      <c r="U42" s="266">
        <v>98.971000000000004</v>
      </c>
      <c r="V42" s="266">
        <v>100</v>
      </c>
      <c r="W42" s="266">
        <v>96.358000000000004</v>
      </c>
      <c r="X42" s="266">
        <v>95.546000000000006</v>
      </c>
      <c r="Y42" s="266">
        <v>99.933999999999997</v>
      </c>
      <c r="Z42" s="266">
        <v>98.335999999999999</v>
      </c>
      <c r="AA42" s="266">
        <v>93.578999999999994</v>
      </c>
    </row>
    <row r="43" spans="1:28" x14ac:dyDescent="0.2">
      <c r="A43" s="266" t="s">
        <v>270</v>
      </c>
      <c r="B43" s="345" t="s">
        <v>271</v>
      </c>
      <c r="C43" s="349">
        <v>115.955</v>
      </c>
      <c r="D43" s="349">
        <v>118.633</v>
      </c>
      <c r="E43" s="349">
        <v>120.995</v>
      </c>
      <c r="F43" s="349">
        <v>120.336</v>
      </c>
      <c r="G43" s="349">
        <v>121.934</v>
      </c>
      <c r="H43" s="266">
        <v>119.535</v>
      </c>
      <c r="I43" s="266">
        <v>118.139</v>
      </c>
      <c r="J43" s="266">
        <v>117.377</v>
      </c>
      <c r="K43" s="266">
        <v>119.956</v>
      </c>
      <c r="L43" s="266">
        <v>117.456</v>
      </c>
      <c r="M43" s="266">
        <v>116.057</v>
      </c>
      <c r="N43" s="266">
        <v>112.873</v>
      </c>
      <c r="O43" s="266">
        <v>108.776</v>
      </c>
      <c r="P43" s="266">
        <v>104.449</v>
      </c>
      <c r="Q43" s="266">
        <v>104.297</v>
      </c>
      <c r="R43" s="266">
        <v>103.702</v>
      </c>
      <c r="S43" s="266">
        <v>100.071</v>
      </c>
      <c r="T43" s="266">
        <v>98.54</v>
      </c>
      <c r="U43" s="266">
        <v>99.846999999999994</v>
      </c>
      <c r="V43" s="266">
        <v>100</v>
      </c>
      <c r="W43" s="266">
        <v>97.394000000000005</v>
      </c>
      <c r="X43" s="266">
        <v>95.498000000000005</v>
      </c>
      <c r="Y43" s="266">
        <v>91.700999999999993</v>
      </c>
      <c r="Z43" s="266">
        <v>90.549000000000007</v>
      </c>
      <c r="AA43" s="266">
        <v>86.894000000000005</v>
      </c>
    </row>
    <row r="44" spans="1:28" x14ac:dyDescent="0.2">
      <c r="A44" s="266" t="s">
        <v>272</v>
      </c>
      <c r="B44" s="345" t="s">
        <v>273</v>
      </c>
      <c r="C44" s="349">
        <v>98.16</v>
      </c>
      <c r="D44" s="349">
        <v>99.238</v>
      </c>
      <c r="E44" s="349">
        <v>99.113</v>
      </c>
      <c r="F44" s="349">
        <v>99.126999999999995</v>
      </c>
      <c r="G44" s="349">
        <v>100.88500000000001</v>
      </c>
      <c r="H44" s="266">
        <v>100.91</v>
      </c>
      <c r="I44" s="266">
        <v>102.59099999999999</v>
      </c>
      <c r="J44" s="266">
        <v>104.063</v>
      </c>
      <c r="K44" s="266">
        <v>101.489</v>
      </c>
      <c r="L44" s="266">
        <v>99.375</v>
      </c>
      <c r="M44" s="266">
        <v>99.341999999999999</v>
      </c>
      <c r="N44" s="266">
        <v>98.8</v>
      </c>
      <c r="O44" s="266">
        <v>97.6</v>
      </c>
      <c r="P44" s="266">
        <v>95.417000000000002</v>
      </c>
      <c r="Q44" s="266">
        <v>96.444000000000003</v>
      </c>
      <c r="R44" s="266">
        <v>99.218000000000004</v>
      </c>
      <c r="S44" s="266">
        <v>100.292</v>
      </c>
      <c r="T44" s="266">
        <v>100.511</v>
      </c>
      <c r="U44" s="266">
        <v>99.611999999999995</v>
      </c>
      <c r="V44" s="266">
        <v>100</v>
      </c>
      <c r="W44" s="266">
        <v>97.265000000000001</v>
      </c>
      <c r="X44" s="266">
        <v>98.444999999999993</v>
      </c>
      <c r="Y44" s="266">
        <v>99.647999999999996</v>
      </c>
      <c r="Z44" s="266">
        <v>100.44199999999999</v>
      </c>
      <c r="AA44" s="266">
        <v>99.875</v>
      </c>
    </row>
    <row r="45" spans="1:28" x14ac:dyDescent="0.2">
      <c r="A45" s="266" t="s">
        <v>274</v>
      </c>
      <c r="B45" s="345" t="s">
        <v>275</v>
      </c>
      <c r="C45" s="349">
        <v>63.506</v>
      </c>
      <c r="D45" s="349">
        <v>65.962000000000003</v>
      </c>
      <c r="E45" s="349">
        <v>66.781000000000006</v>
      </c>
      <c r="F45" s="349">
        <v>67.384</v>
      </c>
      <c r="G45" s="349">
        <v>67.935000000000002</v>
      </c>
      <c r="H45" s="266">
        <v>70.156999999999996</v>
      </c>
      <c r="I45" s="266">
        <v>71.977000000000004</v>
      </c>
      <c r="J45" s="266">
        <v>73.126000000000005</v>
      </c>
      <c r="K45" s="266">
        <v>74.686000000000007</v>
      </c>
      <c r="L45" s="266">
        <v>76.323999999999998</v>
      </c>
      <c r="M45" s="266">
        <v>79.739999999999995</v>
      </c>
      <c r="N45" s="266">
        <v>82.816000000000003</v>
      </c>
      <c r="O45" s="266">
        <v>84.212000000000003</v>
      </c>
      <c r="P45" s="266">
        <v>84.238</v>
      </c>
      <c r="Q45" s="266">
        <v>85.274000000000001</v>
      </c>
      <c r="R45" s="266">
        <v>87.718999999999994</v>
      </c>
      <c r="S45" s="266">
        <v>91.212999999999994</v>
      </c>
      <c r="T45" s="266">
        <v>93.073999999999998</v>
      </c>
      <c r="U45" s="266">
        <v>97.117000000000004</v>
      </c>
      <c r="V45" s="266">
        <v>100</v>
      </c>
      <c r="W45" s="266">
        <v>100.099</v>
      </c>
      <c r="X45" s="266">
        <v>101.164</v>
      </c>
      <c r="Y45" s="266">
        <v>103.688</v>
      </c>
      <c r="Z45" s="266">
        <v>104.34399999999999</v>
      </c>
      <c r="AA45" s="266">
        <v>104.85899999999999</v>
      </c>
    </row>
    <row r="46" spans="1:28" x14ac:dyDescent="0.2">
      <c r="A46" s="266" t="s">
        <v>276</v>
      </c>
      <c r="B46" s="348" t="s">
        <v>277</v>
      </c>
      <c r="C46" s="349">
        <v>52.136000000000003</v>
      </c>
      <c r="D46" s="349">
        <v>56.104999999999997</v>
      </c>
      <c r="E46" s="349">
        <v>59.927999999999997</v>
      </c>
      <c r="F46" s="349">
        <v>62.948999999999998</v>
      </c>
      <c r="G46" s="349">
        <v>65.361999999999995</v>
      </c>
      <c r="H46" s="266">
        <v>67.539000000000001</v>
      </c>
      <c r="I46" s="266">
        <v>69.114999999999995</v>
      </c>
      <c r="J46" s="266">
        <v>70.457999999999998</v>
      </c>
      <c r="K46" s="266">
        <v>71.834000000000003</v>
      </c>
      <c r="L46" s="266">
        <v>73.578999999999994</v>
      </c>
      <c r="M46" s="266">
        <v>75.733000000000004</v>
      </c>
      <c r="N46" s="266">
        <v>78.396000000000001</v>
      </c>
      <c r="O46" s="266">
        <v>80.573999999999998</v>
      </c>
      <c r="P46" s="266">
        <v>83.442999999999998</v>
      </c>
      <c r="Q46" s="266">
        <v>86.370999999999995</v>
      </c>
      <c r="R46" s="266">
        <v>89.05</v>
      </c>
      <c r="S46" s="266">
        <v>91.864000000000004</v>
      </c>
      <c r="T46" s="266">
        <v>94.869</v>
      </c>
      <c r="U46" s="266">
        <v>97.320999999999998</v>
      </c>
      <c r="V46" s="266">
        <v>100</v>
      </c>
      <c r="W46" s="266">
        <v>102.61</v>
      </c>
      <c r="X46" s="266">
        <v>104.736</v>
      </c>
      <c r="Y46" s="266">
        <v>106.86</v>
      </c>
      <c r="Z46" s="266">
        <v>108.214</v>
      </c>
      <c r="AA46" s="266">
        <v>109.76600000000001</v>
      </c>
      <c r="AB46" s="350"/>
    </row>
    <row r="47" spans="1:28" x14ac:dyDescent="0.2">
      <c r="A47" s="266" t="s">
        <v>278</v>
      </c>
      <c r="B47" s="345" t="s">
        <v>279</v>
      </c>
      <c r="C47" s="349">
        <v>56.582999999999998</v>
      </c>
      <c r="D47" s="349">
        <v>60.466999999999999</v>
      </c>
      <c r="E47" s="349">
        <v>63.7</v>
      </c>
      <c r="F47" s="349">
        <v>65.572999999999993</v>
      </c>
      <c r="G47" s="349">
        <v>67.055000000000007</v>
      </c>
      <c r="H47" s="266">
        <v>67.86</v>
      </c>
      <c r="I47" s="266">
        <v>69.346999999999994</v>
      </c>
      <c r="J47" s="266">
        <v>70.438000000000002</v>
      </c>
      <c r="K47" s="266">
        <v>72.085999999999999</v>
      </c>
      <c r="L47" s="266">
        <v>74.751999999999995</v>
      </c>
      <c r="M47" s="266">
        <v>77.350999999999999</v>
      </c>
      <c r="N47" s="266">
        <v>80.665000000000006</v>
      </c>
      <c r="O47" s="266">
        <v>83.697999999999993</v>
      </c>
      <c r="P47" s="266">
        <v>85.772999999999996</v>
      </c>
      <c r="Q47" s="266">
        <v>88.061999999999998</v>
      </c>
      <c r="R47" s="266">
        <v>90.480999999999995</v>
      </c>
      <c r="S47" s="266">
        <v>93.846000000000004</v>
      </c>
      <c r="T47" s="266">
        <v>95.212000000000003</v>
      </c>
      <c r="U47" s="266">
        <v>97.185000000000002</v>
      </c>
      <c r="V47" s="266">
        <v>100</v>
      </c>
      <c r="W47" s="266">
        <v>103.01300000000001</v>
      </c>
      <c r="X47" s="266">
        <v>106.203</v>
      </c>
      <c r="Y47" s="266">
        <v>109.28100000000001</v>
      </c>
      <c r="Z47" s="266">
        <v>109.824</v>
      </c>
      <c r="AA47" s="266">
        <v>112.776</v>
      </c>
    </row>
    <row r="48" spans="1:28" x14ac:dyDescent="0.2">
      <c r="A48" s="266" t="s">
        <v>280</v>
      </c>
      <c r="B48" s="345" t="s">
        <v>281</v>
      </c>
      <c r="C48" s="349">
        <v>54.106999999999999</v>
      </c>
      <c r="D48" s="349">
        <v>58.271999999999998</v>
      </c>
      <c r="E48" s="349">
        <v>61.598999999999997</v>
      </c>
      <c r="F48" s="349">
        <v>63.427999999999997</v>
      </c>
      <c r="G48" s="349">
        <v>64.915999999999997</v>
      </c>
      <c r="H48" s="266">
        <v>65.400000000000006</v>
      </c>
      <c r="I48" s="266">
        <v>66.933000000000007</v>
      </c>
      <c r="J48" s="266">
        <v>68.012</v>
      </c>
      <c r="K48" s="266">
        <v>69.712999999999994</v>
      </c>
      <c r="L48" s="266">
        <v>72.722999999999999</v>
      </c>
      <c r="M48" s="266">
        <v>75.459000000000003</v>
      </c>
      <c r="N48" s="266">
        <v>79.028000000000006</v>
      </c>
      <c r="O48" s="266">
        <v>82.492999999999995</v>
      </c>
      <c r="P48" s="266">
        <v>84.84</v>
      </c>
      <c r="Q48" s="266">
        <v>87.256</v>
      </c>
      <c r="R48" s="266">
        <v>89.823999999999998</v>
      </c>
      <c r="S48" s="266">
        <v>93.391999999999996</v>
      </c>
      <c r="T48" s="266">
        <v>94.731999999999999</v>
      </c>
      <c r="U48" s="266">
        <v>96.89</v>
      </c>
      <c r="V48" s="266">
        <v>100</v>
      </c>
      <c r="W48" s="266">
        <v>103.628</v>
      </c>
      <c r="X48" s="266">
        <v>107.27200000000001</v>
      </c>
      <c r="Y48" s="266">
        <v>110.711</v>
      </c>
      <c r="Z48" s="266">
        <v>111.265</v>
      </c>
      <c r="AA48" s="266">
        <v>114.613</v>
      </c>
    </row>
    <row r="49" spans="1:27" x14ac:dyDescent="0.2">
      <c r="A49" s="266" t="s">
        <v>282</v>
      </c>
      <c r="B49" s="345" t="s">
        <v>283</v>
      </c>
      <c r="C49" s="349">
        <v>53.866999999999997</v>
      </c>
      <c r="D49" s="349">
        <v>58.052</v>
      </c>
      <c r="E49" s="349">
        <v>61.39</v>
      </c>
      <c r="F49" s="349">
        <v>63.207999999999998</v>
      </c>
      <c r="G49" s="349">
        <v>64.697000000000003</v>
      </c>
      <c r="H49" s="266">
        <v>65.152000000000001</v>
      </c>
      <c r="I49" s="266">
        <v>66.686999999999998</v>
      </c>
      <c r="J49" s="266">
        <v>67.766000000000005</v>
      </c>
      <c r="K49" s="266">
        <v>69.471999999999994</v>
      </c>
      <c r="L49" s="266">
        <v>72.501999999999995</v>
      </c>
      <c r="M49" s="266">
        <v>75.257000000000005</v>
      </c>
      <c r="N49" s="266">
        <v>78.858999999999995</v>
      </c>
      <c r="O49" s="266">
        <v>82.36</v>
      </c>
      <c r="P49" s="266">
        <v>84.725999999999999</v>
      </c>
      <c r="Q49" s="266">
        <v>87.158000000000001</v>
      </c>
      <c r="R49" s="266">
        <v>89.748999999999995</v>
      </c>
      <c r="S49" s="266">
        <v>93.341999999999999</v>
      </c>
      <c r="T49" s="266">
        <v>94.686999999999998</v>
      </c>
      <c r="U49" s="266">
        <v>96.867999999999995</v>
      </c>
      <c r="V49" s="266">
        <v>100</v>
      </c>
      <c r="W49" s="266">
        <v>103.699</v>
      </c>
      <c r="X49" s="266">
        <v>107.386</v>
      </c>
      <c r="Y49" s="266">
        <v>110.854</v>
      </c>
      <c r="Z49" s="266">
        <v>111.41</v>
      </c>
      <c r="AA49" s="266">
        <v>114.81</v>
      </c>
    </row>
    <row r="50" spans="1:27" x14ac:dyDescent="0.2">
      <c r="A50" s="266" t="s">
        <v>284</v>
      </c>
      <c r="B50" s="345" t="s">
        <v>285</v>
      </c>
      <c r="C50" s="349">
        <v>75.936999999999998</v>
      </c>
      <c r="D50" s="349">
        <v>79.295000000000002</v>
      </c>
      <c r="E50" s="349">
        <v>82.257000000000005</v>
      </c>
      <c r="F50" s="349">
        <v>85.010999999999996</v>
      </c>
      <c r="G50" s="349">
        <v>86.614000000000004</v>
      </c>
      <c r="H50" s="266">
        <v>89.43</v>
      </c>
      <c r="I50" s="266">
        <v>90.831999999999994</v>
      </c>
      <c r="J50" s="266">
        <v>91.885000000000005</v>
      </c>
      <c r="K50" s="266">
        <v>93.072999999999993</v>
      </c>
      <c r="L50" s="266">
        <v>93.927000000000007</v>
      </c>
      <c r="M50" s="266">
        <v>94.668999999999997</v>
      </c>
      <c r="N50" s="266">
        <v>94.709000000000003</v>
      </c>
      <c r="O50" s="266">
        <v>94.346999999999994</v>
      </c>
      <c r="P50" s="266">
        <v>94.691999999999993</v>
      </c>
      <c r="Q50" s="266">
        <v>95.534999999999997</v>
      </c>
      <c r="R50" s="266">
        <v>95.998999999999995</v>
      </c>
      <c r="S50" s="266">
        <v>97.391000000000005</v>
      </c>
      <c r="T50" s="266">
        <v>98.367999999999995</v>
      </c>
      <c r="U50" s="266">
        <v>98.662000000000006</v>
      </c>
      <c r="V50" s="266">
        <v>100</v>
      </c>
      <c r="W50" s="266">
        <v>97.894999999999996</v>
      </c>
      <c r="X50" s="266">
        <v>98.162000000000006</v>
      </c>
      <c r="Y50" s="266">
        <v>99.394999999999996</v>
      </c>
      <c r="Z50" s="266">
        <v>99.819000000000003</v>
      </c>
      <c r="AA50" s="266">
        <v>99.287000000000006</v>
      </c>
    </row>
    <row r="51" spans="1:27" x14ac:dyDescent="0.2">
      <c r="A51" s="266" t="s">
        <v>286</v>
      </c>
      <c r="B51" s="345" t="s">
        <v>287</v>
      </c>
      <c r="C51" s="349">
        <v>70.751999999999995</v>
      </c>
      <c r="D51" s="349">
        <v>73.606999999999999</v>
      </c>
      <c r="E51" s="349">
        <v>76.543000000000006</v>
      </c>
      <c r="F51" s="349">
        <v>78.710999999999999</v>
      </c>
      <c r="G51" s="349">
        <v>80.224000000000004</v>
      </c>
      <c r="H51" s="266">
        <v>82.647999999999996</v>
      </c>
      <c r="I51" s="266">
        <v>83.950999999999993</v>
      </c>
      <c r="J51" s="266">
        <v>85.14</v>
      </c>
      <c r="K51" s="266">
        <v>86.557000000000002</v>
      </c>
      <c r="L51" s="266">
        <v>87.385000000000005</v>
      </c>
      <c r="M51" s="266">
        <v>89.227999999999994</v>
      </c>
      <c r="N51" s="266">
        <v>90.966999999999999</v>
      </c>
      <c r="O51" s="266">
        <v>91.174999999999997</v>
      </c>
      <c r="P51" s="266">
        <v>91.463999999999999</v>
      </c>
      <c r="Q51" s="266">
        <v>92.932000000000002</v>
      </c>
      <c r="R51" s="266">
        <v>94.424000000000007</v>
      </c>
      <c r="S51" s="266">
        <v>96.563000000000002</v>
      </c>
      <c r="T51" s="266">
        <v>98.076999999999998</v>
      </c>
      <c r="U51" s="266">
        <v>98.956000000000003</v>
      </c>
      <c r="V51" s="266">
        <v>100</v>
      </c>
      <c r="W51" s="266">
        <v>99.369</v>
      </c>
      <c r="X51" s="266">
        <v>99.977000000000004</v>
      </c>
      <c r="Y51" s="266">
        <v>101.038</v>
      </c>
      <c r="Z51" s="266">
        <v>101.51900000000001</v>
      </c>
      <c r="AA51" s="266">
        <v>102.181</v>
      </c>
    </row>
    <row r="52" spans="1:27" x14ac:dyDescent="0.2">
      <c r="A52" s="266" t="s">
        <v>288</v>
      </c>
      <c r="B52" s="345" t="s">
        <v>289</v>
      </c>
      <c r="C52" s="349">
        <v>56.92</v>
      </c>
      <c r="D52" s="349">
        <v>60.25</v>
      </c>
      <c r="E52" s="349">
        <v>63.64</v>
      </c>
      <c r="F52" s="349">
        <v>66.649000000000001</v>
      </c>
      <c r="G52" s="349">
        <v>69.725999999999999</v>
      </c>
      <c r="H52" s="266">
        <v>72.114000000000004</v>
      </c>
      <c r="I52" s="266">
        <v>73.25</v>
      </c>
      <c r="J52" s="266">
        <v>75.191999999999993</v>
      </c>
      <c r="K52" s="266">
        <v>77.054000000000002</v>
      </c>
      <c r="L52" s="266">
        <v>78.825000000000003</v>
      </c>
      <c r="M52" s="266">
        <v>80.724999999999994</v>
      </c>
      <c r="N52" s="266">
        <v>83.253</v>
      </c>
      <c r="O52" s="266">
        <v>84.402000000000001</v>
      </c>
      <c r="P52" s="266">
        <v>86.171999999999997</v>
      </c>
      <c r="Q52" s="266">
        <v>88.364000000000004</v>
      </c>
      <c r="R52" s="266">
        <v>90.575999999999993</v>
      </c>
      <c r="S52" s="266">
        <v>92.221999999999994</v>
      </c>
      <c r="T52" s="266">
        <v>95.643000000000001</v>
      </c>
      <c r="U52" s="266">
        <v>97.768000000000001</v>
      </c>
      <c r="V52" s="266">
        <v>100</v>
      </c>
      <c r="W52" s="266">
        <v>102.197</v>
      </c>
      <c r="X52" s="266">
        <v>103.617</v>
      </c>
      <c r="Y52" s="266">
        <v>104.919</v>
      </c>
      <c r="Z52" s="266">
        <v>105.779</v>
      </c>
      <c r="AA52" s="266">
        <v>106.762</v>
      </c>
    </row>
    <row r="53" spans="1:27" x14ac:dyDescent="0.2">
      <c r="A53" s="266" t="s">
        <v>290</v>
      </c>
      <c r="B53" s="345" t="s">
        <v>291</v>
      </c>
      <c r="C53" s="349">
        <v>60.404000000000003</v>
      </c>
      <c r="D53" s="349">
        <v>63.962000000000003</v>
      </c>
      <c r="E53" s="349">
        <v>67.980999999999995</v>
      </c>
      <c r="F53" s="349">
        <v>71.765000000000001</v>
      </c>
      <c r="G53" s="349">
        <v>75.361000000000004</v>
      </c>
      <c r="H53" s="266">
        <v>78.325000000000003</v>
      </c>
      <c r="I53" s="266">
        <v>78.873999999999995</v>
      </c>
      <c r="J53" s="266">
        <v>79.933999999999997</v>
      </c>
      <c r="K53" s="266">
        <v>81.647000000000006</v>
      </c>
      <c r="L53" s="266">
        <v>83.459000000000003</v>
      </c>
      <c r="M53" s="266">
        <v>84.908000000000001</v>
      </c>
      <c r="N53" s="266">
        <v>87.322999999999993</v>
      </c>
      <c r="O53" s="266">
        <v>87.215000000000003</v>
      </c>
      <c r="P53" s="266">
        <v>88.576999999999998</v>
      </c>
      <c r="Q53" s="266">
        <v>90.364000000000004</v>
      </c>
      <c r="R53" s="266">
        <v>91.99</v>
      </c>
      <c r="S53" s="266">
        <v>92.813999999999993</v>
      </c>
      <c r="T53" s="266">
        <v>96.622</v>
      </c>
      <c r="U53" s="266">
        <v>97.64</v>
      </c>
      <c r="V53" s="266">
        <v>100</v>
      </c>
      <c r="W53" s="266">
        <v>102.446</v>
      </c>
      <c r="X53" s="266">
        <v>104.011</v>
      </c>
      <c r="Y53" s="266">
        <v>105.277</v>
      </c>
      <c r="Z53" s="266">
        <v>105.47</v>
      </c>
      <c r="AA53" s="266">
        <v>106.059</v>
      </c>
    </row>
    <row r="54" spans="1:27" x14ac:dyDescent="0.2">
      <c r="A54" s="266" t="s">
        <v>292</v>
      </c>
      <c r="B54" s="345" t="s">
        <v>293</v>
      </c>
      <c r="C54" s="349">
        <v>40.377000000000002</v>
      </c>
      <c r="D54" s="349">
        <v>43.353999999999999</v>
      </c>
      <c r="E54" s="349">
        <v>46.226999999999997</v>
      </c>
      <c r="F54" s="349">
        <v>48.609000000000002</v>
      </c>
      <c r="G54" s="349">
        <v>50.89</v>
      </c>
      <c r="H54" s="266">
        <v>53.341999999999999</v>
      </c>
      <c r="I54" s="266">
        <v>55.802999999999997</v>
      </c>
      <c r="J54" s="266">
        <v>58.389000000000003</v>
      </c>
      <c r="K54" s="266">
        <v>60.872999999999998</v>
      </c>
      <c r="L54" s="266">
        <v>63.719000000000001</v>
      </c>
      <c r="M54" s="266">
        <v>66.623000000000005</v>
      </c>
      <c r="N54" s="266">
        <v>69.323999999999998</v>
      </c>
      <c r="O54" s="266">
        <v>72.415999999999997</v>
      </c>
      <c r="P54" s="266">
        <v>75.38</v>
      </c>
      <c r="Q54" s="266">
        <v>79.094999999999999</v>
      </c>
      <c r="R54" s="266">
        <v>83.486000000000004</v>
      </c>
      <c r="S54" s="266">
        <v>87.831999999999994</v>
      </c>
      <c r="T54" s="266">
        <v>92.355000000000004</v>
      </c>
      <c r="U54" s="266">
        <v>97.1</v>
      </c>
      <c r="V54" s="266">
        <v>100</v>
      </c>
      <c r="W54" s="266">
        <v>102.74299999999999</v>
      </c>
      <c r="X54" s="266">
        <v>105.095</v>
      </c>
      <c r="Y54" s="266">
        <v>107.503</v>
      </c>
      <c r="Z54" s="266">
        <v>111.206</v>
      </c>
      <c r="AA54" s="266">
        <v>113.587</v>
      </c>
    </row>
    <row r="55" spans="1:27" x14ac:dyDescent="0.2">
      <c r="A55" s="266" t="s">
        <v>294</v>
      </c>
      <c r="B55" s="345" t="s">
        <v>295</v>
      </c>
      <c r="C55" s="349">
        <v>60.228000000000002</v>
      </c>
      <c r="D55" s="349">
        <v>63.271000000000001</v>
      </c>
      <c r="E55" s="349">
        <v>65.775999999999996</v>
      </c>
      <c r="F55" s="349">
        <v>67.808000000000007</v>
      </c>
      <c r="G55" s="349">
        <v>70.478999999999999</v>
      </c>
      <c r="H55" s="266">
        <v>71.938999999999993</v>
      </c>
      <c r="I55" s="266">
        <v>73.188999999999993</v>
      </c>
      <c r="J55" s="266">
        <v>76.016000000000005</v>
      </c>
      <c r="K55" s="266">
        <v>77.741</v>
      </c>
      <c r="L55" s="266">
        <v>78.86</v>
      </c>
      <c r="M55" s="266">
        <v>80.870999999999995</v>
      </c>
      <c r="N55" s="266">
        <v>83.445999999999998</v>
      </c>
      <c r="O55" s="266">
        <v>85.484999999999999</v>
      </c>
      <c r="P55" s="266">
        <v>87.27</v>
      </c>
      <c r="Q55" s="266">
        <v>89.352000000000004</v>
      </c>
      <c r="R55" s="266">
        <v>91.462999999999994</v>
      </c>
      <c r="S55" s="266">
        <v>93.197000000000003</v>
      </c>
      <c r="T55" s="266">
        <v>95.498000000000005</v>
      </c>
      <c r="U55" s="266">
        <v>98.251000000000005</v>
      </c>
      <c r="V55" s="266">
        <v>100</v>
      </c>
      <c r="W55" s="266">
        <v>101.59099999999999</v>
      </c>
      <c r="X55" s="266">
        <v>102.428</v>
      </c>
      <c r="Y55" s="266">
        <v>103.372</v>
      </c>
      <c r="Z55" s="266">
        <v>104.197</v>
      </c>
      <c r="AA55" s="266">
        <v>105.268</v>
      </c>
    </row>
    <row r="56" spans="1:27" x14ac:dyDescent="0.2">
      <c r="A56" s="266" t="s">
        <v>296</v>
      </c>
      <c r="B56" s="345" t="s">
        <v>297</v>
      </c>
      <c r="C56" s="349">
        <v>63.445999999999998</v>
      </c>
      <c r="D56" s="349">
        <v>66.515000000000001</v>
      </c>
      <c r="E56" s="349">
        <v>69.2</v>
      </c>
      <c r="F56" s="349">
        <v>71.381</v>
      </c>
      <c r="G56" s="349">
        <v>74.242999999999995</v>
      </c>
      <c r="H56" s="266">
        <v>75.561999999999998</v>
      </c>
      <c r="I56" s="266">
        <v>76.918000000000006</v>
      </c>
      <c r="J56" s="266">
        <v>80.781000000000006</v>
      </c>
      <c r="K56" s="266">
        <v>82.968000000000004</v>
      </c>
      <c r="L56" s="266">
        <v>83.671000000000006</v>
      </c>
      <c r="M56" s="266">
        <v>86.796999999999997</v>
      </c>
      <c r="N56" s="266">
        <v>89.073999999999998</v>
      </c>
      <c r="O56" s="266">
        <v>91.088999999999999</v>
      </c>
      <c r="P56" s="266">
        <v>91.415999999999997</v>
      </c>
      <c r="Q56" s="266">
        <v>93.572000000000003</v>
      </c>
      <c r="R56" s="266">
        <v>94.55</v>
      </c>
      <c r="S56" s="266">
        <v>95.165999999999997</v>
      </c>
      <c r="T56" s="266">
        <v>96.887</v>
      </c>
      <c r="U56" s="266">
        <v>98.486000000000004</v>
      </c>
      <c r="V56" s="266">
        <v>100</v>
      </c>
      <c r="W56" s="266">
        <v>101.129</v>
      </c>
      <c r="X56" s="266">
        <v>101.125</v>
      </c>
      <c r="Y56" s="266">
        <v>101.994</v>
      </c>
      <c r="Z56" s="266">
        <v>101.864</v>
      </c>
      <c r="AA56" s="266">
        <v>102.733</v>
      </c>
    </row>
    <row r="57" spans="1:27" x14ac:dyDescent="0.2">
      <c r="A57" s="266" t="s">
        <v>298</v>
      </c>
      <c r="B57" s="345" t="s">
        <v>299</v>
      </c>
      <c r="C57" s="349">
        <v>66.811000000000007</v>
      </c>
      <c r="D57" s="349">
        <v>70.108999999999995</v>
      </c>
      <c r="E57" s="349">
        <v>72.914000000000001</v>
      </c>
      <c r="F57" s="349">
        <v>75.204999999999998</v>
      </c>
      <c r="G57" s="349">
        <v>78.234999999999999</v>
      </c>
      <c r="H57" s="266">
        <v>82.578999999999994</v>
      </c>
      <c r="I57" s="266">
        <v>83.658000000000001</v>
      </c>
      <c r="J57" s="266">
        <v>84.302000000000007</v>
      </c>
      <c r="K57" s="266">
        <v>84.543999999999997</v>
      </c>
      <c r="L57" s="266">
        <v>84.111000000000004</v>
      </c>
      <c r="M57" s="266">
        <v>85.885000000000005</v>
      </c>
      <c r="N57" s="266">
        <v>89.037000000000006</v>
      </c>
      <c r="O57" s="266">
        <v>90.519000000000005</v>
      </c>
      <c r="P57" s="266">
        <v>91.850999999999999</v>
      </c>
      <c r="Q57" s="266">
        <v>92.635999999999996</v>
      </c>
      <c r="R57" s="266">
        <v>96.063000000000002</v>
      </c>
      <c r="S57" s="266">
        <v>96.281000000000006</v>
      </c>
      <c r="T57" s="266">
        <v>98.866</v>
      </c>
      <c r="U57" s="266">
        <v>99.07</v>
      </c>
      <c r="V57" s="266">
        <v>100</v>
      </c>
      <c r="W57" s="266">
        <v>99.96</v>
      </c>
      <c r="X57" s="266">
        <v>100.32899999999999</v>
      </c>
      <c r="Y57" s="266">
        <v>100.41200000000001</v>
      </c>
      <c r="Z57" s="266">
        <v>99.022000000000006</v>
      </c>
      <c r="AA57" s="266">
        <v>98.701999999999998</v>
      </c>
    </row>
    <row r="58" spans="1:27" x14ac:dyDescent="0.2">
      <c r="A58" s="266" t="s">
        <v>300</v>
      </c>
      <c r="B58" s="345" t="s">
        <v>301</v>
      </c>
      <c r="C58" s="349">
        <v>57.680999999999997</v>
      </c>
      <c r="D58" s="349">
        <v>60.664999999999999</v>
      </c>
      <c r="E58" s="349">
        <v>63.039000000000001</v>
      </c>
      <c r="F58" s="349">
        <v>64.959000000000003</v>
      </c>
      <c r="G58" s="349">
        <v>67.481999999999999</v>
      </c>
      <c r="H58" s="266">
        <v>68.653000000000006</v>
      </c>
      <c r="I58" s="266">
        <v>69.866</v>
      </c>
      <c r="J58" s="266">
        <v>72.378</v>
      </c>
      <c r="K58" s="266">
        <v>74.067999999999998</v>
      </c>
      <c r="L58" s="266">
        <v>75.652000000000001</v>
      </c>
      <c r="M58" s="266">
        <v>77.174999999999997</v>
      </c>
      <c r="N58" s="266">
        <v>79.772999999999996</v>
      </c>
      <c r="O58" s="266">
        <v>81.923000000000002</v>
      </c>
      <c r="P58" s="266">
        <v>84.406999999999996</v>
      </c>
      <c r="Q58" s="266">
        <v>86.71</v>
      </c>
      <c r="R58" s="266">
        <v>89.05</v>
      </c>
      <c r="S58" s="266">
        <v>91.600999999999999</v>
      </c>
      <c r="T58" s="266">
        <v>94.11</v>
      </c>
      <c r="U58" s="266">
        <v>97.951999999999998</v>
      </c>
      <c r="V58" s="266">
        <v>100</v>
      </c>
      <c r="W58" s="266">
        <v>102.191</v>
      </c>
      <c r="X58" s="266">
        <v>103.566</v>
      </c>
      <c r="Y58" s="266">
        <v>104.735</v>
      </c>
      <c r="Z58" s="266">
        <v>106.52</v>
      </c>
      <c r="AA58" s="266">
        <v>107.98</v>
      </c>
    </row>
    <row r="59" spans="1:27" x14ac:dyDescent="0.2">
      <c r="A59" s="266" t="s">
        <v>302</v>
      </c>
      <c r="B59" s="345" t="s">
        <v>303</v>
      </c>
      <c r="C59" s="349">
        <v>47.078000000000003</v>
      </c>
      <c r="D59" s="349">
        <v>51.472000000000001</v>
      </c>
      <c r="E59" s="349">
        <v>55.710999999999999</v>
      </c>
      <c r="F59" s="349">
        <v>58.982999999999997</v>
      </c>
      <c r="G59" s="349">
        <v>61.103000000000002</v>
      </c>
      <c r="H59" s="266">
        <v>63.448999999999998</v>
      </c>
      <c r="I59" s="266">
        <v>65.379000000000005</v>
      </c>
      <c r="J59" s="266">
        <v>66.320999999999998</v>
      </c>
      <c r="K59" s="266">
        <v>67.228999999999999</v>
      </c>
      <c r="L59" s="266">
        <v>68.641999999999996</v>
      </c>
      <c r="M59" s="266">
        <v>70.825999999999993</v>
      </c>
      <c r="N59" s="266">
        <v>73.346999999999994</v>
      </c>
      <c r="O59" s="266">
        <v>76.033000000000001</v>
      </c>
      <c r="P59" s="266">
        <v>80.117000000000004</v>
      </c>
      <c r="Q59" s="266">
        <v>83.929000000000002</v>
      </c>
      <c r="R59" s="266">
        <v>87.114000000000004</v>
      </c>
      <c r="S59" s="266">
        <v>90.712999999999994</v>
      </c>
      <c r="T59" s="266">
        <v>94.057000000000002</v>
      </c>
      <c r="U59" s="266">
        <v>96.995999999999995</v>
      </c>
      <c r="V59" s="266">
        <v>100</v>
      </c>
      <c r="W59" s="266">
        <v>102.786</v>
      </c>
      <c r="X59" s="266">
        <v>105.056</v>
      </c>
      <c r="Y59" s="266">
        <v>107.46599999999999</v>
      </c>
      <c r="Z59" s="266">
        <v>109.583</v>
      </c>
      <c r="AA59" s="266">
        <v>110.996</v>
      </c>
    </row>
    <row r="60" spans="1:27" x14ac:dyDescent="0.2">
      <c r="A60" s="266" t="s">
        <v>304</v>
      </c>
      <c r="B60" s="345" t="s">
        <v>305</v>
      </c>
      <c r="C60" s="349">
        <v>47.67</v>
      </c>
      <c r="D60" s="349">
        <v>52.503</v>
      </c>
      <c r="E60" s="349">
        <v>57.283999999999999</v>
      </c>
      <c r="F60" s="349">
        <v>60.905999999999999</v>
      </c>
      <c r="G60" s="349">
        <v>63.116</v>
      </c>
      <c r="H60" s="266">
        <v>65.349999999999994</v>
      </c>
      <c r="I60" s="266">
        <v>66.927000000000007</v>
      </c>
      <c r="J60" s="266">
        <v>67.481999999999999</v>
      </c>
      <c r="K60" s="266">
        <v>67.978999999999999</v>
      </c>
      <c r="L60" s="266">
        <v>69.155000000000001</v>
      </c>
      <c r="M60" s="266">
        <v>70.988</v>
      </c>
      <c r="N60" s="266">
        <v>73.091999999999999</v>
      </c>
      <c r="O60" s="266">
        <v>75.748999999999995</v>
      </c>
      <c r="P60" s="266">
        <v>80.158000000000001</v>
      </c>
      <c r="Q60" s="266">
        <v>84.069000000000003</v>
      </c>
      <c r="R60" s="266">
        <v>87.266999999999996</v>
      </c>
      <c r="S60" s="266">
        <v>91.081999999999994</v>
      </c>
      <c r="T60" s="266">
        <v>94.251999999999995</v>
      </c>
      <c r="U60" s="266">
        <v>97.05</v>
      </c>
      <c r="V60" s="266">
        <v>100</v>
      </c>
      <c r="W60" s="266">
        <v>102.949</v>
      </c>
      <c r="X60" s="266">
        <v>105.181</v>
      </c>
      <c r="Y60" s="266">
        <v>107.77</v>
      </c>
      <c r="Z60" s="266">
        <v>110.13200000000001</v>
      </c>
      <c r="AA60" s="266">
        <v>111.59099999999999</v>
      </c>
    </row>
    <row r="61" spans="1:27" x14ac:dyDescent="0.2">
      <c r="A61" s="266" t="s">
        <v>306</v>
      </c>
      <c r="B61" s="345" t="s">
        <v>307</v>
      </c>
      <c r="C61" s="349">
        <v>44.991</v>
      </c>
      <c r="D61" s="349">
        <v>47.38</v>
      </c>
      <c r="E61" s="349">
        <v>49.170999999999999</v>
      </c>
      <c r="F61" s="349">
        <v>50.905000000000001</v>
      </c>
      <c r="G61" s="349">
        <v>52.640999999999998</v>
      </c>
      <c r="H61" s="266">
        <v>55.473999999999997</v>
      </c>
      <c r="I61" s="266">
        <v>58.859000000000002</v>
      </c>
      <c r="J61" s="266">
        <v>61.384999999999998</v>
      </c>
      <c r="K61" s="266">
        <v>63.994</v>
      </c>
      <c r="L61" s="266">
        <v>66.411000000000001</v>
      </c>
      <c r="M61" s="266">
        <v>70.13</v>
      </c>
      <c r="N61" s="266">
        <v>74.539000000000001</v>
      </c>
      <c r="O61" s="266">
        <v>77.364000000000004</v>
      </c>
      <c r="P61" s="266">
        <v>79.894000000000005</v>
      </c>
      <c r="Q61" s="266">
        <v>83.24</v>
      </c>
      <c r="R61" s="266">
        <v>86.356999999999999</v>
      </c>
      <c r="S61" s="266">
        <v>88.915000000000006</v>
      </c>
      <c r="T61" s="266">
        <v>93.102000000000004</v>
      </c>
      <c r="U61" s="266">
        <v>96.727999999999994</v>
      </c>
      <c r="V61" s="266">
        <v>100</v>
      </c>
      <c r="W61" s="266">
        <v>101.96899999999999</v>
      </c>
      <c r="X61" s="266">
        <v>104.431</v>
      </c>
      <c r="Y61" s="266">
        <v>105.92700000000001</v>
      </c>
      <c r="Z61" s="266">
        <v>106.777</v>
      </c>
      <c r="AA61" s="266">
        <v>107.95399999999999</v>
      </c>
    </row>
    <row r="62" spans="1:27" x14ac:dyDescent="0.2">
      <c r="A62" s="266" t="s">
        <v>308</v>
      </c>
      <c r="B62" s="348" t="s">
        <v>309</v>
      </c>
      <c r="C62" s="349">
        <v>69.769000000000005</v>
      </c>
      <c r="D62" s="349">
        <v>70.97</v>
      </c>
      <c r="E62" s="349">
        <v>72.093000000000004</v>
      </c>
      <c r="F62" s="349">
        <v>73.950999999999993</v>
      </c>
      <c r="G62" s="349">
        <v>75.897999999999996</v>
      </c>
      <c r="H62" s="266">
        <v>78.09</v>
      </c>
      <c r="I62" s="266">
        <v>80.153999999999996</v>
      </c>
      <c r="J62" s="266">
        <v>80.872</v>
      </c>
      <c r="K62" s="266">
        <v>78.778999999999996</v>
      </c>
      <c r="L62" s="266">
        <v>80.527000000000001</v>
      </c>
      <c r="M62" s="266">
        <v>85.513999999999996</v>
      </c>
      <c r="N62" s="266">
        <v>85.338999999999999</v>
      </c>
      <c r="O62" s="266">
        <v>84.238</v>
      </c>
      <c r="P62" s="266">
        <v>86.236000000000004</v>
      </c>
      <c r="Q62" s="266">
        <v>89.501999999999995</v>
      </c>
      <c r="R62" s="266">
        <v>95.731999999999999</v>
      </c>
      <c r="S62" s="266">
        <v>100.315</v>
      </c>
      <c r="T62" s="266">
        <v>103.301</v>
      </c>
      <c r="U62" s="266">
        <v>109.532</v>
      </c>
      <c r="V62" s="266">
        <v>100</v>
      </c>
      <c r="W62" s="266">
        <v>108.248</v>
      </c>
      <c r="X62" s="266">
        <v>119.474</v>
      </c>
      <c r="Y62" s="266">
        <v>122.172</v>
      </c>
      <c r="Z62" s="266">
        <v>121.724</v>
      </c>
      <c r="AA62" s="266">
        <v>120.633</v>
      </c>
    </row>
    <row r="63" spans="1:27" x14ac:dyDescent="0.2">
      <c r="A63" s="266" t="s">
        <v>310</v>
      </c>
      <c r="B63" s="345" t="s">
        <v>311</v>
      </c>
      <c r="C63" s="349">
        <v>87.808000000000007</v>
      </c>
      <c r="D63" s="349">
        <v>90.563000000000002</v>
      </c>
      <c r="E63" s="349">
        <v>92.462000000000003</v>
      </c>
      <c r="F63" s="349">
        <v>96.959000000000003</v>
      </c>
      <c r="G63" s="349">
        <v>102.28</v>
      </c>
      <c r="H63" s="266">
        <v>106.93</v>
      </c>
      <c r="I63" s="266">
        <v>109.452</v>
      </c>
      <c r="J63" s="266">
        <v>110.02500000000001</v>
      </c>
      <c r="K63" s="266">
        <v>108.789</v>
      </c>
      <c r="L63" s="266">
        <v>109.23699999999999</v>
      </c>
      <c r="M63" s="266">
        <v>109.642</v>
      </c>
      <c r="N63" s="266">
        <v>109.792</v>
      </c>
      <c r="O63" s="266">
        <v>108.92</v>
      </c>
      <c r="P63" s="266">
        <v>105.371</v>
      </c>
      <c r="Q63" s="266">
        <v>104.352</v>
      </c>
      <c r="R63" s="266">
        <v>105.83799999999999</v>
      </c>
      <c r="S63" s="266">
        <v>105.28100000000001</v>
      </c>
      <c r="T63" s="266">
        <v>104.045</v>
      </c>
      <c r="U63" s="266">
        <v>100.334</v>
      </c>
      <c r="V63" s="266">
        <v>100</v>
      </c>
      <c r="W63" s="266">
        <v>106.492</v>
      </c>
      <c r="X63" s="266">
        <v>109.54600000000001</v>
      </c>
      <c r="Y63" s="266">
        <v>110.587</v>
      </c>
      <c r="Z63" s="266">
        <v>111.352</v>
      </c>
      <c r="AA63" s="266">
        <v>111.485</v>
      </c>
    </row>
    <row r="64" spans="1:27" x14ac:dyDescent="0.2">
      <c r="A64" s="266" t="s">
        <v>312</v>
      </c>
      <c r="B64" s="345" t="s">
        <v>313</v>
      </c>
      <c r="C64" s="349">
        <v>89.399000000000001</v>
      </c>
      <c r="D64" s="349">
        <v>92.885999999999996</v>
      </c>
      <c r="E64" s="349">
        <v>95.284000000000006</v>
      </c>
      <c r="F64" s="349">
        <v>98.052999999999997</v>
      </c>
      <c r="G64" s="349">
        <v>101.64</v>
      </c>
      <c r="H64" s="266">
        <v>104.169</v>
      </c>
      <c r="I64" s="266">
        <v>106.202</v>
      </c>
      <c r="J64" s="266">
        <v>106.90900000000001</v>
      </c>
      <c r="K64" s="266">
        <v>106.369</v>
      </c>
      <c r="L64" s="266">
        <v>106.306</v>
      </c>
      <c r="M64" s="266">
        <v>106.17700000000001</v>
      </c>
      <c r="N64" s="266">
        <v>105.599</v>
      </c>
      <c r="O64" s="266">
        <v>103.874</v>
      </c>
      <c r="P64" s="266">
        <v>102.384</v>
      </c>
      <c r="Q64" s="266">
        <v>101.702</v>
      </c>
      <c r="R64" s="266">
        <v>102.212</v>
      </c>
      <c r="S64" s="266">
        <v>101.557</v>
      </c>
      <c r="T64" s="266">
        <v>100.48099999999999</v>
      </c>
      <c r="U64" s="266">
        <v>98.963999999999999</v>
      </c>
      <c r="V64" s="266">
        <v>100</v>
      </c>
      <c r="W64" s="266">
        <v>102.072</v>
      </c>
      <c r="X64" s="266">
        <v>104.71599999999999</v>
      </c>
      <c r="Y64" s="266">
        <v>106.47499999999999</v>
      </c>
      <c r="Z64" s="266">
        <v>107.751</v>
      </c>
      <c r="AA64" s="266">
        <v>108.402</v>
      </c>
    </row>
    <row r="65" spans="1:27" x14ac:dyDescent="0.2">
      <c r="A65" s="266" t="s">
        <v>314</v>
      </c>
      <c r="B65" s="345" t="s">
        <v>315</v>
      </c>
      <c r="C65" s="349">
        <v>83.528000000000006</v>
      </c>
      <c r="D65" s="349">
        <v>84.382999999999996</v>
      </c>
      <c r="E65" s="349">
        <v>85.120999999999995</v>
      </c>
      <c r="F65" s="349">
        <v>93.647999999999996</v>
      </c>
      <c r="G65" s="349">
        <v>103.068</v>
      </c>
      <c r="H65" s="266">
        <v>112.50700000000001</v>
      </c>
      <c r="I65" s="266">
        <v>116.04900000000001</v>
      </c>
      <c r="J65" s="266">
        <v>116.36499999999999</v>
      </c>
      <c r="K65" s="266">
        <v>113.795</v>
      </c>
      <c r="L65" s="266">
        <v>115.233</v>
      </c>
      <c r="M65" s="266">
        <v>116.723</v>
      </c>
      <c r="N65" s="266">
        <v>118.46899999999999</v>
      </c>
      <c r="O65" s="266">
        <v>119.608</v>
      </c>
      <c r="P65" s="266">
        <v>110.98399999999999</v>
      </c>
      <c r="Q65" s="266">
        <v>109.136</v>
      </c>
      <c r="R65" s="266">
        <v>113.01600000000001</v>
      </c>
      <c r="S65" s="266">
        <v>112.711</v>
      </c>
      <c r="T65" s="266">
        <v>111.11499999999999</v>
      </c>
      <c r="U65" s="266">
        <v>102.777</v>
      </c>
      <c r="V65" s="266">
        <v>100</v>
      </c>
      <c r="W65" s="266">
        <v>114.468</v>
      </c>
      <c r="X65" s="266">
        <v>118.366</v>
      </c>
      <c r="Y65" s="266">
        <v>117.526</v>
      </c>
      <c r="Z65" s="266">
        <v>116.902</v>
      </c>
      <c r="AA65" s="266">
        <v>115.675</v>
      </c>
    </row>
    <row r="66" spans="1:27" x14ac:dyDescent="0.2">
      <c r="A66" s="266" t="s">
        <v>316</v>
      </c>
      <c r="B66" s="345" t="s">
        <v>317</v>
      </c>
      <c r="C66" s="349">
        <v>57.432000000000002</v>
      </c>
      <c r="D66" s="349">
        <v>57.962000000000003</v>
      </c>
      <c r="E66" s="349">
        <v>58.59</v>
      </c>
      <c r="F66" s="349">
        <v>58.904000000000003</v>
      </c>
      <c r="G66" s="349">
        <v>59.723999999999997</v>
      </c>
      <c r="H66" s="266">
        <v>60.831000000000003</v>
      </c>
      <c r="I66" s="266">
        <v>62.908999999999999</v>
      </c>
      <c r="J66" s="266">
        <v>63.274000000000001</v>
      </c>
      <c r="K66" s="266">
        <v>60.453000000000003</v>
      </c>
      <c r="L66" s="266">
        <v>63.024999999999999</v>
      </c>
      <c r="M66" s="266">
        <v>70.504000000000005</v>
      </c>
      <c r="N66" s="266">
        <v>70.713999999999999</v>
      </c>
      <c r="O66" s="266">
        <v>70.013000000000005</v>
      </c>
      <c r="P66" s="266">
        <v>75.281000000000006</v>
      </c>
      <c r="Q66" s="266">
        <v>81.462999999999994</v>
      </c>
      <c r="R66" s="266">
        <v>90.774000000000001</v>
      </c>
      <c r="S66" s="266">
        <v>98.204999999999998</v>
      </c>
      <c r="T66" s="266">
        <v>103.848</v>
      </c>
      <c r="U66" s="266">
        <v>115.26600000000001</v>
      </c>
      <c r="V66" s="266">
        <v>100</v>
      </c>
      <c r="W66" s="266">
        <v>109.51600000000001</v>
      </c>
      <c r="X66" s="266">
        <v>125.643</v>
      </c>
      <c r="Y66" s="266">
        <v>129.01400000000001</v>
      </c>
      <c r="Z66" s="266">
        <v>127.49299999999999</v>
      </c>
      <c r="AA66" s="266">
        <v>125.253</v>
      </c>
    </row>
    <row r="67" spans="1:27" x14ac:dyDescent="0.2">
      <c r="A67" s="266" t="s">
        <v>318</v>
      </c>
      <c r="B67" s="345" t="s">
        <v>319</v>
      </c>
      <c r="C67" s="349">
        <v>79.962000000000003</v>
      </c>
      <c r="D67" s="349">
        <v>80.682000000000002</v>
      </c>
      <c r="E67" s="349">
        <v>81.209999999999994</v>
      </c>
      <c r="F67" s="349">
        <v>79.885000000000005</v>
      </c>
      <c r="G67" s="349">
        <v>79.433000000000007</v>
      </c>
      <c r="H67" s="266">
        <v>79.707999999999998</v>
      </c>
      <c r="I67" s="266">
        <v>79.575999999999993</v>
      </c>
      <c r="J67" s="266">
        <v>79.150000000000006</v>
      </c>
      <c r="K67" s="266">
        <v>78.486000000000004</v>
      </c>
      <c r="L67" s="266">
        <v>78.105999999999995</v>
      </c>
      <c r="M67" s="266">
        <v>78.382000000000005</v>
      </c>
      <c r="N67" s="266">
        <v>80.308000000000007</v>
      </c>
      <c r="O67" s="266">
        <v>81.734999999999999</v>
      </c>
      <c r="P67" s="266">
        <v>82.55</v>
      </c>
      <c r="Q67" s="266">
        <v>82.956999999999994</v>
      </c>
      <c r="R67" s="266">
        <v>84.902000000000001</v>
      </c>
      <c r="S67" s="266">
        <v>88.364000000000004</v>
      </c>
      <c r="T67" s="266">
        <v>91.385999999999996</v>
      </c>
      <c r="U67" s="266">
        <v>96.206000000000003</v>
      </c>
      <c r="V67" s="266">
        <v>100</v>
      </c>
      <c r="W67" s="266">
        <v>101.923</v>
      </c>
      <c r="X67" s="266">
        <v>105.59099999999999</v>
      </c>
      <c r="Y67" s="266">
        <v>108.282</v>
      </c>
      <c r="Z67" s="266">
        <v>108.486</v>
      </c>
      <c r="AA67" s="266">
        <v>108.22</v>
      </c>
    </row>
    <row r="68" spans="1:27" x14ac:dyDescent="0.2">
      <c r="A68" s="266" t="s">
        <v>320</v>
      </c>
      <c r="B68" s="345" t="s">
        <v>321</v>
      </c>
      <c r="C68" s="349">
        <v>49.710999999999999</v>
      </c>
      <c r="D68" s="349">
        <v>49.058</v>
      </c>
      <c r="E68" s="349">
        <v>48.866999999999997</v>
      </c>
      <c r="F68" s="349">
        <v>48.371000000000002</v>
      </c>
      <c r="G68" s="349">
        <v>48.600999999999999</v>
      </c>
      <c r="H68" s="266">
        <v>49.372999999999998</v>
      </c>
      <c r="I68" s="266">
        <v>52.396999999999998</v>
      </c>
      <c r="J68" s="266">
        <v>52.387</v>
      </c>
      <c r="K68" s="266">
        <v>45.604999999999997</v>
      </c>
      <c r="L68" s="266">
        <v>49.649000000000001</v>
      </c>
      <c r="M68" s="266">
        <v>63.436999999999998</v>
      </c>
      <c r="N68" s="266">
        <v>61.161999999999999</v>
      </c>
      <c r="O68" s="266">
        <v>57.512999999999998</v>
      </c>
      <c r="P68" s="266">
        <v>66.989999999999995</v>
      </c>
      <c r="Q68" s="266">
        <v>78.774000000000001</v>
      </c>
      <c r="R68" s="266">
        <v>95.760999999999996</v>
      </c>
      <c r="S68" s="266">
        <v>108.01</v>
      </c>
      <c r="T68" s="266">
        <v>117.11799999999999</v>
      </c>
      <c r="U68" s="266">
        <v>136.55199999999999</v>
      </c>
      <c r="V68" s="266">
        <v>100</v>
      </c>
      <c r="W68" s="266">
        <v>118.246</v>
      </c>
      <c r="X68" s="266">
        <v>149.34</v>
      </c>
      <c r="Y68" s="266">
        <v>154.678</v>
      </c>
      <c r="Z68" s="266">
        <v>150.44900000000001</v>
      </c>
      <c r="AA68" s="266">
        <v>144.673</v>
      </c>
    </row>
    <row r="69" spans="1:27" x14ac:dyDescent="0.2">
      <c r="A69" s="266" t="s">
        <v>322</v>
      </c>
      <c r="B69" s="345" t="s">
        <v>323</v>
      </c>
      <c r="C69" s="349">
        <v>54.651000000000003</v>
      </c>
      <c r="D69" s="349">
        <v>56.951999999999998</v>
      </c>
      <c r="E69" s="349">
        <v>59.034999999999997</v>
      </c>
      <c r="F69" s="349">
        <v>60.758000000000003</v>
      </c>
      <c r="G69" s="349">
        <v>62.366</v>
      </c>
      <c r="H69" s="266">
        <v>63.793999999999997</v>
      </c>
      <c r="I69" s="266">
        <v>65.432000000000002</v>
      </c>
      <c r="J69" s="266">
        <v>67.116</v>
      </c>
      <c r="K69" s="266">
        <v>68.753</v>
      </c>
      <c r="L69" s="266">
        <v>70.643000000000001</v>
      </c>
      <c r="M69" s="266">
        <v>72.887</v>
      </c>
      <c r="N69" s="266">
        <v>75.421999999999997</v>
      </c>
      <c r="O69" s="266">
        <v>78.183999999999997</v>
      </c>
      <c r="P69" s="266">
        <v>80.391999999999996</v>
      </c>
      <c r="Q69" s="266">
        <v>82.269000000000005</v>
      </c>
      <c r="R69" s="266">
        <v>85.042000000000002</v>
      </c>
      <c r="S69" s="266">
        <v>88.622</v>
      </c>
      <c r="T69" s="266">
        <v>91.634</v>
      </c>
      <c r="U69" s="266">
        <v>96.070999999999998</v>
      </c>
      <c r="V69" s="266">
        <v>100</v>
      </c>
      <c r="W69" s="266">
        <v>101.91800000000001</v>
      </c>
      <c r="X69" s="266">
        <v>104.032</v>
      </c>
      <c r="Y69" s="266">
        <v>105.87</v>
      </c>
      <c r="Z69" s="266">
        <v>107.53700000000001</v>
      </c>
      <c r="AA69" s="266">
        <v>109.34699999999999</v>
      </c>
    </row>
    <row r="70" spans="1:27" x14ac:dyDescent="0.2">
      <c r="A70" s="266" t="s">
        <v>324</v>
      </c>
      <c r="B70" s="345" t="s">
        <v>325</v>
      </c>
      <c r="C70" s="349">
        <v>71.81</v>
      </c>
      <c r="D70" s="349">
        <v>73.400999999999996</v>
      </c>
      <c r="E70" s="349">
        <v>73.971999999999994</v>
      </c>
      <c r="F70" s="349">
        <v>76.581999999999994</v>
      </c>
      <c r="G70" s="349">
        <v>79.616</v>
      </c>
      <c r="H70" s="266">
        <v>82.191999999999993</v>
      </c>
      <c r="I70" s="266">
        <v>82.525999999999996</v>
      </c>
      <c r="J70" s="266">
        <v>81.59</v>
      </c>
      <c r="K70" s="266">
        <v>82.236000000000004</v>
      </c>
      <c r="L70" s="266">
        <v>82.751000000000005</v>
      </c>
      <c r="M70" s="266">
        <v>84.418000000000006</v>
      </c>
      <c r="N70" s="266">
        <v>86.873999999999995</v>
      </c>
      <c r="O70" s="266">
        <v>87.191000000000003</v>
      </c>
      <c r="P70" s="266">
        <v>86.451999999999998</v>
      </c>
      <c r="Q70" s="266">
        <v>85.480999999999995</v>
      </c>
      <c r="R70" s="266">
        <v>86.927999999999997</v>
      </c>
      <c r="S70" s="266">
        <v>88.376999999999995</v>
      </c>
      <c r="T70" s="266">
        <v>89.343000000000004</v>
      </c>
      <c r="U70" s="266">
        <v>92.637</v>
      </c>
      <c r="V70" s="266">
        <v>100</v>
      </c>
      <c r="W70" s="266">
        <v>97.534000000000006</v>
      </c>
      <c r="X70" s="266">
        <v>96.959000000000003</v>
      </c>
      <c r="Y70" s="266">
        <v>96.760999999999996</v>
      </c>
      <c r="Z70" s="266">
        <v>96.62</v>
      </c>
      <c r="AA70" s="266">
        <v>96.444999999999993</v>
      </c>
    </row>
    <row r="71" spans="1:27" x14ac:dyDescent="0.2">
      <c r="A71" s="266" t="s">
        <v>326</v>
      </c>
      <c r="B71" s="345" t="s">
        <v>327</v>
      </c>
      <c r="C71" s="349">
        <v>77.221999999999994</v>
      </c>
      <c r="D71" s="349">
        <v>77.460999999999999</v>
      </c>
      <c r="E71" s="349">
        <v>79.234999999999999</v>
      </c>
      <c r="F71" s="349">
        <v>82.787000000000006</v>
      </c>
      <c r="G71" s="349">
        <v>80.373000000000005</v>
      </c>
      <c r="H71" s="266">
        <v>81.462999999999994</v>
      </c>
      <c r="I71" s="266">
        <v>81.018000000000001</v>
      </c>
      <c r="J71" s="266">
        <v>84.650999999999996</v>
      </c>
      <c r="K71" s="266">
        <v>85.813000000000002</v>
      </c>
      <c r="L71" s="266">
        <v>85.8</v>
      </c>
      <c r="M71" s="266">
        <v>88.832999999999998</v>
      </c>
      <c r="N71" s="266">
        <v>84.881</v>
      </c>
      <c r="O71" s="266">
        <v>80.251999999999995</v>
      </c>
      <c r="P71" s="266">
        <v>82.784000000000006</v>
      </c>
      <c r="Q71" s="266">
        <v>84.182000000000002</v>
      </c>
      <c r="R71" s="266">
        <v>88.912999999999997</v>
      </c>
      <c r="S71" s="266">
        <v>94.102999999999994</v>
      </c>
      <c r="T71" s="266">
        <v>95.188999999999993</v>
      </c>
      <c r="U71" s="266">
        <v>102.48399999999999</v>
      </c>
      <c r="V71" s="266">
        <v>100</v>
      </c>
      <c r="W71" s="266">
        <v>105.75</v>
      </c>
      <c r="X71" s="266">
        <v>112.408</v>
      </c>
      <c r="Y71" s="266">
        <v>116.679</v>
      </c>
      <c r="Z71" s="266">
        <v>118.77200000000001</v>
      </c>
      <c r="AA71" s="266">
        <v>120.553</v>
      </c>
    </row>
    <row r="72" spans="1:27" x14ac:dyDescent="0.2">
      <c r="A72" s="266" t="s">
        <v>328</v>
      </c>
      <c r="B72" s="345" t="s">
        <v>329</v>
      </c>
      <c r="C72" s="349">
        <v>55.377000000000002</v>
      </c>
      <c r="D72" s="349">
        <v>58.045999999999999</v>
      </c>
      <c r="E72" s="349">
        <v>60.402999999999999</v>
      </c>
      <c r="F72" s="349">
        <v>61.162999999999997</v>
      </c>
      <c r="G72" s="349">
        <v>61.723999999999997</v>
      </c>
      <c r="H72" s="266">
        <v>62.415999999999997</v>
      </c>
      <c r="I72" s="266">
        <v>67.057000000000002</v>
      </c>
      <c r="J72" s="266">
        <v>68.134</v>
      </c>
      <c r="K72" s="266">
        <v>68.707999999999998</v>
      </c>
      <c r="L72" s="266">
        <v>68.72</v>
      </c>
      <c r="M72" s="266">
        <v>70.465999999999994</v>
      </c>
      <c r="N72" s="266">
        <v>72.652000000000001</v>
      </c>
      <c r="O72" s="266">
        <v>74.552999999999997</v>
      </c>
      <c r="P72" s="266">
        <v>78.759</v>
      </c>
      <c r="Q72" s="266">
        <v>82.501000000000005</v>
      </c>
      <c r="R72" s="266">
        <v>85.911000000000001</v>
      </c>
      <c r="S72" s="266">
        <v>90.138000000000005</v>
      </c>
      <c r="T72" s="266">
        <v>91.453000000000003</v>
      </c>
      <c r="U72" s="266">
        <v>95.951999999999998</v>
      </c>
      <c r="V72" s="266">
        <v>100</v>
      </c>
      <c r="W72" s="266">
        <v>104.32899999999999</v>
      </c>
      <c r="X72" s="266">
        <v>109.372</v>
      </c>
      <c r="Y72" s="266">
        <v>112.83</v>
      </c>
      <c r="Z72" s="266">
        <v>117.25700000000001</v>
      </c>
      <c r="AA72" s="266">
        <v>117.937</v>
      </c>
    </row>
    <row r="73" spans="1:27" x14ac:dyDescent="0.2">
      <c r="A73" s="266" t="s">
        <v>330</v>
      </c>
      <c r="B73" s="345" t="s">
        <v>331</v>
      </c>
      <c r="C73" s="349">
        <v>91.043999999999997</v>
      </c>
      <c r="D73" s="349">
        <v>89.19</v>
      </c>
      <c r="E73" s="349">
        <v>90.343000000000004</v>
      </c>
      <c r="F73" s="349">
        <v>96.097999999999999</v>
      </c>
      <c r="G73" s="349">
        <v>91.236999999999995</v>
      </c>
      <c r="H73" s="266">
        <v>92.548000000000002</v>
      </c>
      <c r="I73" s="266">
        <v>88.233000000000004</v>
      </c>
      <c r="J73" s="266">
        <v>93.572999999999993</v>
      </c>
      <c r="K73" s="266">
        <v>94.938000000000002</v>
      </c>
      <c r="L73" s="266">
        <v>95.057000000000002</v>
      </c>
      <c r="M73" s="266">
        <v>99.555999999999997</v>
      </c>
      <c r="N73" s="266">
        <v>91.694000000000003</v>
      </c>
      <c r="O73" s="266">
        <v>82.471000000000004</v>
      </c>
      <c r="P73" s="266">
        <v>84.412000000000006</v>
      </c>
      <c r="Q73" s="266">
        <v>84.459000000000003</v>
      </c>
      <c r="R73" s="266">
        <v>90.228999999999999</v>
      </c>
      <c r="S73" s="266">
        <v>96.385999999999996</v>
      </c>
      <c r="T73" s="266">
        <v>97.388999999999996</v>
      </c>
      <c r="U73" s="266">
        <v>107.383</v>
      </c>
      <c r="V73" s="266">
        <v>100</v>
      </c>
      <c r="W73" s="266">
        <v>107.236</v>
      </c>
      <c r="X73" s="266">
        <v>115.85599999999999</v>
      </c>
      <c r="Y73" s="266">
        <v>121.414</v>
      </c>
      <c r="Z73" s="266">
        <v>121.581</v>
      </c>
      <c r="AA73" s="266">
        <v>124.556</v>
      </c>
    </row>
    <row r="74" spans="1:27" x14ac:dyDescent="0.2">
      <c r="A74" s="266" t="s">
        <v>332</v>
      </c>
      <c r="B74" s="345" t="s">
        <v>333</v>
      </c>
      <c r="C74" s="349">
        <v>127.852</v>
      </c>
      <c r="D74" s="349">
        <v>133.06200000000001</v>
      </c>
      <c r="E74" s="349">
        <v>137.273</v>
      </c>
      <c r="F74" s="349">
        <v>141.102</v>
      </c>
      <c r="G74" s="349">
        <v>144.221</v>
      </c>
      <c r="H74" s="266">
        <v>148.63300000000001</v>
      </c>
      <c r="I74" s="266">
        <v>152.49199999999999</v>
      </c>
      <c r="J74" s="266">
        <v>156.56700000000001</v>
      </c>
      <c r="K74" s="266">
        <v>164.411</v>
      </c>
      <c r="L74" s="266">
        <v>159.22800000000001</v>
      </c>
      <c r="M74" s="266">
        <v>142.399</v>
      </c>
      <c r="N74" s="266">
        <v>128.86000000000001</v>
      </c>
      <c r="O74" s="266">
        <v>123.746</v>
      </c>
      <c r="P74" s="266">
        <v>113.50700000000001</v>
      </c>
      <c r="Q74" s="266">
        <v>111.68600000000001</v>
      </c>
      <c r="R74" s="266">
        <v>113.03400000000001</v>
      </c>
      <c r="S74" s="266">
        <v>112.655</v>
      </c>
      <c r="T74" s="266">
        <v>112.048</v>
      </c>
      <c r="U74" s="266">
        <v>110.194</v>
      </c>
      <c r="V74" s="266">
        <v>100</v>
      </c>
      <c r="W74" s="266">
        <v>101.134</v>
      </c>
      <c r="X74" s="266">
        <v>100.205</v>
      </c>
      <c r="Y74" s="266">
        <v>97.459000000000003</v>
      </c>
      <c r="Z74" s="266">
        <v>97.043000000000006</v>
      </c>
      <c r="AA74" s="266">
        <v>96.331000000000003</v>
      </c>
    </row>
    <row r="75" spans="1:27" x14ac:dyDescent="0.2">
      <c r="A75" s="266" t="s">
        <v>334</v>
      </c>
      <c r="B75" s="348" t="s">
        <v>335</v>
      </c>
      <c r="C75" s="349">
        <v>106.202</v>
      </c>
      <c r="D75" s="349">
        <v>108.509</v>
      </c>
      <c r="E75" s="349">
        <v>108.857</v>
      </c>
      <c r="F75" s="349">
        <v>109.419</v>
      </c>
      <c r="G75" s="349">
        <v>111.456</v>
      </c>
      <c r="H75" s="266">
        <v>112.026</v>
      </c>
      <c r="I75" s="266">
        <v>112.488</v>
      </c>
      <c r="J75" s="266">
        <v>113.26300000000001</v>
      </c>
      <c r="K75" s="266">
        <v>112.29900000000001</v>
      </c>
      <c r="L75" s="266">
        <v>109.703</v>
      </c>
      <c r="M75" s="266">
        <v>106.173</v>
      </c>
      <c r="N75" s="266">
        <v>104.63200000000001</v>
      </c>
      <c r="O75" s="266">
        <v>104.949</v>
      </c>
      <c r="P75" s="266">
        <v>104.28100000000001</v>
      </c>
      <c r="Q75" s="266">
        <v>102.173</v>
      </c>
      <c r="R75" s="266">
        <v>100.863</v>
      </c>
      <c r="S75" s="266">
        <v>100.264</v>
      </c>
      <c r="T75" s="266">
        <v>97.206000000000003</v>
      </c>
      <c r="U75" s="266">
        <v>98.438000000000002</v>
      </c>
      <c r="V75" s="266">
        <v>100</v>
      </c>
      <c r="W75" s="266">
        <v>99.72</v>
      </c>
      <c r="X75" s="266">
        <v>98.388000000000005</v>
      </c>
      <c r="Y75" s="266">
        <v>98.239000000000004</v>
      </c>
      <c r="Z75" s="266">
        <v>98.149000000000001</v>
      </c>
      <c r="AA75" s="266">
        <v>97.813000000000002</v>
      </c>
    </row>
    <row r="76" spans="1:27" x14ac:dyDescent="0.2">
      <c r="A76" s="266" t="s">
        <v>336</v>
      </c>
      <c r="B76" s="345" t="s">
        <v>337</v>
      </c>
      <c r="C76" s="349">
        <v>202.053</v>
      </c>
      <c r="D76" s="349">
        <v>212.56899999999999</v>
      </c>
      <c r="E76" s="349">
        <v>224.255</v>
      </c>
      <c r="F76" s="349">
        <v>232.12899999999999</v>
      </c>
      <c r="G76" s="349">
        <v>240.51499999999999</v>
      </c>
      <c r="H76" s="266">
        <v>249.80699999999999</v>
      </c>
      <c r="I76" s="266">
        <v>263.95699999999999</v>
      </c>
      <c r="J76" s="266">
        <v>276.75900000000001</v>
      </c>
      <c r="K76" s="266">
        <v>268.709</v>
      </c>
      <c r="L76" s="266">
        <v>238.13399999999999</v>
      </c>
      <c r="M76" s="266">
        <v>215.09700000000001</v>
      </c>
      <c r="N76" s="266">
        <v>193.05500000000001</v>
      </c>
      <c r="O76" s="266">
        <v>175.96700000000001</v>
      </c>
      <c r="P76" s="266">
        <v>156.53100000000001</v>
      </c>
      <c r="Q76" s="266">
        <v>140.74600000000001</v>
      </c>
      <c r="R76" s="266">
        <v>129.48099999999999</v>
      </c>
      <c r="S76" s="266">
        <v>117.654</v>
      </c>
      <c r="T76" s="266">
        <v>109.197</v>
      </c>
      <c r="U76" s="266">
        <v>104.688</v>
      </c>
      <c r="V76" s="266">
        <v>100</v>
      </c>
      <c r="W76" s="266">
        <v>96.311000000000007</v>
      </c>
      <c r="X76" s="266">
        <v>92.977999999999994</v>
      </c>
      <c r="Y76" s="266">
        <v>88.031999999999996</v>
      </c>
      <c r="Z76" s="266">
        <v>83.66</v>
      </c>
      <c r="AA76" s="266">
        <v>77.944999999999993</v>
      </c>
    </row>
    <row r="77" spans="1:27" x14ac:dyDescent="0.2">
      <c r="A77" s="266" t="s">
        <v>338</v>
      </c>
      <c r="B77" s="345" t="s">
        <v>339</v>
      </c>
      <c r="C77" s="349">
        <v>52.695999999999998</v>
      </c>
      <c r="D77" s="349">
        <v>59.755000000000003</v>
      </c>
      <c r="E77" s="349">
        <v>60.688000000000002</v>
      </c>
      <c r="F77" s="349">
        <v>60.951000000000001</v>
      </c>
      <c r="G77" s="349">
        <v>61.198</v>
      </c>
      <c r="H77" s="266">
        <v>66.8</v>
      </c>
      <c r="I77" s="266">
        <v>67.036000000000001</v>
      </c>
      <c r="J77" s="266">
        <v>67.239999999999995</v>
      </c>
      <c r="K77" s="266">
        <v>67.688999999999993</v>
      </c>
      <c r="L77" s="266">
        <v>69.932000000000002</v>
      </c>
      <c r="M77" s="266">
        <v>70.578999999999994</v>
      </c>
      <c r="N77" s="266">
        <v>73.756</v>
      </c>
      <c r="O77" s="266">
        <v>77.756</v>
      </c>
      <c r="P77" s="266">
        <v>81.882000000000005</v>
      </c>
      <c r="Q77" s="266">
        <v>83.497</v>
      </c>
      <c r="R77" s="266">
        <v>84.503</v>
      </c>
      <c r="S77" s="266">
        <v>89.42</v>
      </c>
      <c r="T77" s="266">
        <v>92.254000000000005</v>
      </c>
      <c r="U77" s="266">
        <v>97.09</v>
      </c>
      <c r="V77" s="266">
        <v>100</v>
      </c>
      <c r="W77" s="266">
        <v>104.634</v>
      </c>
      <c r="X77" s="266">
        <v>109.732</v>
      </c>
      <c r="Y77" s="266">
        <v>113.628</v>
      </c>
      <c r="Z77" s="266">
        <v>120.008</v>
      </c>
      <c r="AA77" s="266">
        <v>124.797</v>
      </c>
    </row>
    <row r="78" spans="1:27" x14ac:dyDescent="0.2">
      <c r="A78" s="266" t="s">
        <v>340</v>
      </c>
      <c r="B78" s="345" t="s">
        <v>341</v>
      </c>
      <c r="C78" s="349">
        <v>55.947000000000003</v>
      </c>
      <c r="D78" s="349">
        <v>64.191000000000003</v>
      </c>
      <c r="E78" s="349">
        <v>64.986000000000004</v>
      </c>
      <c r="F78" s="349">
        <v>64.986000000000004</v>
      </c>
      <c r="G78" s="349">
        <v>64.986000000000004</v>
      </c>
      <c r="H78" s="266">
        <v>71.697999999999993</v>
      </c>
      <c r="I78" s="266">
        <v>71.697999999999993</v>
      </c>
      <c r="J78" s="266">
        <v>71.697999999999993</v>
      </c>
      <c r="K78" s="266">
        <v>71.697999999999993</v>
      </c>
      <c r="L78" s="266">
        <v>73.844999999999999</v>
      </c>
      <c r="M78" s="266">
        <v>73.849000000000004</v>
      </c>
      <c r="N78" s="266">
        <v>76.706999999999994</v>
      </c>
      <c r="O78" s="266">
        <v>81.116</v>
      </c>
      <c r="P78" s="266">
        <v>85.394000000000005</v>
      </c>
      <c r="Q78" s="266">
        <v>85.394000000000005</v>
      </c>
      <c r="R78" s="266">
        <v>85.388999999999996</v>
      </c>
      <c r="S78" s="266">
        <v>89.962000000000003</v>
      </c>
      <c r="T78" s="266">
        <v>92.206000000000003</v>
      </c>
      <c r="U78" s="266">
        <v>95.308000000000007</v>
      </c>
      <c r="V78" s="266">
        <v>100</v>
      </c>
      <c r="W78" s="266">
        <v>102.836</v>
      </c>
      <c r="X78" s="266">
        <v>106.34699999999999</v>
      </c>
      <c r="Y78" s="266">
        <v>110.35599999999999</v>
      </c>
      <c r="Z78" s="266">
        <v>117.229</v>
      </c>
      <c r="AA78" s="266">
        <v>122.22</v>
      </c>
    </row>
    <row r="79" spans="1:27" x14ac:dyDescent="0.2">
      <c r="A79" s="266" t="s">
        <v>342</v>
      </c>
      <c r="B79" s="345" t="s">
        <v>343</v>
      </c>
      <c r="C79" s="349">
        <v>40.914000000000001</v>
      </c>
      <c r="D79" s="349">
        <v>42.552999999999997</v>
      </c>
      <c r="E79" s="349">
        <v>44.134999999999998</v>
      </c>
      <c r="F79" s="349">
        <v>45.502000000000002</v>
      </c>
      <c r="G79" s="349">
        <v>46.768999999999998</v>
      </c>
      <c r="H79" s="266">
        <v>48.012</v>
      </c>
      <c r="I79" s="266">
        <v>49.168999999999997</v>
      </c>
      <c r="J79" s="266">
        <v>50.195</v>
      </c>
      <c r="K79" s="266">
        <v>52.405000000000001</v>
      </c>
      <c r="L79" s="266">
        <v>54.997999999999998</v>
      </c>
      <c r="M79" s="266">
        <v>57.936</v>
      </c>
      <c r="N79" s="266">
        <v>62.173999999999999</v>
      </c>
      <c r="O79" s="266">
        <v>64.661000000000001</v>
      </c>
      <c r="P79" s="266">
        <v>68.188000000000002</v>
      </c>
      <c r="Q79" s="266">
        <v>75.841999999999999</v>
      </c>
      <c r="R79" s="266">
        <v>80.968000000000004</v>
      </c>
      <c r="S79" s="266">
        <v>87.415999999999997</v>
      </c>
      <c r="T79" s="266">
        <v>92.966999999999999</v>
      </c>
      <c r="U79" s="266">
        <v>106.587</v>
      </c>
      <c r="V79" s="266">
        <v>100</v>
      </c>
      <c r="W79" s="266">
        <v>114.194</v>
      </c>
      <c r="X79" s="266">
        <v>127.574</v>
      </c>
      <c r="Y79" s="266">
        <v>131.02699999999999</v>
      </c>
      <c r="Z79" s="266">
        <v>135.54300000000001</v>
      </c>
      <c r="AA79" s="266">
        <v>139.702</v>
      </c>
    </row>
    <row r="80" spans="1:27" x14ac:dyDescent="0.2">
      <c r="A80" s="266" t="s">
        <v>344</v>
      </c>
      <c r="B80" s="345" t="s">
        <v>345</v>
      </c>
      <c r="C80" s="349">
        <v>103.374</v>
      </c>
      <c r="D80" s="349">
        <v>104.209</v>
      </c>
      <c r="E80" s="349">
        <v>104.27500000000001</v>
      </c>
      <c r="F80" s="349">
        <v>104.78100000000001</v>
      </c>
      <c r="G80" s="349">
        <v>106.96299999999999</v>
      </c>
      <c r="H80" s="266">
        <v>106.539</v>
      </c>
      <c r="I80" s="266">
        <v>106.727</v>
      </c>
      <c r="J80" s="266">
        <v>107.236</v>
      </c>
      <c r="K80" s="266">
        <v>105.91800000000001</v>
      </c>
      <c r="L80" s="266">
        <v>103.417</v>
      </c>
      <c r="M80" s="266">
        <v>100.027</v>
      </c>
      <c r="N80" s="266">
        <v>98.105999999999995</v>
      </c>
      <c r="O80" s="266">
        <v>98.394000000000005</v>
      </c>
      <c r="P80" s="266">
        <v>97.652000000000001</v>
      </c>
      <c r="Q80" s="266">
        <v>95.981999999999999</v>
      </c>
      <c r="R80" s="266">
        <v>95.100999999999999</v>
      </c>
      <c r="S80" s="266">
        <v>95.6</v>
      </c>
      <c r="T80" s="266">
        <v>97.191000000000003</v>
      </c>
      <c r="U80" s="266">
        <v>98.674999999999997</v>
      </c>
      <c r="V80" s="266">
        <v>100</v>
      </c>
      <c r="W80" s="266">
        <v>99.269000000000005</v>
      </c>
      <c r="X80" s="266">
        <v>97.516000000000005</v>
      </c>
      <c r="Y80" s="266">
        <v>97.694999999999993</v>
      </c>
      <c r="Z80" s="266">
        <v>97.171999999999997</v>
      </c>
      <c r="AA80" s="266">
        <v>96.393000000000001</v>
      </c>
    </row>
    <row r="81" spans="1:27" x14ac:dyDescent="0.2">
      <c r="A81" s="266" t="s">
        <v>346</v>
      </c>
      <c r="B81" s="345" t="s">
        <v>347</v>
      </c>
      <c r="C81" s="349">
        <v>180.58</v>
      </c>
      <c r="D81" s="349">
        <v>166.958</v>
      </c>
      <c r="E81" s="349">
        <v>153.989</v>
      </c>
      <c r="F81" s="349">
        <v>140.309</v>
      </c>
      <c r="G81" s="349">
        <v>123.092</v>
      </c>
      <c r="H81" s="266">
        <v>117.154</v>
      </c>
      <c r="I81" s="266">
        <v>120.56100000000001</v>
      </c>
      <c r="J81" s="266">
        <v>125.267</v>
      </c>
      <c r="K81" s="266">
        <v>134.03899999999999</v>
      </c>
      <c r="L81" s="266">
        <v>129.929</v>
      </c>
      <c r="M81" s="266">
        <v>125.84099999999999</v>
      </c>
      <c r="N81" s="266">
        <v>128.18700000000001</v>
      </c>
      <c r="O81" s="266">
        <v>129.31</v>
      </c>
      <c r="P81" s="266">
        <v>130.41</v>
      </c>
      <c r="Q81" s="266">
        <v>127.22</v>
      </c>
      <c r="R81" s="266">
        <v>125.069</v>
      </c>
      <c r="S81" s="266">
        <v>119.11499999999999</v>
      </c>
      <c r="T81" s="266">
        <v>95.7</v>
      </c>
      <c r="U81" s="266">
        <v>96.614999999999995</v>
      </c>
      <c r="V81" s="266">
        <v>100</v>
      </c>
      <c r="W81" s="266">
        <v>100.651</v>
      </c>
      <c r="X81" s="266">
        <v>99.709000000000003</v>
      </c>
      <c r="Y81" s="266">
        <v>99.340999999999994</v>
      </c>
      <c r="Z81" s="266">
        <v>100.27</v>
      </c>
      <c r="AA81" s="266">
        <v>101.417</v>
      </c>
    </row>
    <row r="82" spans="1:27" x14ac:dyDescent="0.2">
      <c r="A82" s="266" t="s">
        <v>348</v>
      </c>
      <c r="B82" s="348" t="s">
        <v>349</v>
      </c>
      <c r="C82" s="349">
        <v>115.001</v>
      </c>
      <c r="D82" s="349">
        <v>118.03</v>
      </c>
      <c r="E82" s="349">
        <v>119.18600000000001</v>
      </c>
      <c r="F82" s="349">
        <v>119.658</v>
      </c>
      <c r="G82" s="349">
        <v>120.38200000000001</v>
      </c>
      <c r="H82" s="266">
        <v>120.408</v>
      </c>
      <c r="I82" s="266">
        <v>119.655</v>
      </c>
      <c r="J82" s="266">
        <v>117.756</v>
      </c>
      <c r="K82" s="266">
        <v>115.221</v>
      </c>
      <c r="L82" s="266">
        <v>112.517</v>
      </c>
      <c r="M82" s="266">
        <v>111.352</v>
      </c>
      <c r="N82" s="266">
        <v>109.913</v>
      </c>
      <c r="O82" s="266">
        <v>108.242</v>
      </c>
      <c r="P82" s="266">
        <v>106.54600000000001</v>
      </c>
      <c r="Q82" s="266">
        <v>105.648</v>
      </c>
      <c r="R82" s="266">
        <v>104.372</v>
      </c>
      <c r="S82" s="266">
        <v>103.352</v>
      </c>
      <c r="T82" s="266">
        <v>101.776</v>
      </c>
      <c r="U82" s="266">
        <v>101.54300000000001</v>
      </c>
      <c r="V82" s="266">
        <v>100</v>
      </c>
      <c r="W82" s="266">
        <v>97.462000000000003</v>
      </c>
      <c r="X82" s="266">
        <v>95.641000000000005</v>
      </c>
      <c r="Y82" s="266">
        <v>94.734999999999999</v>
      </c>
      <c r="Z82" s="266">
        <v>93.665999999999997</v>
      </c>
      <c r="AA82" s="266">
        <v>92.778000000000006</v>
      </c>
    </row>
    <row r="83" spans="1:27" x14ac:dyDescent="0.2">
      <c r="A83" s="266" t="s">
        <v>350</v>
      </c>
      <c r="B83" s="345" t="s">
        <v>351</v>
      </c>
      <c r="C83" s="349">
        <v>338.88</v>
      </c>
      <c r="D83" s="349">
        <v>335.63</v>
      </c>
      <c r="E83" s="349">
        <v>324.86399999999998</v>
      </c>
      <c r="F83" s="349">
        <v>315.01299999999998</v>
      </c>
      <c r="G83" s="349">
        <v>303.26299999999998</v>
      </c>
      <c r="H83" s="266">
        <v>286.50099999999998</v>
      </c>
      <c r="I83" s="266">
        <v>263.00799999999998</v>
      </c>
      <c r="J83" s="266">
        <v>239.46700000000001</v>
      </c>
      <c r="K83" s="266">
        <v>216.90600000000001</v>
      </c>
      <c r="L83" s="266">
        <v>196.786</v>
      </c>
      <c r="M83" s="266">
        <v>184.02</v>
      </c>
      <c r="N83" s="266">
        <v>170.00899999999999</v>
      </c>
      <c r="O83" s="266">
        <v>159.02799999999999</v>
      </c>
      <c r="P83" s="266">
        <v>148.61500000000001</v>
      </c>
      <c r="Q83" s="266">
        <v>141.24299999999999</v>
      </c>
      <c r="R83" s="266">
        <v>132.733</v>
      </c>
      <c r="S83" s="266">
        <v>123.967</v>
      </c>
      <c r="T83" s="266">
        <v>114.80500000000001</v>
      </c>
      <c r="U83" s="266">
        <v>107.896</v>
      </c>
      <c r="V83" s="266">
        <v>100</v>
      </c>
      <c r="W83" s="266">
        <v>92.861000000000004</v>
      </c>
      <c r="X83" s="266">
        <v>87.296000000000006</v>
      </c>
      <c r="Y83" s="266">
        <v>82.635999999999996</v>
      </c>
      <c r="Z83" s="266">
        <v>78.62</v>
      </c>
      <c r="AA83" s="266">
        <v>75.555000000000007</v>
      </c>
    </row>
    <row r="84" spans="1:27" x14ac:dyDescent="0.2">
      <c r="A84" s="266" t="s">
        <v>352</v>
      </c>
      <c r="B84" s="345" t="s">
        <v>353</v>
      </c>
      <c r="C84" s="349">
        <v>348.18900000000002</v>
      </c>
      <c r="D84" s="349">
        <v>340.101</v>
      </c>
      <c r="E84" s="349">
        <v>332.99599999999998</v>
      </c>
      <c r="F84" s="349">
        <v>325.81900000000002</v>
      </c>
      <c r="G84" s="349">
        <v>316.48</v>
      </c>
      <c r="H84" s="266">
        <v>305.73500000000001</v>
      </c>
      <c r="I84" s="266">
        <v>293.05900000000003</v>
      </c>
      <c r="J84" s="266">
        <v>281.04500000000002</v>
      </c>
      <c r="K84" s="266">
        <v>267.78699999999998</v>
      </c>
      <c r="L84" s="266">
        <v>250.54599999999999</v>
      </c>
      <c r="M84" s="266">
        <v>235.1</v>
      </c>
      <c r="N84" s="266">
        <v>221.477</v>
      </c>
      <c r="O84" s="266">
        <v>207.05199999999999</v>
      </c>
      <c r="P84" s="266">
        <v>192.792</v>
      </c>
      <c r="Q84" s="266">
        <v>179.226</v>
      </c>
      <c r="R84" s="266">
        <v>165.14400000000001</v>
      </c>
      <c r="S84" s="266">
        <v>148.797</v>
      </c>
      <c r="T84" s="266">
        <v>129.52099999999999</v>
      </c>
      <c r="U84" s="266">
        <v>116.002</v>
      </c>
      <c r="V84" s="266">
        <v>100</v>
      </c>
      <c r="W84" s="266">
        <v>86.384</v>
      </c>
      <c r="X84" s="266">
        <v>77.498000000000005</v>
      </c>
      <c r="Y84" s="266">
        <v>68.653000000000006</v>
      </c>
      <c r="Z84" s="266">
        <v>62.646000000000001</v>
      </c>
      <c r="AA84" s="266">
        <v>57.988999999999997</v>
      </c>
    </row>
    <row r="85" spans="1:27" x14ac:dyDescent="0.2">
      <c r="A85" s="266" t="s">
        <v>354</v>
      </c>
      <c r="B85" s="345" t="s">
        <v>355</v>
      </c>
      <c r="C85" s="349">
        <v>4906.5370000000003</v>
      </c>
      <c r="D85" s="349">
        <v>4162.8829999999998</v>
      </c>
      <c r="E85" s="349">
        <v>3215.9690000000001</v>
      </c>
      <c r="F85" s="349">
        <v>2516.645</v>
      </c>
      <c r="G85" s="349">
        <v>2212.3270000000002</v>
      </c>
      <c r="H85" s="266">
        <v>1775.57</v>
      </c>
      <c r="I85" s="266">
        <v>1246.2159999999999</v>
      </c>
      <c r="J85" s="266">
        <v>856.43100000000004</v>
      </c>
      <c r="K85" s="266">
        <v>597.73699999999997</v>
      </c>
      <c r="L85" s="266">
        <v>439.42500000000001</v>
      </c>
      <c r="M85" s="266">
        <v>359.64600000000002</v>
      </c>
      <c r="N85" s="266">
        <v>276.94900000000001</v>
      </c>
      <c r="O85" s="266">
        <v>222.28100000000001</v>
      </c>
      <c r="P85" s="266">
        <v>183.82</v>
      </c>
      <c r="Q85" s="266">
        <v>164.238</v>
      </c>
      <c r="R85" s="266">
        <v>144.745</v>
      </c>
      <c r="S85" s="266">
        <v>128.19900000000001</v>
      </c>
      <c r="T85" s="266">
        <v>117.934</v>
      </c>
      <c r="U85" s="266">
        <v>108.44799999999999</v>
      </c>
      <c r="V85" s="266">
        <v>100</v>
      </c>
      <c r="W85" s="266">
        <v>92.945999999999998</v>
      </c>
      <c r="X85" s="266">
        <v>85.087999999999994</v>
      </c>
      <c r="Y85" s="266">
        <v>78.760000000000005</v>
      </c>
      <c r="Z85" s="266">
        <v>72.944999999999993</v>
      </c>
      <c r="AA85" s="266">
        <v>68.691000000000003</v>
      </c>
    </row>
    <row r="86" spans="1:27" x14ac:dyDescent="0.2">
      <c r="A86" s="266" t="s">
        <v>356</v>
      </c>
      <c r="B86" s="345" t="s">
        <v>357</v>
      </c>
      <c r="C86" s="349">
        <v>53.476999999999997</v>
      </c>
      <c r="D86" s="349">
        <v>57.493000000000002</v>
      </c>
      <c r="E86" s="349">
        <v>60.156999999999996</v>
      </c>
      <c r="F86" s="349">
        <v>63.301000000000002</v>
      </c>
      <c r="G86" s="349">
        <v>63.113999999999997</v>
      </c>
      <c r="H86" s="266">
        <v>63.936999999999998</v>
      </c>
      <c r="I86" s="266">
        <v>66.757999999999996</v>
      </c>
      <c r="J86" s="266">
        <v>70.426000000000002</v>
      </c>
      <c r="K86" s="266">
        <v>73.421000000000006</v>
      </c>
      <c r="L86" s="266">
        <v>75.427999999999997</v>
      </c>
      <c r="M86" s="266">
        <v>77.849999999999994</v>
      </c>
      <c r="N86" s="266">
        <v>80.108999999999995</v>
      </c>
      <c r="O86" s="266">
        <v>83.744</v>
      </c>
      <c r="P86" s="266">
        <v>86.31</v>
      </c>
      <c r="Q86" s="266">
        <v>88.941999999999993</v>
      </c>
      <c r="R86" s="266">
        <v>91.031999999999996</v>
      </c>
      <c r="S86" s="266">
        <v>94.26</v>
      </c>
      <c r="T86" s="266">
        <v>95.786000000000001</v>
      </c>
      <c r="U86" s="266">
        <v>98.123999999999995</v>
      </c>
      <c r="V86" s="266">
        <v>100</v>
      </c>
      <c r="W86" s="266">
        <v>100.95099999999999</v>
      </c>
      <c r="X86" s="266">
        <v>102.902</v>
      </c>
      <c r="Y86" s="266">
        <v>107.339</v>
      </c>
      <c r="Z86" s="266">
        <v>109.84099999999999</v>
      </c>
      <c r="AA86" s="266">
        <v>112.11</v>
      </c>
    </row>
    <row r="87" spans="1:27" x14ac:dyDescent="0.2">
      <c r="A87" s="266" t="s">
        <v>358</v>
      </c>
      <c r="B87" s="345" t="s">
        <v>359</v>
      </c>
      <c r="C87" s="349">
        <v>115.992</v>
      </c>
      <c r="D87" s="349">
        <v>118.705</v>
      </c>
      <c r="E87" s="349">
        <v>120.625</v>
      </c>
      <c r="F87" s="349">
        <v>120.313</v>
      </c>
      <c r="G87" s="349">
        <v>121.836</v>
      </c>
      <c r="H87" s="266">
        <v>122.42100000000001</v>
      </c>
      <c r="I87" s="266">
        <v>122.03100000000001</v>
      </c>
      <c r="J87" s="266">
        <v>120.474</v>
      </c>
      <c r="K87" s="266">
        <v>118.248</v>
      </c>
      <c r="L87" s="266">
        <v>114.56399999999999</v>
      </c>
      <c r="M87" s="266">
        <v>112.65300000000001</v>
      </c>
      <c r="N87" s="266">
        <v>111.462</v>
      </c>
      <c r="O87" s="266">
        <v>108.533</v>
      </c>
      <c r="P87" s="266">
        <v>105.92</v>
      </c>
      <c r="Q87" s="266">
        <v>104.759</v>
      </c>
      <c r="R87" s="266">
        <v>103.02</v>
      </c>
      <c r="S87" s="266">
        <v>102.312</v>
      </c>
      <c r="T87" s="266">
        <v>100.60899999999999</v>
      </c>
      <c r="U87" s="266">
        <v>100.74</v>
      </c>
      <c r="V87" s="266">
        <v>100</v>
      </c>
      <c r="W87" s="266">
        <v>97.099000000000004</v>
      </c>
      <c r="X87" s="266">
        <v>94.361999999999995</v>
      </c>
      <c r="Y87" s="266">
        <v>92.872</v>
      </c>
      <c r="Z87" s="266">
        <v>90.846000000000004</v>
      </c>
      <c r="AA87" s="266">
        <v>88.474000000000004</v>
      </c>
    </row>
    <row r="88" spans="1:27" x14ac:dyDescent="0.2">
      <c r="A88" s="266" t="s">
        <v>360</v>
      </c>
      <c r="B88" s="345" t="s">
        <v>361</v>
      </c>
      <c r="C88" s="349">
        <v>81.367000000000004</v>
      </c>
      <c r="D88" s="349">
        <v>83.016999999999996</v>
      </c>
      <c r="E88" s="349">
        <v>84.763000000000005</v>
      </c>
      <c r="F88" s="349">
        <v>85.658000000000001</v>
      </c>
      <c r="G88" s="349">
        <v>87.659000000000006</v>
      </c>
      <c r="H88" s="266">
        <v>90.111999999999995</v>
      </c>
      <c r="I88" s="266">
        <v>90.870999999999995</v>
      </c>
      <c r="J88" s="266">
        <v>90.244</v>
      </c>
      <c r="K88" s="266">
        <v>90.424000000000007</v>
      </c>
      <c r="L88" s="266">
        <v>92.516000000000005</v>
      </c>
      <c r="M88" s="266">
        <v>94.248000000000005</v>
      </c>
      <c r="N88" s="266">
        <v>95.588999999999999</v>
      </c>
      <c r="O88" s="266">
        <v>95.132000000000005</v>
      </c>
      <c r="P88" s="266">
        <v>94.355999999999995</v>
      </c>
      <c r="Q88" s="266">
        <v>94.738</v>
      </c>
      <c r="R88" s="266">
        <v>96.292000000000002</v>
      </c>
      <c r="S88" s="266">
        <v>98.736000000000004</v>
      </c>
      <c r="T88" s="266">
        <v>98.100999999999999</v>
      </c>
      <c r="U88" s="266">
        <v>99.094999999999999</v>
      </c>
      <c r="V88" s="266">
        <v>100</v>
      </c>
      <c r="W88" s="266">
        <v>100.434</v>
      </c>
      <c r="X88" s="266">
        <v>102.773</v>
      </c>
      <c r="Y88" s="266">
        <v>104.369</v>
      </c>
      <c r="Z88" s="266">
        <v>104.869</v>
      </c>
      <c r="AA88" s="266">
        <v>104.62</v>
      </c>
    </row>
    <row r="89" spans="1:27" x14ac:dyDescent="0.2">
      <c r="A89" s="266" t="s">
        <v>362</v>
      </c>
      <c r="B89" s="345" t="s">
        <v>363</v>
      </c>
      <c r="C89" s="349">
        <v>131.15799999999999</v>
      </c>
      <c r="D89" s="349">
        <v>134.30600000000001</v>
      </c>
      <c r="E89" s="349">
        <v>136.316</v>
      </c>
      <c r="F89" s="349">
        <v>135.49100000000001</v>
      </c>
      <c r="G89" s="349">
        <v>136.79300000000001</v>
      </c>
      <c r="H89" s="266">
        <v>136.53399999999999</v>
      </c>
      <c r="I89" s="266">
        <v>135.626</v>
      </c>
      <c r="J89" s="266">
        <v>133.63499999999999</v>
      </c>
      <c r="K89" s="266">
        <v>130.27099999999999</v>
      </c>
      <c r="L89" s="266">
        <v>123.95399999999999</v>
      </c>
      <c r="M89" s="266">
        <v>120.468</v>
      </c>
      <c r="N89" s="266">
        <v>118.214</v>
      </c>
      <c r="O89" s="266">
        <v>114.26300000000001</v>
      </c>
      <c r="P89" s="266">
        <v>110.843</v>
      </c>
      <c r="Q89" s="266">
        <v>108.99299999999999</v>
      </c>
      <c r="R89" s="266">
        <v>105.77800000000001</v>
      </c>
      <c r="S89" s="266">
        <v>103.714</v>
      </c>
      <c r="T89" s="266">
        <v>101.554</v>
      </c>
      <c r="U89" s="266">
        <v>101.31699999999999</v>
      </c>
      <c r="V89" s="266">
        <v>100</v>
      </c>
      <c r="W89" s="266">
        <v>96.144000000000005</v>
      </c>
      <c r="X89" s="266">
        <v>92.085999999999999</v>
      </c>
      <c r="Y89" s="266">
        <v>89.82</v>
      </c>
      <c r="Z89" s="266">
        <v>87.156999999999996</v>
      </c>
      <c r="AA89" s="266">
        <v>84.254999999999995</v>
      </c>
    </row>
    <row r="90" spans="1:27" x14ac:dyDescent="0.2">
      <c r="A90" s="266" t="s">
        <v>364</v>
      </c>
      <c r="B90" s="345" t="s">
        <v>365</v>
      </c>
      <c r="C90" s="349">
        <v>95.876000000000005</v>
      </c>
      <c r="D90" s="349">
        <v>98.870999999999995</v>
      </c>
      <c r="E90" s="349">
        <v>100.285</v>
      </c>
      <c r="F90" s="349">
        <v>100.251</v>
      </c>
      <c r="G90" s="349">
        <v>101.992</v>
      </c>
      <c r="H90" s="266">
        <v>103.081</v>
      </c>
      <c r="I90" s="266">
        <v>102.99299999999999</v>
      </c>
      <c r="J90" s="266">
        <v>102.256</v>
      </c>
      <c r="K90" s="266">
        <v>101.65600000000001</v>
      </c>
      <c r="L90" s="266">
        <v>100.369</v>
      </c>
      <c r="M90" s="266">
        <v>99.269000000000005</v>
      </c>
      <c r="N90" s="266">
        <v>98.861000000000004</v>
      </c>
      <c r="O90" s="266">
        <v>97.141999999999996</v>
      </c>
      <c r="P90" s="266">
        <v>96.18</v>
      </c>
      <c r="Q90" s="266">
        <v>95.95</v>
      </c>
      <c r="R90" s="266">
        <v>96.325000000000003</v>
      </c>
      <c r="S90" s="266">
        <v>97.725999999999999</v>
      </c>
      <c r="T90" s="266">
        <v>97.137</v>
      </c>
      <c r="U90" s="266">
        <v>98.748999999999995</v>
      </c>
      <c r="V90" s="266">
        <v>100</v>
      </c>
      <c r="W90" s="266">
        <v>99.105999999999995</v>
      </c>
      <c r="X90" s="266">
        <v>98.835999999999999</v>
      </c>
      <c r="Y90" s="266">
        <v>99.067999999999998</v>
      </c>
      <c r="Z90" s="266">
        <v>98.512</v>
      </c>
      <c r="AA90" s="266">
        <v>97.161000000000001</v>
      </c>
    </row>
    <row r="91" spans="1:27" x14ac:dyDescent="0.2">
      <c r="A91" s="266" t="s">
        <v>366</v>
      </c>
      <c r="B91" s="345" t="s">
        <v>367</v>
      </c>
      <c r="C91" s="349">
        <v>55.234999999999999</v>
      </c>
      <c r="D91" s="349">
        <v>58.027000000000001</v>
      </c>
      <c r="E91" s="349">
        <v>59.582000000000001</v>
      </c>
      <c r="F91" s="349">
        <v>61.198</v>
      </c>
      <c r="G91" s="349">
        <v>63.27</v>
      </c>
      <c r="H91" s="266">
        <v>64.751000000000005</v>
      </c>
      <c r="I91" s="266">
        <v>67.040000000000006</v>
      </c>
      <c r="J91" s="266">
        <v>69.162000000000006</v>
      </c>
      <c r="K91" s="266">
        <v>70.882000000000005</v>
      </c>
      <c r="L91" s="266">
        <v>74.155000000000001</v>
      </c>
      <c r="M91" s="266">
        <v>77.629000000000005</v>
      </c>
      <c r="N91" s="266">
        <v>80.596000000000004</v>
      </c>
      <c r="O91" s="266">
        <v>82.8</v>
      </c>
      <c r="P91" s="266">
        <v>85.863</v>
      </c>
      <c r="Q91" s="266">
        <v>87.906999999999996</v>
      </c>
      <c r="R91" s="266">
        <v>90.212000000000003</v>
      </c>
      <c r="S91" s="266">
        <v>93.472999999999999</v>
      </c>
      <c r="T91" s="266">
        <v>96.406999999999996</v>
      </c>
      <c r="U91" s="266">
        <v>98.912999999999997</v>
      </c>
      <c r="V91" s="266">
        <v>100</v>
      </c>
      <c r="W91" s="266">
        <v>100.358</v>
      </c>
      <c r="X91" s="266">
        <v>100.355</v>
      </c>
      <c r="Y91" s="266">
        <v>102.795</v>
      </c>
      <c r="Z91" s="266">
        <v>104.366</v>
      </c>
      <c r="AA91" s="266">
        <v>106.20699999999999</v>
      </c>
    </row>
    <row r="92" spans="1:27" x14ac:dyDescent="0.2">
      <c r="A92" s="266" t="s">
        <v>368</v>
      </c>
      <c r="B92" s="345" t="s">
        <v>369</v>
      </c>
      <c r="C92" s="349">
        <v>61.043999999999997</v>
      </c>
      <c r="D92" s="349">
        <v>64.543999999999997</v>
      </c>
      <c r="E92" s="349">
        <v>67.22</v>
      </c>
      <c r="F92" s="349">
        <v>70.405000000000001</v>
      </c>
      <c r="G92" s="349">
        <v>73.954999999999998</v>
      </c>
      <c r="H92" s="266">
        <v>73.855000000000004</v>
      </c>
      <c r="I92" s="266">
        <v>76.2</v>
      </c>
      <c r="J92" s="266">
        <v>79.369</v>
      </c>
      <c r="K92" s="266">
        <v>81.497</v>
      </c>
      <c r="L92" s="266">
        <v>84.16</v>
      </c>
      <c r="M92" s="266">
        <v>86.658000000000001</v>
      </c>
      <c r="N92" s="266">
        <v>88.850999999999999</v>
      </c>
      <c r="O92" s="266">
        <v>89.870999999999995</v>
      </c>
      <c r="P92" s="266">
        <v>92.409000000000006</v>
      </c>
      <c r="Q92" s="266">
        <v>92.844999999999999</v>
      </c>
      <c r="R92" s="266">
        <v>93.456999999999994</v>
      </c>
      <c r="S92" s="266">
        <v>96.971999999999994</v>
      </c>
      <c r="T92" s="266">
        <v>98.444000000000003</v>
      </c>
      <c r="U92" s="266">
        <v>100.13</v>
      </c>
      <c r="V92" s="266">
        <v>100</v>
      </c>
      <c r="W92" s="266">
        <v>98.251000000000005</v>
      </c>
      <c r="X92" s="266">
        <v>97.126000000000005</v>
      </c>
      <c r="Y92" s="266">
        <v>99.864999999999995</v>
      </c>
      <c r="Z92" s="266">
        <v>101.45399999999999</v>
      </c>
      <c r="AA92" s="266">
        <v>102.919</v>
      </c>
    </row>
    <row r="93" spans="1:27" x14ac:dyDescent="0.2">
      <c r="A93" s="266" t="s">
        <v>370</v>
      </c>
      <c r="B93" s="345" t="s">
        <v>371</v>
      </c>
      <c r="C93" s="349">
        <v>56.35</v>
      </c>
      <c r="D93" s="349">
        <v>58.689</v>
      </c>
      <c r="E93" s="349">
        <v>60.399000000000001</v>
      </c>
      <c r="F93" s="349">
        <v>61.994999999999997</v>
      </c>
      <c r="G93" s="349">
        <v>63.390999999999998</v>
      </c>
      <c r="H93" s="266">
        <v>65.34</v>
      </c>
      <c r="I93" s="266">
        <v>67.051000000000002</v>
      </c>
      <c r="J93" s="266">
        <v>68.887</v>
      </c>
      <c r="K93" s="266">
        <v>70.728999999999999</v>
      </c>
      <c r="L93" s="266">
        <v>73.84</v>
      </c>
      <c r="M93" s="266">
        <v>77.180000000000007</v>
      </c>
      <c r="N93" s="266">
        <v>80.228999999999999</v>
      </c>
      <c r="O93" s="266">
        <v>82.697000000000003</v>
      </c>
      <c r="P93" s="266">
        <v>86.067999999999998</v>
      </c>
      <c r="Q93" s="266">
        <v>88.171000000000006</v>
      </c>
      <c r="R93" s="266">
        <v>90.234999999999999</v>
      </c>
      <c r="S93" s="266">
        <v>93.391999999999996</v>
      </c>
      <c r="T93" s="266">
        <v>96.355999999999995</v>
      </c>
      <c r="U93" s="266">
        <v>98.759</v>
      </c>
      <c r="V93" s="266">
        <v>100</v>
      </c>
      <c r="W93" s="266">
        <v>100.32899999999999</v>
      </c>
      <c r="X93" s="266">
        <v>100.429</v>
      </c>
      <c r="Y93" s="266">
        <v>102.601</v>
      </c>
      <c r="Z93" s="266">
        <v>104.04600000000001</v>
      </c>
      <c r="AA93" s="266">
        <v>105.556</v>
      </c>
    </row>
    <row r="94" spans="1:27" x14ac:dyDescent="0.2">
      <c r="A94" s="266" t="s">
        <v>372</v>
      </c>
      <c r="B94" s="345" t="s">
        <v>373</v>
      </c>
      <c r="C94" s="349">
        <v>50.322000000000003</v>
      </c>
      <c r="D94" s="349">
        <v>53.104999999999997</v>
      </c>
      <c r="E94" s="349">
        <v>53.686999999999998</v>
      </c>
      <c r="F94" s="349">
        <v>54.25</v>
      </c>
      <c r="G94" s="349">
        <v>56.097999999999999</v>
      </c>
      <c r="H94" s="266">
        <v>58.075000000000003</v>
      </c>
      <c r="I94" s="266">
        <v>60.953000000000003</v>
      </c>
      <c r="J94" s="266">
        <v>62.65</v>
      </c>
      <c r="K94" s="266">
        <v>63.978000000000002</v>
      </c>
      <c r="L94" s="266">
        <v>67.8</v>
      </c>
      <c r="M94" s="266">
        <v>72.001999999999995</v>
      </c>
      <c r="N94" s="266">
        <v>75.460999999999999</v>
      </c>
      <c r="O94" s="266">
        <v>78.216999999999999</v>
      </c>
      <c r="P94" s="266">
        <v>81.248000000000005</v>
      </c>
      <c r="Q94" s="266">
        <v>84.27</v>
      </c>
      <c r="R94" s="266">
        <v>87.91</v>
      </c>
      <c r="S94" s="266">
        <v>91.082999999999998</v>
      </c>
      <c r="T94" s="266">
        <v>94.971000000000004</v>
      </c>
      <c r="U94" s="266">
        <v>98.186000000000007</v>
      </c>
      <c r="V94" s="266">
        <v>100</v>
      </c>
      <c r="W94" s="266">
        <v>101.74299999999999</v>
      </c>
      <c r="X94" s="266">
        <v>102.36199999999999</v>
      </c>
      <c r="Y94" s="266">
        <v>104.825</v>
      </c>
      <c r="Z94" s="266">
        <v>106.524</v>
      </c>
      <c r="AA94" s="266">
        <v>108.89100000000001</v>
      </c>
    </row>
    <row r="95" spans="1:27" x14ac:dyDescent="0.2">
      <c r="A95" s="266" t="s">
        <v>374</v>
      </c>
      <c r="B95" s="345" t="s">
        <v>375</v>
      </c>
      <c r="C95" s="349">
        <v>52.042999999999999</v>
      </c>
      <c r="D95" s="349">
        <v>54.817999999999998</v>
      </c>
      <c r="E95" s="349">
        <v>55.466999999999999</v>
      </c>
      <c r="F95" s="349">
        <v>56.058</v>
      </c>
      <c r="G95" s="349">
        <v>57.997</v>
      </c>
      <c r="H95" s="266">
        <v>60.042000000000002</v>
      </c>
      <c r="I95" s="266">
        <v>62.985999999999997</v>
      </c>
      <c r="J95" s="266">
        <v>64.736000000000004</v>
      </c>
      <c r="K95" s="266">
        <v>66.119</v>
      </c>
      <c r="L95" s="266">
        <v>70.227999999999994</v>
      </c>
      <c r="M95" s="266">
        <v>74.691000000000003</v>
      </c>
      <c r="N95" s="266">
        <v>77.441000000000003</v>
      </c>
      <c r="O95" s="266">
        <v>79.878</v>
      </c>
      <c r="P95" s="266">
        <v>84.052999999999997</v>
      </c>
      <c r="Q95" s="266">
        <v>86.715000000000003</v>
      </c>
      <c r="R95" s="266">
        <v>89.525999999999996</v>
      </c>
      <c r="S95" s="266">
        <v>92.67</v>
      </c>
      <c r="T95" s="266">
        <v>96.298000000000002</v>
      </c>
      <c r="U95" s="266">
        <v>98.475999999999999</v>
      </c>
      <c r="V95" s="266">
        <v>100</v>
      </c>
      <c r="W95" s="266">
        <v>101.52500000000001</v>
      </c>
      <c r="X95" s="266">
        <v>102.57299999999999</v>
      </c>
      <c r="Y95" s="266">
        <v>104.54</v>
      </c>
      <c r="Z95" s="266">
        <v>105.739</v>
      </c>
      <c r="AA95" s="266">
        <v>107.63500000000001</v>
      </c>
    </row>
    <row r="96" spans="1:27" x14ac:dyDescent="0.2">
      <c r="A96" s="266" t="s">
        <v>376</v>
      </c>
      <c r="B96" s="345" t="s">
        <v>377</v>
      </c>
      <c r="C96" s="349">
        <v>51.975000000000001</v>
      </c>
      <c r="D96" s="349">
        <v>54.93</v>
      </c>
      <c r="E96" s="349">
        <v>55.497</v>
      </c>
      <c r="F96" s="349">
        <v>56.070999999999998</v>
      </c>
      <c r="G96" s="349">
        <v>57.978000000000002</v>
      </c>
      <c r="H96" s="266">
        <v>59.994999999999997</v>
      </c>
      <c r="I96" s="266">
        <v>62.978999999999999</v>
      </c>
      <c r="J96" s="266">
        <v>64.754999999999995</v>
      </c>
      <c r="K96" s="266">
        <v>66.120999999999995</v>
      </c>
      <c r="L96" s="266">
        <v>70.174000000000007</v>
      </c>
      <c r="M96" s="266">
        <v>74.67</v>
      </c>
      <c r="N96" s="266">
        <v>77.421999999999997</v>
      </c>
      <c r="O96" s="266">
        <v>79.947000000000003</v>
      </c>
      <c r="P96" s="266">
        <v>84.027000000000001</v>
      </c>
      <c r="Q96" s="266">
        <v>86.721999999999994</v>
      </c>
      <c r="R96" s="266">
        <v>89.513999999999996</v>
      </c>
      <c r="S96" s="266">
        <v>92.712000000000003</v>
      </c>
      <c r="T96" s="266">
        <v>96.292000000000002</v>
      </c>
      <c r="U96" s="266">
        <v>98.489000000000004</v>
      </c>
      <c r="V96" s="266">
        <v>100</v>
      </c>
      <c r="W96" s="266">
        <v>101.55</v>
      </c>
      <c r="X96" s="266">
        <v>102.527</v>
      </c>
      <c r="Y96" s="266">
        <v>104.557</v>
      </c>
      <c r="Z96" s="266">
        <v>105.66500000000001</v>
      </c>
      <c r="AA96" s="266">
        <v>107.63200000000001</v>
      </c>
    </row>
    <row r="97" spans="1:27" x14ac:dyDescent="0.2">
      <c r="A97" s="266" t="s">
        <v>378</v>
      </c>
      <c r="B97" s="345" t="s">
        <v>379</v>
      </c>
      <c r="C97" s="349">
        <v>47.427</v>
      </c>
      <c r="D97" s="349">
        <v>50.079000000000001</v>
      </c>
      <c r="E97" s="349">
        <v>50.616</v>
      </c>
      <c r="F97" s="349">
        <v>51.146999999999998</v>
      </c>
      <c r="G97" s="349">
        <v>52.872</v>
      </c>
      <c r="H97" s="266">
        <v>54.756999999999998</v>
      </c>
      <c r="I97" s="266">
        <v>57.482999999999997</v>
      </c>
      <c r="J97" s="266">
        <v>59.066000000000003</v>
      </c>
      <c r="K97" s="266">
        <v>60.317</v>
      </c>
      <c r="L97" s="266">
        <v>63.734000000000002</v>
      </c>
      <c r="M97" s="266">
        <v>67.488</v>
      </c>
      <c r="N97" s="266">
        <v>71.988</v>
      </c>
      <c r="O97" s="266">
        <v>75.132999999999996</v>
      </c>
      <c r="P97" s="266">
        <v>76.5</v>
      </c>
      <c r="Q97" s="266">
        <v>80.039000000000001</v>
      </c>
      <c r="R97" s="266">
        <v>85.05</v>
      </c>
      <c r="S97" s="266">
        <v>88.206000000000003</v>
      </c>
      <c r="T97" s="266">
        <v>92.597999999999999</v>
      </c>
      <c r="U97" s="266">
        <v>97.626000000000005</v>
      </c>
      <c r="V97" s="266">
        <v>100</v>
      </c>
      <c r="W97" s="266">
        <v>102.14</v>
      </c>
      <c r="X97" s="266">
        <v>102.01300000000001</v>
      </c>
      <c r="Y97" s="266">
        <v>105.363</v>
      </c>
      <c r="Z97" s="266">
        <v>108.169</v>
      </c>
      <c r="AA97" s="266">
        <v>111.363</v>
      </c>
    </row>
    <row r="98" spans="1:27" x14ac:dyDescent="0.2">
      <c r="A98" s="266" t="s">
        <v>380</v>
      </c>
      <c r="B98" s="345" t="s">
        <v>381</v>
      </c>
      <c r="C98" s="349">
        <v>52</v>
      </c>
      <c r="D98" s="349">
        <v>54.901000000000003</v>
      </c>
      <c r="E98" s="349">
        <v>55.5</v>
      </c>
      <c r="F98" s="349">
        <v>56.08</v>
      </c>
      <c r="G98" s="349">
        <v>57.988999999999997</v>
      </c>
      <c r="H98" s="266">
        <v>60.003</v>
      </c>
      <c r="I98" s="266">
        <v>62.987000000000002</v>
      </c>
      <c r="J98" s="266">
        <v>64.766999999999996</v>
      </c>
      <c r="K98" s="266">
        <v>66.141999999999996</v>
      </c>
      <c r="L98" s="266">
        <v>70.171999999999997</v>
      </c>
      <c r="M98" s="266">
        <v>74.682000000000002</v>
      </c>
      <c r="N98" s="266">
        <v>77.462000000000003</v>
      </c>
      <c r="O98" s="266">
        <v>79.947000000000003</v>
      </c>
      <c r="P98" s="266">
        <v>84.021000000000001</v>
      </c>
      <c r="Q98" s="266">
        <v>86.733000000000004</v>
      </c>
      <c r="R98" s="266">
        <v>89.525999999999996</v>
      </c>
      <c r="S98" s="266">
        <v>92.634</v>
      </c>
      <c r="T98" s="266">
        <v>96.305999999999997</v>
      </c>
      <c r="U98" s="266">
        <v>98.504999999999995</v>
      </c>
      <c r="V98" s="266">
        <v>100</v>
      </c>
      <c r="W98" s="266">
        <v>101.551</v>
      </c>
      <c r="X98" s="266">
        <v>102.551</v>
      </c>
      <c r="Y98" s="266">
        <v>104.575</v>
      </c>
      <c r="Z98" s="266">
        <v>105.70699999999999</v>
      </c>
      <c r="AA98" s="266">
        <v>107.651</v>
      </c>
    </row>
    <row r="99" spans="1:27" x14ac:dyDescent="0.2">
      <c r="A99" s="266" t="s">
        <v>382</v>
      </c>
      <c r="B99" s="345" t="s">
        <v>383</v>
      </c>
      <c r="C99" s="349">
        <v>66.722999999999999</v>
      </c>
      <c r="D99" s="349">
        <v>70.478999999999999</v>
      </c>
      <c r="E99" s="349">
        <v>73.697999999999993</v>
      </c>
      <c r="F99" s="349">
        <v>75.864999999999995</v>
      </c>
      <c r="G99" s="349">
        <v>78.073999999999998</v>
      </c>
      <c r="H99" s="266">
        <v>81.578999999999994</v>
      </c>
      <c r="I99" s="266">
        <v>85.046000000000006</v>
      </c>
      <c r="J99" s="266">
        <v>86.652000000000001</v>
      </c>
      <c r="K99" s="266">
        <v>88.727999999999994</v>
      </c>
      <c r="L99" s="266">
        <v>88.965999999999994</v>
      </c>
      <c r="M99" s="266">
        <v>89.212999999999994</v>
      </c>
      <c r="N99" s="266">
        <v>90.292000000000002</v>
      </c>
      <c r="O99" s="266">
        <v>91.882000000000005</v>
      </c>
      <c r="P99" s="266">
        <v>91.924999999999997</v>
      </c>
      <c r="Q99" s="266">
        <v>92.320999999999998</v>
      </c>
      <c r="R99" s="266">
        <v>93.296000000000006</v>
      </c>
      <c r="S99" s="266">
        <v>94.037999999999997</v>
      </c>
      <c r="T99" s="266">
        <v>95.152000000000001</v>
      </c>
      <c r="U99" s="266">
        <v>97.013999999999996</v>
      </c>
      <c r="V99" s="266">
        <v>100</v>
      </c>
      <c r="W99" s="266">
        <v>100.259</v>
      </c>
      <c r="X99" s="266">
        <v>100.00700000000001</v>
      </c>
      <c r="Y99" s="266">
        <v>101.932</v>
      </c>
      <c r="Z99" s="266">
        <v>104.842</v>
      </c>
      <c r="AA99" s="266">
        <v>106.86499999999999</v>
      </c>
    </row>
    <row r="100" spans="1:27" x14ac:dyDescent="0.2">
      <c r="A100" s="266" t="s">
        <v>384</v>
      </c>
      <c r="B100" s="345" t="s">
        <v>385</v>
      </c>
      <c r="C100" s="349">
        <v>62.506</v>
      </c>
      <c r="D100" s="349">
        <v>64.796999999999997</v>
      </c>
      <c r="E100" s="349">
        <v>66.495000000000005</v>
      </c>
      <c r="F100" s="349">
        <v>68.216999999999999</v>
      </c>
      <c r="G100" s="349">
        <v>69.683000000000007</v>
      </c>
      <c r="H100" s="266">
        <v>71.384</v>
      </c>
      <c r="I100" s="266">
        <v>73.313000000000002</v>
      </c>
      <c r="J100" s="266">
        <v>74.875</v>
      </c>
      <c r="K100" s="266">
        <v>75.986999999999995</v>
      </c>
      <c r="L100" s="266">
        <v>77.671999999999997</v>
      </c>
      <c r="M100" s="266">
        <v>80.265000000000001</v>
      </c>
      <c r="N100" s="266">
        <v>82.522000000000006</v>
      </c>
      <c r="O100" s="266">
        <v>83.847999999999999</v>
      </c>
      <c r="P100" s="266">
        <v>85.772999999999996</v>
      </c>
      <c r="Q100" s="266">
        <v>88.055999999999997</v>
      </c>
      <c r="R100" s="266">
        <v>91.010999999999996</v>
      </c>
      <c r="S100" s="266">
        <v>93.957999999999998</v>
      </c>
      <c r="T100" s="266">
        <v>96.646000000000001</v>
      </c>
      <c r="U100" s="266">
        <v>100.325</v>
      </c>
      <c r="V100" s="266">
        <v>100</v>
      </c>
      <c r="W100" s="266">
        <v>101.649</v>
      </c>
      <c r="X100" s="266">
        <v>104.86</v>
      </c>
      <c r="Y100" s="266">
        <v>107.005</v>
      </c>
      <c r="Z100" s="266">
        <v>108.58199999999999</v>
      </c>
      <c r="AA100" s="266">
        <v>110.328</v>
      </c>
    </row>
    <row r="101" spans="1:27" x14ac:dyDescent="0.2">
      <c r="A101" s="266" t="s">
        <v>386</v>
      </c>
      <c r="B101" s="345" t="s">
        <v>387</v>
      </c>
      <c r="C101" s="349">
        <v>56.473999999999997</v>
      </c>
      <c r="D101" s="349">
        <v>58.716000000000001</v>
      </c>
      <c r="E101" s="349">
        <v>58.789000000000001</v>
      </c>
      <c r="F101" s="349">
        <v>59.472000000000001</v>
      </c>
      <c r="G101" s="349">
        <v>60.688000000000002</v>
      </c>
      <c r="H101" s="266">
        <v>61.54</v>
      </c>
      <c r="I101" s="266">
        <v>64.222999999999999</v>
      </c>
      <c r="J101" s="266">
        <v>65.855999999999995</v>
      </c>
      <c r="K101" s="266">
        <v>66.733000000000004</v>
      </c>
      <c r="L101" s="266">
        <v>67.956000000000003</v>
      </c>
      <c r="M101" s="266">
        <v>69.650000000000006</v>
      </c>
      <c r="N101" s="266">
        <v>71.896000000000001</v>
      </c>
      <c r="O101" s="266">
        <v>74.152000000000001</v>
      </c>
      <c r="P101" s="266">
        <v>75.688999999999993</v>
      </c>
      <c r="Q101" s="266">
        <v>78.513999999999996</v>
      </c>
      <c r="R101" s="266">
        <v>80.536000000000001</v>
      </c>
      <c r="S101" s="266">
        <v>83.662000000000006</v>
      </c>
      <c r="T101" s="266">
        <v>87.091999999999999</v>
      </c>
      <c r="U101" s="266">
        <v>94.037000000000006</v>
      </c>
      <c r="V101" s="266">
        <v>100</v>
      </c>
      <c r="W101" s="266">
        <v>100.598</v>
      </c>
      <c r="X101" s="266">
        <v>103.515</v>
      </c>
      <c r="Y101" s="266">
        <v>105.873</v>
      </c>
      <c r="Z101" s="266">
        <v>107.309</v>
      </c>
      <c r="AA101" s="266">
        <v>108.06100000000001</v>
      </c>
    </row>
    <row r="102" spans="1:27" x14ac:dyDescent="0.2">
      <c r="A102" s="266" t="s">
        <v>388</v>
      </c>
      <c r="B102" s="345" t="s">
        <v>389</v>
      </c>
      <c r="C102" s="349">
        <v>106.753</v>
      </c>
      <c r="D102" s="349">
        <v>110.07</v>
      </c>
      <c r="E102" s="349">
        <v>112.67400000000001</v>
      </c>
      <c r="F102" s="349">
        <v>114.901</v>
      </c>
      <c r="G102" s="349">
        <v>115.83799999999999</v>
      </c>
      <c r="H102" s="266">
        <v>118.376</v>
      </c>
      <c r="I102" s="266">
        <v>120.456</v>
      </c>
      <c r="J102" s="266">
        <v>122.738</v>
      </c>
      <c r="K102" s="266">
        <v>122.524</v>
      </c>
      <c r="L102" s="266">
        <v>121.55800000000001</v>
      </c>
      <c r="M102" s="266">
        <v>121.59</v>
      </c>
      <c r="N102" s="266">
        <v>121.12</v>
      </c>
      <c r="O102" s="266">
        <v>120.96899999999999</v>
      </c>
      <c r="P102" s="266">
        <v>119.44799999999999</v>
      </c>
      <c r="Q102" s="266">
        <v>115.58199999999999</v>
      </c>
      <c r="R102" s="266">
        <v>112.06399999999999</v>
      </c>
      <c r="S102" s="266">
        <v>107.976</v>
      </c>
      <c r="T102" s="266">
        <v>102.39400000000001</v>
      </c>
      <c r="U102" s="266">
        <v>99.938999999999993</v>
      </c>
      <c r="V102" s="266">
        <v>100</v>
      </c>
      <c r="W102" s="266">
        <v>98.623000000000005</v>
      </c>
      <c r="X102" s="266">
        <v>98.427999999999997</v>
      </c>
      <c r="Y102" s="266">
        <v>98.837999999999994</v>
      </c>
      <c r="Z102" s="266">
        <v>97.756</v>
      </c>
      <c r="AA102" s="266">
        <v>99.338999999999999</v>
      </c>
    </row>
    <row r="103" spans="1:27" x14ac:dyDescent="0.2">
      <c r="A103" s="266" t="s">
        <v>390</v>
      </c>
      <c r="B103" s="345" t="s">
        <v>391</v>
      </c>
      <c r="C103" s="349">
        <v>56.366999999999997</v>
      </c>
      <c r="D103" s="349">
        <v>58.677</v>
      </c>
      <c r="E103" s="349">
        <v>60.401000000000003</v>
      </c>
      <c r="F103" s="349">
        <v>62.002000000000002</v>
      </c>
      <c r="G103" s="349">
        <v>63.383000000000003</v>
      </c>
      <c r="H103" s="266">
        <v>65.347999999999999</v>
      </c>
      <c r="I103" s="266">
        <v>67.069999999999993</v>
      </c>
      <c r="J103" s="266">
        <v>68.882000000000005</v>
      </c>
      <c r="K103" s="266">
        <v>70.734999999999999</v>
      </c>
      <c r="L103" s="266">
        <v>73.846000000000004</v>
      </c>
      <c r="M103" s="266">
        <v>77.155000000000001</v>
      </c>
      <c r="N103" s="266">
        <v>80.212000000000003</v>
      </c>
      <c r="O103" s="266">
        <v>82.679000000000002</v>
      </c>
      <c r="P103" s="266">
        <v>86.08</v>
      </c>
      <c r="Q103" s="266">
        <v>88.176000000000002</v>
      </c>
      <c r="R103" s="266">
        <v>90.227000000000004</v>
      </c>
      <c r="S103" s="266">
        <v>93.436000000000007</v>
      </c>
      <c r="T103" s="266">
        <v>96.352999999999994</v>
      </c>
      <c r="U103" s="266">
        <v>98.748000000000005</v>
      </c>
      <c r="V103" s="266">
        <v>100</v>
      </c>
      <c r="W103" s="266">
        <v>100.334</v>
      </c>
      <c r="X103" s="266">
        <v>100.428</v>
      </c>
      <c r="Y103" s="266">
        <v>102.572</v>
      </c>
      <c r="Z103" s="266">
        <v>104.044</v>
      </c>
      <c r="AA103" s="266">
        <v>105.559</v>
      </c>
    </row>
    <row r="104" spans="1:27" x14ac:dyDescent="0.2">
      <c r="A104" s="266" t="s">
        <v>392</v>
      </c>
      <c r="B104" s="348" t="s">
        <v>393</v>
      </c>
      <c r="C104" s="349">
        <v>31.859000000000002</v>
      </c>
      <c r="D104" s="349">
        <v>34.430999999999997</v>
      </c>
      <c r="E104" s="349">
        <v>37.271999999999998</v>
      </c>
      <c r="F104" s="349">
        <v>39.929000000000002</v>
      </c>
      <c r="G104" s="349">
        <v>42.268000000000001</v>
      </c>
      <c r="H104" s="266">
        <v>44.58</v>
      </c>
      <c r="I104" s="266">
        <v>46.954000000000001</v>
      </c>
      <c r="J104" s="266">
        <v>49.220999999999997</v>
      </c>
      <c r="K104" s="266">
        <v>51.468000000000004</v>
      </c>
      <c r="L104" s="266">
        <v>54.003999999999998</v>
      </c>
      <c r="M104" s="266">
        <v>56.720999999999997</v>
      </c>
      <c r="N104" s="266">
        <v>59.77</v>
      </c>
      <c r="O104" s="266">
        <v>63.654000000000003</v>
      </c>
      <c r="P104" s="266">
        <v>68.507000000000005</v>
      </c>
      <c r="Q104" s="266">
        <v>74.2</v>
      </c>
      <c r="R104" s="266">
        <v>79.528000000000006</v>
      </c>
      <c r="S104" s="266">
        <v>84.575000000000003</v>
      </c>
      <c r="T104" s="266">
        <v>89.468999999999994</v>
      </c>
      <c r="U104" s="266">
        <v>94.706000000000003</v>
      </c>
      <c r="V104" s="266">
        <v>100</v>
      </c>
      <c r="W104" s="266">
        <v>104.699</v>
      </c>
      <c r="X104" s="266">
        <v>109.643</v>
      </c>
      <c r="Y104" s="266">
        <v>114.637</v>
      </c>
      <c r="Z104" s="266">
        <v>119.133</v>
      </c>
      <c r="AA104" s="266">
        <v>123.083</v>
      </c>
    </row>
    <row r="105" spans="1:27" x14ac:dyDescent="0.2">
      <c r="A105" s="266" t="s">
        <v>394</v>
      </c>
      <c r="B105" s="345" t="s">
        <v>395</v>
      </c>
      <c r="C105" s="349">
        <v>36.39</v>
      </c>
      <c r="D105" s="349">
        <v>38.277999999999999</v>
      </c>
      <c r="E105" s="349">
        <v>40.384</v>
      </c>
      <c r="F105" s="349">
        <v>41.795000000000002</v>
      </c>
      <c r="G105" s="349">
        <v>43.305</v>
      </c>
      <c r="H105" s="266">
        <v>44.965000000000003</v>
      </c>
      <c r="I105" s="266">
        <v>47.518999999999998</v>
      </c>
      <c r="J105" s="266">
        <v>49.832000000000001</v>
      </c>
      <c r="K105" s="266">
        <v>52.173999999999999</v>
      </c>
      <c r="L105" s="266">
        <v>54.296999999999997</v>
      </c>
      <c r="M105" s="266">
        <v>58.076999999999998</v>
      </c>
      <c r="N105" s="266">
        <v>61.405999999999999</v>
      </c>
      <c r="O105" s="266">
        <v>65.867999999999995</v>
      </c>
      <c r="P105" s="266">
        <v>69.597999999999999</v>
      </c>
      <c r="Q105" s="266">
        <v>72.828999999999994</v>
      </c>
      <c r="R105" s="266">
        <v>75.852000000000004</v>
      </c>
      <c r="S105" s="266">
        <v>80.638999999999996</v>
      </c>
      <c r="T105" s="266">
        <v>87.213999999999999</v>
      </c>
      <c r="U105" s="266">
        <v>93.350999999999999</v>
      </c>
      <c r="V105" s="266">
        <v>100</v>
      </c>
      <c r="W105" s="266">
        <v>104.916</v>
      </c>
      <c r="X105" s="266">
        <v>109.852</v>
      </c>
      <c r="Y105" s="266">
        <v>116.798</v>
      </c>
      <c r="Z105" s="266">
        <v>123.499</v>
      </c>
      <c r="AA105" s="266">
        <v>127.825</v>
      </c>
    </row>
    <row r="106" spans="1:27" x14ac:dyDescent="0.2">
      <c r="A106" s="266" t="s">
        <v>396</v>
      </c>
      <c r="B106" s="345" t="s">
        <v>397</v>
      </c>
      <c r="C106" s="349">
        <v>28.837</v>
      </c>
      <c r="D106" s="349">
        <v>31.763999999999999</v>
      </c>
      <c r="E106" s="349">
        <v>35.18</v>
      </c>
      <c r="F106" s="349">
        <v>38.481000000000002</v>
      </c>
      <c r="G106" s="349">
        <v>41.176000000000002</v>
      </c>
      <c r="H106" s="266">
        <v>43.65</v>
      </c>
      <c r="I106" s="266">
        <v>46.13</v>
      </c>
      <c r="J106" s="266">
        <v>48.475000000000001</v>
      </c>
      <c r="K106" s="266">
        <v>50.524000000000001</v>
      </c>
      <c r="L106" s="266">
        <v>52.521999999999998</v>
      </c>
      <c r="M106" s="266">
        <v>54.695999999999998</v>
      </c>
      <c r="N106" s="266">
        <v>57.478999999999999</v>
      </c>
      <c r="O106" s="266">
        <v>61.401000000000003</v>
      </c>
      <c r="P106" s="266">
        <v>66.549000000000007</v>
      </c>
      <c r="Q106" s="266">
        <v>72.849000000000004</v>
      </c>
      <c r="R106" s="266">
        <v>78.308000000000007</v>
      </c>
      <c r="S106" s="266">
        <v>83.552999999999997</v>
      </c>
      <c r="T106" s="266">
        <v>88.781999999999996</v>
      </c>
      <c r="U106" s="266">
        <v>94.319000000000003</v>
      </c>
      <c r="V106" s="266">
        <v>100</v>
      </c>
      <c r="W106" s="266">
        <v>105.194</v>
      </c>
      <c r="X106" s="266">
        <v>110.387</v>
      </c>
      <c r="Y106" s="266">
        <v>115.70399999999999</v>
      </c>
      <c r="Z106" s="266">
        <v>120.59099999999999</v>
      </c>
      <c r="AA106" s="266">
        <v>125.05</v>
      </c>
    </row>
    <row r="107" spans="1:27" x14ac:dyDescent="0.2">
      <c r="A107" s="266" t="s">
        <v>398</v>
      </c>
      <c r="B107" s="345" t="s">
        <v>399</v>
      </c>
      <c r="C107" s="349">
        <v>32.962000000000003</v>
      </c>
      <c r="D107" s="349">
        <v>35.512999999999998</v>
      </c>
      <c r="E107" s="349">
        <v>38.082999999999998</v>
      </c>
      <c r="F107" s="349">
        <v>40.618000000000002</v>
      </c>
      <c r="G107" s="349">
        <v>42.972999999999999</v>
      </c>
      <c r="H107" s="266">
        <v>45.633000000000003</v>
      </c>
      <c r="I107" s="266">
        <v>47.88</v>
      </c>
      <c r="J107" s="266">
        <v>50.34</v>
      </c>
      <c r="K107" s="266">
        <v>53.564</v>
      </c>
      <c r="L107" s="266">
        <v>56.786000000000001</v>
      </c>
      <c r="M107" s="266">
        <v>60.503</v>
      </c>
      <c r="N107" s="266">
        <v>64.203000000000003</v>
      </c>
      <c r="O107" s="266">
        <v>68.36</v>
      </c>
      <c r="P107" s="266">
        <v>72.519000000000005</v>
      </c>
      <c r="Q107" s="266">
        <v>76.835999999999999</v>
      </c>
      <c r="R107" s="266">
        <v>81.429000000000002</v>
      </c>
      <c r="S107" s="266">
        <v>86.084000000000003</v>
      </c>
      <c r="T107" s="266">
        <v>90.545000000000002</v>
      </c>
      <c r="U107" s="266">
        <v>95.447999999999993</v>
      </c>
      <c r="V107" s="266">
        <v>100</v>
      </c>
      <c r="W107" s="266">
        <v>103.803</v>
      </c>
      <c r="X107" s="266">
        <v>107.40900000000001</v>
      </c>
      <c r="Y107" s="266">
        <v>110.843</v>
      </c>
      <c r="Z107" s="266">
        <v>114.496</v>
      </c>
      <c r="AA107" s="266">
        <v>118.309</v>
      </c>
    </row>
    <row r="108" spans="1:27" x14ac:dyDescent="0.2">
      <c r="A108" s="266" t="s">
        <v>400</v>
      </c>
      <c r="B108" s="345" t="s">
        <v>401</v>
      </c>
      <c r="C108" s="349">
        <v>41.218000000000004</v>
      </c>
      <c r="D108" s="349">
        <v>42.570999999999998</v>
      </c>
      <c r="E108" s="349">
        <v>43.624000000000002</v>
      </c>
      <c r="F108" s="349">
        <v>44.323999999999998</v>
      </c>
      <c r="G108" s="349">
        <v>45.603999999999999</v>
      </c>
      <c r="H108" s="266">
        <v>47.137</v>
      </c>
      <c r="I108" s="266">
        <v>49.220999999999997</v>
      </c>
      <c r="J108" s="266">
        <v>50.972999999999999</v>
      </c>
      <c r="K108" s="266">
        <v>52.82</v>
      </c>
      <c r="L108" s="266">
        <v>56.701000000000001</v>
      </c>
      <c r="M108" s="266">
        <v>59.899000000000001</v>
      </c>
      <c r="N108" s="266">
        <v>63.149000000000001</v>
      </c>
      <c r="O108" s="266">
        <v>66.423000000000002</v>
      </c>
      <c r="P108" s="266">
        <v>71.311999999999998</v>
      </c>
      <c r="Q108" s="266">
        <v>76.984999999999999</v>
      </c>
      <c r="R108" s="266">
        <v>83.366</v>
      </c>
      <c r="S108" s="266">
        <v>88.096999999999994</v>
      </c>
      <c r="T108" s="266">
        <v>91.625</v>
      </c>
      <c r="U108" s="266">
        <v>95.820999999999998</v>
      </c>
      <c r="V108" s="266">
        <v>100</v>
      </c>
      <c r="W108" s="266">
        <v>103.56699999999999</v>
      </c>
      <c r="X108" s="266">
        <v>108.715</v>
      </c>
      <c r="Y108" s="266">
        <v>113.437</v>
      </c>
      <c r="Z108" s="266">
        <v>116.759</v>
      </c>
      <c r="AA108" s="266">
        <v>118.914</v>
      </c>
    </row>
    <row r="109" spans="1:27" x14ac:dyDescent="0.2">
      <c r="A109" s="266" t="s">
        <v>402</v>
      </c>
      <c r="B109" s="348" t="s">
        <v>403</v>
      </c>
      <c r="C109" s="349">
        <v>59.206000000000003</v>
      </c>
      <c r="D109" s="349">
        <v>61.57</v>
      </c>
      <c r="E109" s="349">
        <v>62.877000000000002</v>
      </c>
      <c r="F109" s="349">
        <v>64.111000000000004</v>
      </c>
      <c r="G109" s="349">
        <v>65.236000000000004</v>
      </c>
      <c r="H109" s="266">
        <v>66.775000000000006</v>
      </c>
      <c r="I109" s="266">
        <v>68.575000000000003</v>
      </c>
      <c r="J109" s="266">
        <v>70.608999999999995</v>
      </c>
      <c r="K109" s="266">
        <v>72.501999999999995</v>
      </c>
      <c r="L109" s="266">
        <v>74.376000000000005</v>
      </c>
      <c r="M109" s="266">
        <v>76.457999999999998</v>
      </c>
      <c r="N109" s="266">
        <v>78.64</v>
      </c>
      <c r="O109" s="266">
        <v>80.542000000000002</v>
      </c>
      <c r="P109" s="266">
        <v>82.247</v>
      </c>
      <c r="Q109" s="266">
        <v>84.974000000000004</v>
      </c>
      <c r="R109" s="266">
        <v>87.694999999999993</v>
      </c>
      <c r="S109" s="266">
        <v>90.649000000000001</v>
      </c>
      <c r="T109" s="266">
        <v>94.158000000000001</v>
      </c>
      <c r="U109" s="266">
        <v>97.820999999999998</v>
      </c>
      <c r="V109" s="266">
        <v>100</v>
      </c>
      <c r="W109" s="266">
        <v>101.33</v>
      </c>
      <c r="X109" s="266">
        <v>103.877</v>
      </c>
      <c r="Y109" s="266">
        <v>106.80800000000001</v>
      </c>
      <c r="Z109" s="266">
        <v>109.021</v>
      </c>
      <c r="AA109" s="266">
        <v>111.892</v>
      </c>
    </row>
    <row r="110" spans="1:27" x14ac:dyDescent="0.2">
      <c r="A110" s="266" t="s">
        <v>404</v>
      </c>
      <c r="B110" s="345" t="s">
        <v>405</v>
      </c>
      <c r="C110" s="349">
        <v>59.235999999999997</v>
      </c>
      <c r="D110" s="349">
        <v>61.521999999999998</v>
      </c>
      <c r="E110" s="349">
        <v>62.768999999999998</v>
      </c>
      <c r="F110" s="349">
        <v>63.911000000000001</v>
      </c>
      <c r="G110" s="349">
        <v>64.945999999999998</v>
      </c>
      <c r="H110" s="266">
        <v>66.372</v>
      </c>
      <c r="I110" s="266">
        <v>68.004999999999995</v>
      </c>
      <c r="J110" s="266">
        <v>69.891000000000005</v>
      </c>
      <c r="K110" s="266">
        <v>71.616</v>
      </c>
      <c r="L110" s="266">
        <v>73.394999999999996</v>
      </c>
      <c r="M110" s="266">
        <v>75.25</v>
      </c>
      <c r="N110" s="266">
        <v>77.567999999999998</v>
      </c>
      <c r="O110" s="266">
        <v>79.691999999999993</v>
      </c>
      <c r="P110" s="266">
        <v>81.450999999999993</v>
      </c>
      <c r="Q110" s="266">
        <v>83.912000000000006</v>
      </c>
      <c r="R110" s="266">
        <v>86.522000000000006</v>
      </c>
      <c r="S110" s="266">
        <v>89.296999999999997</v>
      </c>
      <c r="T110" s="266">
        <v>92.584999999999994</v>
      </c>
      <c r="U110" s="266">
        <v>96.638999999999996</v>
      </c>
      <c r="V110" s="266">
        <v>100</v>
      </c>
      <c r="W110" s="266">
        <v>101.34</v>
      </c>
      <c r="X110" s="266">
        <v>103.833</v>
      </c>
      <c r="Y110" s="266">
        <v>106.893</v>
      </c>
      <c r="Z110" s="266">
        <v>109.232</v>
      </c>
      <c r="AA110" s="266">
        <v>111.831</v>
      </c>
    </row>
    <row r="111" spans="1:27" x14ac:dyDescent="0.2">
      <c r="A111" s="266" t="s">
        <v>406</v>
      </c>
      <c r="B111" s="345" t="s">
        <v>407</v>
      </c>
      <c r="C111" s="349">
        <v>59.164999999999999</v>
      </c>
      <c r="D111" s="349">
        <v>61.46</v>
      </c>
      <c r="E111" s="349">
        <v>62.709000000000003</v>
      </c>
      <c r="F111" s="349">
        <v>63.853000000000002</v>
      </c>
      <c r="G111" s="349">
        <v>64.888000000000005</v>
      </c>
      <c r="H111" s="266">
        <v>66.313999999999993</v>
      </c>
      <c r="I111" s="266">
        <v>67.947000000000003</v>
      </c>
      <c r="J111" s="266">
        <v>69.834000000000003</v>
      </c>
      <c r="K111" s="266">
        <v>71.566999999999993</v>
      </c>
      <c r="L111" s="266">
        <v>73.349999999999994</v>
      </c>
      <c r="M111" s="266">
        <v>75.23</v>
      </c>
      <c r="N111" s="266">
        <v>77.587999999999994</v>
      </c>
      <c r="O111" s="266">
        <v>79.715999999999994</v>
      </c>
      <c r="P111" s="266">
        <v>81.441000000000003</v>
      </c>
      <c r="Q111" s="266">
        <v>83.908000000000001</v>
      </c>
      <c r="R111" s="266">
        <v>86.527000000000001</v>
      </c>
      <c r="S111" s="266">
        <v>89.296000000000006</v>
      </c>
      <c r="T111" s="266">
        <v>92.593000000000004</v>
      </c>
      <c r="U111" s="266">
        <v>96.658000000000001</v>
      </c>
      <c r="V111" s="266">
        <v>100</v>
      </c>
      <c r="W111" s="266">
        <v>101.3</v>
      </c>
      <c r="X111" s="266">
        <v>103.765</v>
      </c>
      <c r="Y111" s="266">
        <v>106.82</v>
      </c>
      <c r="Z111" s="266">
        <v>109.11799999999999</v>
      </c>
      <c r="AA111" s="266">
        <v>111.732</v>
      </c>
    </row>
    <row r="112" spans="1:27" x14ac:dyDescent="0.2">
      <c r="A112" s="266" t="s">
        <v>408</v>
      </c>
      <c r="B112" s="345" t="s">
        <v>409</v>
      </c>
      <c r="C112" s="349">
        <v>61.896000000000001</v>
      </c>
      <c r="D112" s="349">
        <v>63.890999999999998</v>
      </c>
      <c r="E112" s="349">
        <v>65.067999999999998</v>
      </c>
      <c r="F112" s="349">
        <v>66.153000000000006</v>
      </c>
      <c r="G112" s="349">
        <v>67.168000000000006</v>
      </c>
      <c r="H112" s="266">
        <v>68.602999999999994</v>
      </c>
      <c r="I112" s="266">
        <v>70.218999999999994</v>
      </c>
      <c r="J112" s="266">
        <v>72.117000000000004</v>
      </c>
      <c r="K112" s="266">
        <v>73.55</v>
      </c>
      <c r="L112" s="266">
        <v>75.147999999999996</v>
      </c>
      <c r="M112" s="266">
        <v>76.051000000000002</v>
      </c>
      <c r="N112" s="266">
        <v>76.828999999999994</v>
      </c>
      <c r="O112" s="266">
        <v>78.795000000000002</v>
      </c>
      <c r="P112" s="266">
        <v>81.846999999999994</v>
      </c>
      <c r="Q112" s="266">
        <v>84.108000000000004</v>
      </c>
      <c r="R112" s="266">
        <v>86.346999999999994</v>
      </c>
      <c r="S112" s="266">
        <v>89.326999999999998</v>
      </c>
      <c r="T112" s="266">
        <v>92.314999999999998</v>
      </c>
      <c r="U112" s="266">
        <v>96.009</v>
      </c>
      <c r="V112" s="266">
        <v>100</v>
      </c>
      <c r="W112" s="266">
        <v>102.657</v>
      </c>
      <c r="X112" s="266">
        <v>106.095</v>
      </c>
      <c r="Y112" s="266">
        <v>109.327</v>
      </c>
      <c r="Z112" s="266">
        <v>113.078</v>
      </c>
      <c r="AA112" s="266">
        <v>115.151</v>
      </c>
    </row>
    <row r="113" spans="1:27" x14ac:dyDescent="0.2">
      <c r="A113" s="266" t="s">
        <v>410</v>
      </c>
      <c r="B113" s="345" t="s">
        <v>411</v>
      </c>
      <c r="C113" s="349">
        <v>57.963999999999999</v>
      </c>
      <c r="D113" s="349">
        <v>60.930999999999997</v>
      </c>
      <c r="E113" s="349">
        <v>62.701999999999998</v>
      </c>
      <c r="F113" s="349">
        <v>64.653999999999996</v>
      </c>
      <c r="G113" s="349">
        <v>66.494</v>
      </c>
      <c r="H113" s="266">
        <v>68.905000000000001</v>
      </c>
      <c r="I113" s="266">
        <v>71.983999999999995</v>
      </c>
      <c r="J113" s="266">
        <v>75.075000000000003</v>
      </c>
      <c r="K113" s="266">
        <v>78.164000000000001</v>
      </c>
      <c r="L113" s="266">
        <v>80.712000000000003</v>
      </c>
      <c r="M113" s="266">
        <v>84.418000000000006</v>
      </c>
      <c r="N113" s="266">
        <v>85.546999999999997</v>
      </c>
      <c r="O113" s="266">
        <v>85.695999999999998</v>
      </c>
      <c r="P113" s="266">
        <v>86.96</v>
      </c>
      <c r="Q113" s="266">
        <v>91.623999999999995</v>
      </c>
      <c r="R113" s="266">
        <v>95.105999999999995</v>
      </c>
      <c r="S113" s="266">
        <v>99.268000000000001</v>
      </c>
      <c r="T113" s="266">
        <v>104.242</v>
      </c>
      <c r="U113" s="266">
        <v>105.34099999999999</v>
      </c>
      <c r="V113" s="266">
        <v>100</v>
      </c>
      <c r="W113" s="266">
        <v>101.26600000000001</v>
      </c>
      <c r="X113" s="266">
        <v>104.15</v>
      </c>
      <c r="Y113" s="266">
        <v>106.3</v>
      </c>
      <c r="Z113" s="266">
        <v>107.76</v>
      </c>
      <c r="AA113" s="266">
        <v>112.236</v>
      </c>
    </row>
    <row r="114" spans="1:27" x14ac:dyDescent="0.2">
      <c r="A114" s="266" t="s">
        <v>412</v>
      </c>
      <c r="B114" s="348" t="s">
        <v>413</v>
      </c>
      <c r="C114" s="349">
        <v>70.706999999999994</v>
      </c>
      <c r="D114" s="349">
        <v>70.302999999999997</v>
      </c>
      <c r="E114" s="349">
        <v>72.644999999999996</v>
      </c>
      <c r="F114" s="349">
        <v>76.497</v>
      </c>
      <c r="G114" s="349">
        <v>77.945999999999998</v>
      </c>
      <c r="H114" s="266">
        <v>79.641000000000005</v>
      </c>
      <c r="I114" s="266">
        <v>82.364000000000004</v>
      </c>
      <c r="J114" s="266">
        <v>85.64</v>
      </c>
      <c r="K114" s="266">
        <v>85.680999999999997</v>
      </c>
      <c r="L114" s="266">
        <v>85.043000000000006</v>
      </c>
      <c r="M114" s="266">
        <v>85.9</v>
      </c>
      <c r="N114" s="266">
        <v>85.578999999999994</v>
      </c>
      <c r="O114" s="266">
        <v>87.674000000000007</v>
      </c>
      <c r="P114" s="266">
        <v>91.507999999999996</v>
      </c>
      <c r="Q114" s="266">
        <v>95.007999999999996</v>
      </c>
      <c r="R114" s="266">
        <v>97.947000000000003</v>
      </c>
      <c r="S114" s="266">
        <v>100.57599999999999</v>
      </c>
      <c r="T114" s="266">
        <v>103.496</v>
      </c>
      <c r="U114" s="266">
        <v>104.619</v>
      </c>
      <c r="V114" s="266">
        <v>100</v>
      </c>
      <c r="W114" s="266">
        <v>103.99299999999999</v>
      </c>
      <c r="X114" s="266">
        <v>106.511</v>
      </c>
      <c r="Y114" s="266">
        <v>111.73699999999999</v>
      </c>
      <c r="Z114" s="266">
        <v>117.34099999999999</v>
      </c>
      <c r="AA114" s="266">
        <v>122.119</v>
      </c>
    </row>
    <row r="115" spans="1:27" x14ac:dyDescent="0.2">
      <c r="A115" s="266" t="s">
        <v>414</v>
      </c>
      <c r="B115" s="345" t="s">
        <v>415</v>
      </c>
      <c r="C115" s="349">
        <v>96.703999999999994</v>
      </c>
      <c r="D115" s="349">
        <v>92.974999999999994</v>
      </c>
      <c r="E115" s="349">
        <v>93.665999999999997</v>
      </c>
      <c r="F115" s="349">
        <v>96.863</v>
      </c>
      <c r="G115" s="349">
        <v>96.488</v>
      </c>
      <c r="H115" s="266">
        <v>95.95</v>
      </c>
      <c r="I115" s="266">
        <v>96.322000000000003</v>
      </c>
      <c r="J115" s="266">
        <v>99.153999999999996</v>
      </c>
      <c r="K115" s="266">
        <v>97.061000000000007</v>
      </c>
      <c r="L115" s="266">
        <v>93.796999999999997</v>
      </c>
      <c r="M115" s="266">
        <v>93.376000000000005</v>
      </c>
      <c r="N115" s="266">
        <v>91.77</v>
      </c>
      <c r="O115" s="266">
        <v>93.221000000000004</v>
      </c>
      <c r="P115" s="266">
        <v>96.131</v>
      </c>
      <c r="Q115" s="266">
        <v>99.358000000000004</v>
      </c>
      <c r="R115" s="266">
        <v>102.181</v>
      </c>
      <c r="S115" s="266">
        <v>104.99299999999999</v>
      </c>
      <c r="T115" s="266">
        <v>108.48099999999999</v>
      </c>
      <c r="U115" s="266">
        <v>109.21299999999999</v>
      </c>
      <c r="V115" s="266">
        <v>100</v>
      </c>
      <c r="W115" s="266">
        <v>104.42100000000001</v>
      </c>
      <c r="X115" s="266">
        <v>106.642</v>
      </c>
      <c r="Y115" s="266">
        <v>113.63500000000001</v>
      </c>
      <c r="Z115" s="266">
        <v>121.00700000000001</v>
      </c>
      <c r="AA115" s="266">
        <v>127.614</v>
      </c>
    </row>
    <row r="116" spans="1:27" x14ac:dyDescent="0.2">
      <c r="A116" s="266" t="s">
        <v>416</v>
      </c>
      <c r="B116" s="345" t="s">
        <v>417</v>
      </c>
      <c r="C116" s="349">
        <v>93.906000000000006</v>
      </c>
      <c r="D116" s="349">
        <v>87.358000000000004</v>
      </c>
      <c r="E116" s="349">
        <v>87.085999999999999</v>
      </c>
      <c r="F116" s="349">
        <v>91.117999999999995</v>
      </c>
      <c r="G116" s="349">
        <v>93.385999999999996</v>
      </c>
      <c r="H116" s="266">
        <v>90.924999999999997</v>
      </c>
      <c r="I116" s="266">
        <v>91.040999999999997</v>
      </c>
      <c r="J116" s="266">
        <v>93.941000000000003</v>
      </c>
      <c r="K116" s="266">
        <v>93.066999999999993</v>
      </c>
      <c r="L116" s="266">
        <v>91.016999999999996</v>
      </c>
      <c r="M116" s="266">
        <v>94.951999999999998</v>
      </c>
      <c r="N116" s="266">
        <v>94.54</v>
      </c>
      <c r="O116" s="266">
        <v>96.864000000000004</v>
      </c>
      <c r="P116" s="266">
        <v>100.48</v>
      </c>
      <c r="Q116" s="266">
        <v>103.56</v>
      </c>
      <c r="R116" s="266">
        <v>107.04900000000001</v>
      </c>
      <c r="S116" s="266">
        <v>111.126</v>
      </c>
      <c r="T116" s="266">
        <v>114.039</v>
      </c>
      <c r="U116" s="266">
        <v>113.937</v>
      </c>
      <c r="V116" s="266">
        <v>100</v>
      </c>
      <c r="W116" s="266">
        <v>105.699</v>
      </c>
      <c r="X116" s="266">
        <v>107.074</v>
      </c>
      <c r="Y116" s="266">
        <v>114.289</v>
      </c>
      <c r="Z116" s="266">
        <v>120.634</v>
      </c>
      <c r="AA116" s="266">
        <v>126.38500000000001</v>
      </c>
    </row>
    <row r="117" spans="1:27" x14ac:dyDescent="0.2">
      <c r="A117" s="266" t="s">
        <v>418</v>
      </c>
      <c r="B117" s="345" t="s">
        <v>419</v>
      </c>
      <c r="C117" s="349">
        <v>98.852000000000004</v>
      </c>
      <c r="D117" s="349">
        <v>100.54300000000001</v>
      </c>
      <c r="E117" s="349">
        <v>103.01900000000001</v>
      </c>
      <c r="F117" s="349">
        <v>104.61199999999999</v>
      </c>
      <c r="G117" s="349">
        <v>99.54</v>
      </c>
      <c r="H117" s="266">
        <v>102.462</v>
      </c>
      <c r="I117" s="266">
        <v>103.277</v>
      </c>
      <c r="J117" s="266">
        <v>105.94799999999999</v>
      </c>
      <c r="K117" s="266">
        <v>102.077</v>
      </c>
      <c r="L117" s="266">
        <v>97.283000000000001</v>
      </c>
      <c r="M117" s="266">
        <v>92.042000000000002</v>
      </c>
      <c r="N117" s="266">
        <v>89.198999999999998</v>
      </c>
      <c r="O117" s="266">
        <v>89.772999999999996</v>
      </c>
      <c r="P117" s="266">
        <v>91.997</v>
      </c>
      <c r="Q117" s="266">
        <v>95.370999999999995</v>
      </c>
      <c r="R117" s="266">
        <v>97.543999999999997</v>
      </c>
      <c r="S117" s="266">
        <v>99.177000000000007</v>
      </c>
      <c r="T117" s="266">
        <v>103.15600000000001</v>
      </c>
      <c r="U117" s="266">
        <v>104.627</v>
      </c>
      <c r="V117" s="266">
        <v>100</v>
      </c>
      <c r="W117" s="266">
        <v>103.071</v>
      </c>
      <c r="X117" s="266">
        <v>106.22499999999999</v>
      </c>
      <c r="Y117" s="266">
        <v>112.979</v>
      </c>
      <c r="Z117" s="266">
        <v>121.485</v>
      </c>
      <c r="AA117" s="266">
        <v>129.09100000000001</v>
      </c>
    </row>
    <row r="118" spans="1:27" x14ac:dyDescent="0.2">
      <c r="A118" s="266" t="s">
        <v>420</v>
      </c>
      <c r="B118" s="345" t="s">
        <v>421</v>
      </c>
      <c r="C118" s="349">
        <v>44.707000000000001</v>
      </c>
      <c r="D118" s="349">
        <v>46.258000000000003</v>
      </c>
      <c r="E118" s="349">
        <v>49.26</v>
      </c>
      <c r="F118" s="349">
        <v>53.043999999999997</v>
      </c>
      <c r="G118" s="349">
        <v>55.652999999999999</v>
      </c>
      <c r="H118" s="266">
        <v>58.991999999999997</v>
      </c>
      <c r="I118" s="266">
        <v>63.655999999999999</v>
      </c>
      <c r="J118" s="266">
        <v>67.194999999999993</v>
      </c>
      <c r="K118" s="266">
        <v>69.566999999999993</v>
      </c>
      <c r="L118" s="266">
        <v>72.165000000000006</v>
      </c>
      <c r="M118" s="266">
        <v>74.753</v>
      </c>
      <c r="N118" s="266">
        <v>76.194000000000003</v>
      </c>
      <c r="O118" s="266">
        <v>79.132999999999996</v>
      </c>
      <c r="P118" s="266">
        <v>84.183999999999997</v>
      </c>
      <c r="Q118" s="266">
        <v>88.018000000000001</v>
      </c>
      <c r="R118" s="266">
        <v>91.085999999999999</v>
      </c>
      <c r="S118" s="266">
        <v>93.433000000000007</v>
      </c>
      <c r="T118" s="266">
        <v>95.509</v>
      </c>
      <c r="U118" s="266">
        <v>97.212000000000003</v>
      </c>
      <c r="V118" s="266">
        <v>100</v>
      </c>
      <c r="W118" s="266">
        <v>103.286</v>
      </c>
      <c r="X118" s="266">
        <v>106.274</v>
      </c>
      <c r="Y118" s="266">
        <v>108.67</v>
      </c>
      <c r="Z118" s="266">
        <v>111.423</v>
      </c>
      <c r="AA118" s="266">
        <v>113.295</v>
      </c>
    </row>
    <row r="119" spans="1:27" x14ac:dyDescent="0.2">
      <c r="A119" s="266" t="s">
        <v>422</v>
      </c>
      <c r="B119" s="345" t="s">
        <v>423</v>
      </c>
      <c r="C119" s="349">
        <v>47.21</v>
      </c>
      <c r="D119" s="349">
        <v>49.063000000000002</v>
      </c>
      <c r="E119" s="349">
        <v>51.859000000000002</v>
      </c>
      <c r="F119" s="349">
        <v>53.776000000000003</v>
      </c>
      <c r="G119" s="349">
        <v>55.366999999999997</v>
      </c>
      <c r="H119" s="266">
        <v>57.433999999999997</v>
      </c>
      <c r="I119" s="266">
        <v>61.043999999999997</v>
      </c>
      <c r="J119" s="266">
        <v>64.331999999999994</v>
      </c>
      <c r="K119" s="266">
        <v>67.906000000000006</v>
      </c>
      <c r="L119" s="266">
        <v>71.251999999999995</v>
      </c>
      <c r="M119" s="266">
        <v>76.447999999999993</v>
      </c>
      <c r="N119" s="266">
        <v>76.724000000000004</v>
      </c>
      <c r="O119" s="266">
        <v>82.54</v>
      </c>
      <c r="P119" s="266">
        <v>85.716999999999999</v>
      </c>
      <c r="Q119" s="266">
        <v>89.665999999999997</v>
      </c>
      <c r="R119" s="266">
        <v>93.028999999999996</v>
      </c>
      <c r="S119" s="266">
        <v>95.548000000000002</v>
      </c>
      <c r="T119" s="266">
        <v>98.474000000000004</v>
      </c>
      <c r="U119" s="266">
        <v>98.480999999999995</v>
      </c>
      <c r="V119" s="266">
        <v>100</v>
      </c>
      <c r="W119" s="266">
        <v>102.078</v>
      </c>
      <c r="X119" s="266">
        <v>103.35</v>
      </c>
      <c r="Y119" s="266">
        <v>104.746</v>
      </c>
      <c r="Z119" s="266">
        <v>109.477</v>
      </c>
      <c r="AA119" s="266">
        <v>111.745</v>
      </c>
    </row>
    <row r="120" spans="1:27" x14ac:dyDescent="0.2">
      <c r="A120" s="266" t="s">
        <v>424</v>
      </c>
      <c r="B120" s="345" t="s">
        <v>425</v>
      </c>
      <c r="C120" s="349">
        <v>32.286999999999999</v>
      </c>
      <c r="D120" s="349">
        <v>33.384999999999998</v>
      </c>
      <c r="E120" s="349">
        <v>34.554000000000002</v>
      </c>
      <c r="F120" s="349">
        <v>37.185000000000002</v>
      </c>
      <c r="G120" s="349">
        <v>40.045999999999999</v>
      </c>
      <c r="H120" s="266">
        <v>44.802999999999997</v>
      </c>
      <c r="I120" s="266">
        <v>48.552999999999997</v>
      </c>
      <c r="J120" s="266">
        <v>53.756999999999998</v>
      </c>
      <c r="K120" s="266">
        <v>54.536000000000001</v>
      </c>
      <c r="L120" s="266">
        <v>57.896999999999998</v>
      </c>
      <c r="M120" s="266">
        <v>62.119</v>
      </c>
      <c r="N120" s="266">
        <v>68.135999999999996</v>
      </c>
      <c r="O120" s="266">
        <v>72.594999999999999</v>
      </c>
      <c r="P120" s="266">
        <v>80.748999999999995</v>
      </c>
      <c r="Q120" s="266">
        <v>87.013000000000005</v>
      </c>
      <c r="R120" s="266">
        <v>91.691999999999993</v>
      </c>
      <c r="S120" s="266">
        <v>94.15</v>
      </c>
      <c r="T120" s="266">
        <v>96.007999999999996</v>
      </c>
      <c r="U120" s="266">
        <v>97.582999999999998</v>
      </c>
      <c r="V120" s="266">
        <v>100</v>
      </c>
      <c r="W120" s="266">
        <v>103.032</v>
      </c>
      <c r="X120" s="266">
        <v>105.943</v>
      </c>
      <c r="Y120" s="266">
        <v>109.184</v>
      </c>
      <c r="Z120" s="266">
        <v>112.58799999999999</v>
      </c>
      <c r="AA120" s="266">
        <v>115.98</v>
      </c>
    </row>
    <row r="121" spans="1:27" x14ac:dyDescent="0.2">
      <c r="A121" s="266" t="s">
        <v>426</v>
      </c>
      <c r="B121" s="345" t="s">
        <v>427</v>
      </c>
      <c r="C121" s="349">
        <v>41.707000000000001</v>
      </c>
      <c r="D121" s="349">
        <v>42.37</v>
      </c>
      <c r="E121" s="349">
        <v>44.509</v>
      </c>
      <c r="F121" s="349">
        <v>48.942</v>
      </c>
      <c r="G121" s="349">
        <v>51.866999999999997</v>
      </c>
      <c r="H121" s="266">
        <v>56.415999999999997</v>
      </c>
      <c r="I121" s="266">
        <v>62.27</v>
      </c>
      <c r="J121" s="266">
        <v>67.260000000000005</v>
      </c>
      <c r="K121" s="266">
        <v>68.513000000000005</v>
      </c>
      <c r="L121" s="266">
        <v>69.849000000000004</v>
      </c>
      <c r="M121" s="266">
        <v>72.048000000000002</v>
      </c>
      <c r="N121" s="266">
        <v>74.117999999999995</v>
      </c>
      <c r="O121" s="266">
        <v>75.120999999999995</v>
      </c>
      <c r="P121" s="266">
        <v>80.388000000000005</v>
      </c>
      <c r="Q121" s="266">
        <v>84.379000000000005</v>
      </c>
      <c r="R121" s="266">
        <v>87.798000000000002</v>
      </c>
      <c r="S121" s="266">
        <v>90.95</v>
      </c>
      <c r="T121" s="266">
        <v>93.453999999999994</v>
      </c>
      <c r="U121" s="266">
        <v>96.474000000000004</v>
      </c>
      <c r="V121" s="266">
        <v>100</v>
      </c>
      <c r="W121" s="266">
        <v>104.31399999999999</v>
      </c>
      <c r="X121" s="266">
        <v>107.876</v>
      </c>
      <c r="Y121" s="266">
        <v>110.22199999999999</v>
      </c>
      <c r="Z121" s="266">
        <v>111.776</v>
      </c>
      <c r="AA121" s="266">
        <v>112.999</v>
      </c>
    </row>
    <row r="122" spans="1:27" x14ac:dyDescent="0.2">
      <c r="A122" s="266" t="s">
        <v>428</v>
      </c>
      <c r="B122" s="345" t="s">
        <v>429</v>
      </c>
      <c r="C122" s="349">
        <v>40.664999999999999</v>
      </c>
      <c r="D122" s="349">
        <v>42.271000000000001</v>
      </c>
      <c r="E122" s="349">
        <v>45.125999999999998</v>
      </c>
      <c r="F122" s="349">
        <v>49.783000000000001</v>
      </c>
      <c r="G122" s="349">
        <v>53.213000000000001</v>
      </c>
      <c r="H122" s="266">
        <v>56.845999999999997</v>
      </c>
      <c r="I122" s="266">
        <v>59.679000000000002</v>
      </c>
      <c r="J122" s="266">
        <v>62.445</v>
      </c>
      <c r="K122" s="266">
        <v>63.823</v>
      </c>
      <c r="L122" s="266">
        <v>65.608000000000004</v>
      </c>
      <c r="M122" s="266">
        <v>67.555999999999997</v>
      </c>
      <c r="N122" s="266">
        <v>69.971000000000004</v>
      </c>
      <c r="O122" s="266">
        <v>71.861999999999995</v>
      </c>
      <c r="P122" s="266">
        <v>77.578999999999994</v>
      </c>
      <c r="Q122" s="266">
        <v>81.638999999999996</v>
      </c>
      <c r="R122" s="266">
        <v>85.29</v>
      </c>
      <c r="S122" s="266">
        <v>88.734999999999999</v>
      </c>
      <c r="T122" s="266">
        <v>91.426000000000002</v>
      </c>
      <c r="U122" s="266">
        <v>95.242000000000004</v>
      </c>
      <c r="V122" s="266">
        <v>100</v>
      </c>
      <c r="W122" s="266">
        <v>105.39400000000001</v>
      </c>
      <c r="X122" s="266">
        <v>109.73</v>
      </c>
      <c r="Y122" s="266">
        <v>112.55800000000001</v>
      </c>
      <c r="Z122" s="266">
        <v>114.413</v>
      </c>
      <c r="AA122" s="266">
        <v>115.843</v>
      </c>
    </row>
    <row r="123" spans="1:27" x14ac:dyDescent="0.2">
      <c r="A123" s="266" t="s">
        <v>430</v>
      </c>
      <c r="B123" s="345" t="s">
        <v>431</v>
      </c>
      <c r="C123" s="349">
        <v>289.964</v>
      </c>
      <c r="D123" s="349">
        <v>215.89699999999999</v>
      </c>
      <c r="E123" s="349">
        <v>212.22399999999999</v>
      </c>
      <c r="F123" s="349">
        <v>119.34</v>
      </c>
      <c r="G123" s="349">
        <v>151.89599999999999</v>
      </c>
      <c r="H123" s="266">
        <v>115.152</v>
      </c>
      <c r="I123" s="266">
        <v>85.052999999999997</v>
      </c>
      <c r="J123" s="266">
        <v>74.959000000000003</v>
      </c>
      <c r="K123" s="266">
        <v>75.989000000000004</v>
      </c>
      <c r="L123" s="266">
        <v>77.662000000000006</v>
      </c>
      <c r="M123" s="266">
        <v>80.281999999999996</v>
      </c>
      <c r="N123" s="266">
        <v>82.525999999999996</v>
      </c>
      <c r="O123" s="266">
        <v>83.838999999999999</v>
      </c>
      <c r="P123" s="266">
        <v>85.762</v>
      </c>
      <c r="Q123" s="266">
        <v>88.046999999999997</v>
      </c>
      <c r="R123" s="266">
        <v>91.016999999999996</v>
      </c>
      <c r="S123" s="266">
        <v>93.954999999999998</v>
      </c>
      <c r="T123" s="266">
        <v>96.643000000000001</v>
      </c>
      <c r="U123" s="266">
        <v>100.325</v>
      </c>
      <c r="V123" s="266">
        <v>100</v>
      </c>
      <c r="W123" s="266">
        <v>101.642</v>
      </c>
      <c r="X123" s="266">
        <v>104.85</v>
      </c>
      <c r="Y123" s="266">
        <v>107.006</v>
      </c>
      <c r="Z123" s="266">
        <v>108.571</v>
      </c>
      <c r="AA123" s="266">
        <v>110.318</v>
      </c>
    </row>
    <row r="124" spans="1:27" x14ac:dyDescent="0.2">
      <c r="A124" s="266" t="s">
        <v>432</v>
      </c>
      <c r="B124" s="345" t="s">
        <v>433</v>
      </c>
      <c r="C124" s="349">
        <v>35.853000000000002</v>
      </c>
      <c r="D124" s="349">
        <v>36.124000000000002</v>
      </c>
      <c r="E124" s="349">
        <v>36.159999999999997</v>
      </c>
      <c r="F124" s="349">
        <v>44.2</v>
      </c>
      <c r="G124" s="349">
        <v>43.942</v>
      </c>
      <c r="H124" s="266">
        <v>54.488999999999997</v>
      </c>
      <c r="I124" s="266">
        <v>76.528000000000006</v>
      </c>
      <c r="J124" s="266">
        <v>94.197999999999993</v>
      </c>
      <c r="K124" s="266">
        <v>94.802000000000007</v>
      </c>
      <c r="L124" s="266">
        <v>93.352999999999994</v>
      </c>
      <c r="M124" s="266">
        <v>97.003</v>
      </c>
      <c r="N124" s="266">
        <v>96.869</v>
      </c>
      <c r="O124" s="266">
        <v>92.4</v>
      </c>
      <c r="P124" s="266">
        <v>94.908000000000001</v>
      </c>
      <c r="Q124" s="266">
        <v>98.432000000000002</v>
      </c>
      <c r="R124" s="266">
        <v>100.242</v>
      </c>
      <c r="S124" s="266">
        <v>101.63200000000001</v>
      </c>
      <c r="T124" s="266">
        <v>103.10899999999999</v>
      </c>
      <c r="U124" s="266">
        <v>102.111</v>
      </c>
      <c r="V124" s="266">
        <v>100</v>
      </c>
      <c r="W124" s="266">
        <v>98.471999999999994</v>
      </c>
      <c r="X124" s="266">
        <v>97.111000000000004</v>
      </c>
      <c r="Y124" s="266">
        <v>96.62</v>
      </c>
      <c r="Z124" s="266">
        <v>96.536000000000001</v>
      </c>
      <c r="AA124" s="266">
        <v>96.623999999999995</v>
      </c>
    </row>
    <row r="125" spans="1:27" x14ac:dyDescent="0.2">
      <c r="A125" s="266" t="s">
        <v>434</v>
      </c>
      <c r="B125" s="345" t="s">
        <v>435</v>
      </c>
      <c r="C125" s="349">
        <v>46.869</v>
      </c>
      <c r="D125" s="349">
        <v>49.74</v>
      </c>
      <c r="E125" s="349">
        <v>55.29</v>
      </c>
      <c r="F125" s="349">
        <v>61.673000000000002</v>
      </c>
      <c r="G125" s="349">
        <v>65.599999999999994</v>
      </c>
      <c r="H125" s="266">
        <v>68.454999999999998</v>
      </c>
      <c r="I125" s="266">
        <v>72.497</v>
      </c>
      <c r="J125" s="266">
        <v>73.19</v>
      </c>
      <c r="K125" s="266">
        <v>76.233999999999995</v>
      </c>
      <c r="L125" s="266">
        <v>80.45</v>
      </c>
      <c r="M125" s="266">
        <v>79.775000000000006</v>
      </c>
      <c r="N125" s="266">
        <v>80.918000000000006</v>
      </c>
      <c r="O125" s="266">
        <v>84.596000000000004</v>
      </c>
      <c r="P125" s="266">
        <v>91.093000000000004</v>
      </c>
      <c r="Q125" s="266">
        <v>94.043000000000006</v>
      </c>
      <c r="R125" s="266">
        <v>95.635000000000005</v>
      </c>
      <c r="S125" s="266">
        <v>95.753</v>
      </c>
      <c r="T125" s="266">
        <v>95.665000000000006</v>
      </c>
      <c r="U125" s="266">
        <v>96.933000000000007</v>
      </c>
      <c r="V125" s="266">
        <v>100</v>
      </c>
      <c r="W125" s="266">
        <v>102.833</v>
      </c>
      <c r="X125" s="266">
        <v>107.15300000000001</v>
      </c>
      <c r="Y125" s="266">
        <v>111.105</v>
      </c>
      <c r="Z125" s="266">
        <v>113.545</v>
      </c>
      <c r="AA125" s="266">
        <v>116.133</v>
      </c>
    </row>
    <row r="126" spans="1:27" x14ac:dyDescent="0.2">
      <c r="A126" s="266" t="s">
        <v>436</v>
      </c>
      <c r="B126" s="348" t="s">
        <v>437</v>
      </c>
      <c r="C126" s="349">
        <v>56.542999999999999</v>
      </c>
      <c r="D126" s="349">
        <v>59.543999999999997</v>
      </c>
      <c r="E126" s="349">
        <v>61.930999999999997</v>
      </c>
      <c r="F126" s="349">
        <v>63.518000000000001</v>
      </c>
      <c r="G126" s="349">
        <v>64.444000000000003</v>
      </c>
      <c r="H126" s="266">
        <v>65.989000000000004</v>
      </c>
      <c r="I126" s="266">
        <v>67.227999999999994</v>
      </c>
      <c r="J126" s="266">
        <v>68.599999999999994</v>
      </c>
      <c r="K126" s="266">
        <v>70.506</v>
      </c>
      <c r="L126" s="266">
        <v>74.028000000000006</v>
      </c>
      <c r="M126" s="266">
        <v>76.406999999999996</v>
      </c>
      <c r="N126" s="266">
        <v>78.649000000000001</v>
      </c>
      <c r="O126" s="266">
        <v>80.58</v>
      </c>
      <c r="P126" s="266">
        <v>81.915000000000006</v>
      </c>
      <c r="Q126" s="266">
        <v>83.695999999999998</v>
      </c>
      <c r="R126" s="266">
        <v>85.98</v>
      </c>
      <c r="S126" s="266">
        <v>88.537999999999997</v>
      </c>
      <c r="T126" s="266">
        <v>91.87</v>
      </c>
      <c r="U126" s="266">
        <v>95.363</v>
      </c>
      <c r="V126" s="266">
        <v>100</v>
      </c>
      <c r="W126" s="266">
        <v>102.992</v>
      </c>
      <c r="X126" s="266">
        <v>105.599</v>
      </c>
      <c r="Y126" s="266">
        <v>107.437</v>
      </c>
      <c r="Z126" s="266">
        <v>109.256</v>
      </c>
      <c r="AA126" s="266">
        <v>110.849</v>
      </c>
    </row>
    <row r="127" spans="1:27" x14ac:dyDescent="0.2">
      <c r="A127" s="266" t="s">
        <v>438</v>
      </c>
      <c r="B127" s="345" t="s">
        <v>439</v>
      </c>
      <c r="C127" s="349">
        <v>68.878</v>
      </c>
      <c r="D127" s="349">
        <v>71.221000000000004</v>
      </c>
      <c r="E127" s="349">
        <v>72.989000000000004</v>
      </c>
      <c r="F127" s="349">
        <v>74.558999999999997</v>
      </c>
      <c r="G127" s="349">
        <v>75.959999999999994</v>
      </c>
      <c r="H127" s="266">
        <v>77.135000000000005</v>
      </c>
      <c r="I127" s="266">
        <v>78.090999999999994</v>
      </c>
      <c r="J127" s="266">
        <v>79.364999999999995</v>
      </c>
      <c r="K127" s="266">
        <v>80.617999999999995</v>
      </c>
      <c r="L127" s="266">
        <v>82.268000000000001</v>
      </c>
      <c r="M127" s="266">
        <v>84.215999999999994</v>
      </c>
      <c r="N127" s="266">
        <v>86.283000000000001</v>
      </c>
      <c r="O127" s="266">
        <v>87.155000000000001</v>
      </c>
      <c r="P127" s="266">
        <v>87.756</v>
      </c>
      <c r="Q127" s="266">
        <v>89.04</v>
      </c>
      <c r="R127" s="266">
        <v>90.831000000000003</v>
      </c>
      <c r="S127" s="266">
        <v>92.820999999999998</v>
      </c>
      <c r="T127" s="266">
        <v>95.162000000000006</v>
      </c>
      <c r="U127" s="266">
        <v>97.644999999999996</v>
      </c>
      <c r="V127" s="266">
        <v>100</v>
      </c>
      <c r="W127" s="266">
        <v>100.485</v>
      </c>
      <c r="X127" s="266">
        <v>101.099</v>
      </c>
      <c r="Y127" s="266">
        <v>102.66500000000001</v>
      </c>
      <c r="Z127" s="266">
        <v>103.83199999999999</v>
      </c>
      <c r="AA127" s="266">
        <v>105.20099999999999</v>
      </c>
    </row>
    <row r="128" spans="1:27" x14ac:dyDescent="0.2">
      <c r="A128" s="266" t="s">
        <v>440</v>
      </c>
      <c r="B128" s="345" t="s">
        <v>441</v>
      </c>
      <c r="C128" s="349">
        <v>109.875</v>
      </c>
      <c r="D128" s="349">
        <v>113.48699999999999</v>
      </c>
      <c r="E128" s="349">
        <v>115.251</v>
      </c>
      <c r="F128" s="349">
        <v>114.575</v>
      </c>
      <c r="G128" s="349">
        <v>115.81100000000001</v>
      </c>
      <c r="H128" s="266">
        <v>116.574</v>
      </c>
      <c r="I128" s="266">
        <v>113.364</v>
      </c>
      <c r="J128" s="266">
        <v>108.871</v>
      </c>
      <c r="K128" s="266">
        <v>104.13</v>
      </c>
      <c r="L128" s="266">
        <v>99.540999999999997</v>
      </c>
      <c r="M128" s="266">
        <v>96.156999999999996</v>
      </c>
      <c r="N128" s="266">
        <v>95.906999999999996</v>
      </c>
      <c r="O128" s="266">
        <v>93.203000000000003</v>
      </c>
      <c r="P128" s="266">
        <v>90.257000000000005</v>
      </c>
      <c r="Q128" s="266">
        <v>89.59</v>
      </c>
      <c r="R128" s="266">
        <v>88.215999999999994</v>
      </c>
      <c r="S128" s="266">
        <v>89.924000000000007</v>
      </c>
      <c r="T128" s="266">
        <v>93.465000000000003</v>
      </c>
      <c r="U128" s="266">
        <v>98.569000000000003</v>
      </c>
      <c r="V128" s="266">
        <v>100</v>
      </c>
      <c r="W128" s="266">
        <v>101.255</v>
      </c>
      <c r="X128" s="266">
        <v>106.925</v>
      </c>
      <c r="Y128" s="266">
        <v>107.651</v>
      </c>
      <c r="Z128" s="266">
        <v>107.19</v>
      </c>
      <c r="AA128" s="266">
        <v>104.425</v>
      </c>
    </row>
    <row r="129" spans="1:27" x14ac:dyDescent="0.2">
      <c r="A129" s="266" t="s">
        <v>442</v>
      </c>
      <c r="B129" s="345" t="s">
        <v>443</v>
      </c>
      <c r="C129" s="349">
        <v>56.469000000000001</v>
      </c>
      <c r="D129" s="349">
        <v>58.899000000000001</v>
      </c>
      <c r="E129" s="349">
        <v>60.853999999999999</v>
      </c>
      <c r="F129" s="349">
        <v>62.593000000000004</v>
      </c>
      <c r="G129" s="349">
        <v>64.349000000000004</v>
      </c>
      <c r="H129" s="266">
        <v>66.409000000000006</v>
      </c>
      <c r="I129" s="266">
        <v>68.350999999999999</v>
      </c>
      <c r="J129" s="266">
        <v>70.203000000000003</v>
      </c>
      <c r="K129" s="266">
        <v>72.415000000000006</v>
      </c>
      <c r="L129" s="266">
        <v>74.611999999999995</v>
      </c>
      <c r="M129" s="266">
        <v>77.995999999999995</v>
      </c>
      <c r="N129" s="266">
        <v>80.241</v>
      </c>
      <c r="O129" s="266">
        <v>82.727000000000004</v>
      </c>
      <c r="P129" s="266">
        <v>84.941999999999993</v>
      </c>
      <c r="Q129" s="266">
        <v>86.994</v>
      </c>
      <c r="R129" s="266">
        <v>90.165999999999997</v>
      </c>
      <c r="S129" s="266">
        <v>93.113</v>
      </c>
      <c r="T129" s="266">
        <v>96.153000000000006</v>
      </c>
      <c r="U129" s="266">
        <v>98.608000000000004</v>
      </c>
      <c r="V129" s="266">
        <v>100</v>
      </c>
      <c r="W129" s="266">
        <v>101.828</v>
      </c>
      <c r="X129" s="266">
        <v>104.15300000000001</v>
      </c>
      <c r="Y129" s="266">
        <v>105.77500000000001</v>
      </c>
      <c r="Z129" s="266">
        <v>108.09699999999999</v>
      </c>
      <c r="AA129" s="266">
        <v>110.7</v>
      </c>
    </row>
    <row r="130" spans="1:27" x14ac:dyDescent="0.2">
      <c r="A130" s="266" t="s">
        <v>444</v>
      </c>
      <c r="B130" s="345" t="s">
        <v>445</v>
      </c>
      <c r="C130" s="349">
        <v>45.134999999999998</v>
      </c>
      <c r="D130" s="349">
        <v>47.61</v>
      </c>
      <c r="E130" s="349">
        <v>49.86</v>
      </c>
      <c r="F130" s="349">
        <v>51.841999999999999</v>
      </c>
      <c r="G130" s="349">
        <v>53.795000000000002</v>
      </c>
      <c r="H130" s="266">
        <v>55.828000000000003</v>
      </c>
      <c r="I130" s="266">
        <v>58.057000000000002</v>
      </c>
      <c r="J130" s="266">
        <v>60.488</v>
      </c>
      <c r="K130" s="266">
        <v>63.304000000000002</v>
      </c>
      <c r="L130" s="266">
        <v>66.260999999999996</v>
      </c>
      <c r="M130" s="266">
        <v>69.450999999999993</v>
      </c>
      <c r="N130" s="266">
        <v>72.820999999999998</v>
      </c>
      <c r="O130" s="266">
        <v>76.137</v>
      </c>
      <c r="P130" s="266">
        <v>79.56</v>
      </c>
      <c r="Q130" s="266">
        <v>83.105999999999995</v>
      </c>
      <c r="R130" s="266">
        <v>86.373999999999995</v>
      </c>
      <c r="S130" s="266">
        <v>89.867999999999995</v>
      </c>
      <c r="T130" s="266">
        <v>93.542000000000002</v>
      </c>
      <c r="U130" s="266">
        <v>97.340999999999994</v>
      </c>
      <c r="V130" s="266">
        <v>100</v>
      </c>
      <c r="W130" s="266">
        <v>103.20399999999999</v>
      </c>
      <c r="X130" s="266">
        <v>106.233</v>
      </c>
      <c r="Y130" s="266">
        <v>108.71599999999999</v>
      </c>
      <c r="Z130" s="266">
        <v>111.614</v>
      </c>
      <c r="AA130" s="266">
        <v>114.26900000000001</v>
      </c>
    </row>
    <row r="131" spans="1:27" x14ac:dyDescent="0.2">
      <c r="A131" s="266" t="s">
        <v>446</v>
      </c>
      <c r="B131" s="345" t="s">
        <v>447</v>
      </c>
      <c r="C131" s="349">
        <v>44.933999999999997</v>
      </c>
      <c r="D131" s="349">
        <v>47.39</v>
      </c>
      <c r="E131" s="349">
        <v>49.783999999999999</v>
      </c>
      <c r="F131" s="349">
        <v>51.76</v>
      </c>
      <c r="G131" s="349">
        <v>53.351999999999997</v>
      </c>
      <c r="H131" s="266">
        <v>55.046999999999997</v>
      </c>
      <c r="I131" s="266">
        <v>56.976999999999997</v>
      </c>
      <c r="J131" s="266">
        <v>59.292999999999999</v>
      </c>
      <c r="K131" s="266">
        <v>62.246000000000002</v>
      </c>
      <c r="L131" s="266">
        <v>65.451999999999998</v>
      </c>
      <c r="M131" s="266">
        <v>69.034000000000006</v>
      </c>
      <c r="N131" s="266">
        <v>72.515000000000001</v>
      </c>
      <c r="O131" s="266">
        <v>75.900000000000006</v>
      </c>
      <c r="P131" s="266">
        <v>79.712999999999994</v>
      </c>
      <c r="Q131" s="266">
        <v>83.510999999999996</v>
      </c>
      <c r="R131" s="266">
        <v>86.903000000000006</v>
      </c>
      <c r="S131" s="266">
        <v>89.906000000000006</v>
      </c>
      <c r="T131" s="266">
        <v>93.573999999999998</v>
      </c>
      <c r="U131" s="266">
        <v>97.344999999999999</v>
      </c>
      <c r="V131" s="266">
        <v>100</v>
      </c>
      <c r="W131" s="266">
        <v>103.602</v>
      </c>
      <c r="X131" s="266">
        <v>106.947</v>
      </c>
      <c r="Y131" s="266">
        <v>109.11</v>
      </c>
      <c r="Z131" s="266">
        <v>112.129</v>
      </c>
      <c r="AA131" s="266">
        <v>114.51900000000001</v>
      </c>
    </row>
    <row r="132" spans="1:27" x14ac:dyDescent="0.2">
      <c r="A132" s="266" t="s">
        <v>448</v>
      </c>
      <c r="B132" s="345" t="s">
        <v>449</v>
      </c>
      <c r="C132" s="349">
        <v>39.631</v>
      </c>
      <c r="D132" s="349">
        <v>42.811</v>
      </c>
      <c r="E132" s="349">
        <v>45.252000000000002</v>
      </c>
      <c r="F132" s="349">
        <v>47.826999999999998</v>
      </c>
      <c r="G132" s="349">
        <v>51.695</v>
      </c>
      <c r="H132" s="266">
        <v>54.476999999999997</v>
      </c>
      <c r="I132" s="266">
        <v>57.264000000000003</v>
      </c>
      <c r="J132" s="266">
        <v>59.936</v>
      </c>
      <c r="K132" s="266">
        <v>63.01</v>
      </c>
      <c r="L132" s="266">
        <v>65.896000000000001</v>
      </c>
      <c r="M132" s="266">
        <v>69.171000000000006</v>
      </c>
      <c r="N132" s="266">
        <v>72.212000000000003</v>
      </c>
      <c r="O132" s="266">
        <v>75.721999999999994</v>
      </c>
      <c r="P132" s="266">
        <v>78.725999999999999</v>
      </c>
      <c r="Q132" s="266">
        <v>81.864999999999995</v>
      </c>
      <c r="R132" s="266">
        <v>85.168999999999997</v>
      </c>
      <c r="S132" s="266">
        <v>89.945999999999998</v>
      </c>
      <c r="T132" s="266">
        <v>93.400999999999996</v>
      </c>
      <c r="U132" s="266">
        <v>97.751999999999995</v>
      </c>
      <c r="V132" s="266">
        <v>100</v>
      </c>
      <c r="W132" s="266">
        <v>102.739</v>
      </c>
      <c r="X132" s="266">
        <v>105.51900000000001</v>
      </c>
      <c r="Y132" s="266">
        <v>110.089</v>
      </c>
      <c r="Z132" s="266">
        <v>112.73</v>
      </c>
      <c r="AA132" s="266">
        <v>117.218</v>
      </c>
    </row>
    <row r="133" spans="1:27" x14ac:dyDescent="0.2">
      <c r="A133" s="266" t="s">
        <v>450</v>
      </c>
      <c r="B133" s="345" t="s">
        <v>451</v>
      </c>
      <c r="C133" s="349">
        <v>57.81</v>
      </c>
      <c r="D133" s="349">
        <v>59.430999999999997</v>
      </c>
      <c r="E133" s="349">
        <v>60.911999999999999</v>
      </c>
      <c r="F133" s="349">
        <v>61.993000000000002</v>
      </c>
      <c r="G133" s="349">
        <v>63.146000000000001</v>
      </c>
      <c r="H133" s="266">
        <v>64.825999999999993</v>
      </c>
      <c r="I133" s="266">
        <v>67.527000000000001</v>
      </c>
      <c r="J133" s="266">
        <v>69.575999999999993</v>
      </c>
      <c r="K133" s="266">
        <v>71.88</v>
      </c>
      <c r="L133" s="266">
        <v>74.45</v>
      </c>
      <c r="M133" s="266">
        <v>76.828999999999994</v>
      </c>
      <c r="N133" s="266">
        <v>81.73</v>
      </c>
      <c r="O133" s="266">
        <v>83.82</v>
      </c>
      <c r="P133" s="266">
        <v>85.703999999999994</v>
      </c>
      <c r="Q133" s="266">
        <v>88.614000000000004</v>
      </c>
      <c r="R133" s="266">
        <v>91.887</v>
      </c>
      <c r="S133" s="266">
        <v>94.759</v>
      </c>
      <c r="T133" s="266">
        <v>97.561999999999998</v>
      </c>
      <c r="U133" s="266">
        <v>98.531000000000006</v>
      </c>
      <c r="V133" s="266">
        <v>100</v>
      </c>
      <c r="W133" s="266">
        <v>102.834</v>
      </c>
      <c r="X133" s="266">
        <v>105.456</v>
      </c>
      <c r="Y133" s="266">
        <v>106.861</v>
      </c>
      <c r="Z133" s="266">
        <v>109.437</v>
      </c>
      <c r="AA133" s="266">
        <v>111.473</v>
      </c>
    </row>
    <row r="134" spans="1:27" x14ac:dyDescent="0.2">
      <c r="A134" s="266" t="s">
        <v>452</v>
      </c>
      <c r="B134" s="345" t="s">
        <v>453</v>
      </c>
      <c r="C134" s="349">
        <v>44.942</v>
      </c>
      <c r="D134" s="349">
        <v>47.38</v>
      </c>
      <c r="E134" s="349">
        <v>49.786999999999999</v>
      </c>
      <c r="F134" s="349">
        <v>51.758000000000003</v>
      </c>
      <c r="G134" s="349">
        <v>53.353999999999999</v>
      </c>
      <c r="H134" s="266">
        <v>55.048000000000002</v>
      </c>
      <c r="I134" s="266">
        <v>56.965000000000003</v>
      </c>
      <c r="J134" s="266">
        <v>59.292000000000002</v>
      </c>
      <c r="K134" s="266">
        <v>62.247999999999998</v>
      </c>
      <c r="L134" s="266">
        <v>65.466999999999999</v>
      </c>
      <c r="M134" s="266">
        <v>69.040000000000006</v>
      </c>
      <c r="N134" s="266">
        <v>72.518000000000001</v>
      </c>
      <c r="O134" s="266">
        <v>75.899000000000001</v>
      </c>
      <c r="P134" s="266">
        <v>79.725999999999999</v>
      </c>
      <c r="Q134" s="266">
        <v>83.503</v>
      </c>
      <c r="R134" s="266">
        <v>86.921999999999997</v>
      </c>
      <c r="S134" s="266">
        <v>89.909000000000006</v>
      </c>
      <c r="T134" s="266">
        <v>93.582999999999998</v>
      </c>
      <c r="U134" s="266">
        <v>97.322000000000003</v>
      </c>
      <c r="V134" s="266">
        <v>100</v>
      </c>
      <c r="W134" s="266">
        <v>103.6</v>
      </c>
      <c r="X134" s="266">
        <v>106.94</v>
      </c>
      <c r="Y134" s="266">
        <v>109.119</v>
      </c>
      <c r="Z134" s="266">
        <v>112.113</v>
      </c>
      <c r="AA134" s="266">
        <v>114.524</v>
      </c>
    </row>
    <row r="135" spans="1:27" x14ac:dyDescent="0.2">
      <c r="A135" s="266" t="s">
        <v>454</v>
      </c>
      <c r="B135" s="345" t="s">
        <v>455</v>
      </c>
      <c r="C135" s="349">
        <v>43.3</v>
      </c>
      <c r="D135" s="349">
        <v>45.972000000000001</v>
      </c>
      <c r="E135" s="349">
        <v>48.057000000000002</v>
      </c>
      <c r="F135" s="349">
        <v>50.271999999999998</v>
      </c>
      <c r="G135" s="349">
        <v>52.738</v>
      </c>
      <c r="H135" s="266">
        <v>55.853000000000002</v>
      </c>
      <c r="I135" s="266">
        <v>58.615000000000002</v>
      </c>
      <c r="J135" s="266">
        <v>61.673000000000002</v>
      </c>
      <c r="K135" s="266">
        <v>64.040000000000006</v>
      </c>
      <c r="L135" s="266">
        <v>66.260999999999996</v>
      </c>
      <c r="M135" s="266">
        <v>68.16</v>
      </c>
      <c r="N135" s="266">
        <v>70.602999999999994</v>
      </c>
      <c r="O135" s="266">
        <v>74.051000000000002</v>
      </c>
      <c r="P135" s="266">
        <v>77.013000000000005</v>
      </c>
      <c r="Q135" s="266">
        <v>80.287999999999997</v>
      </c>
      <c r="R135" s="266">
        <v>83.007999999999996</v>
      </c>
      <c r="S135" s="266">
        <v>87.275999999999996</v>
      </c>
      <c r="T135" s="266">
        <v>91.63</v>
      </c>
      <c r="U135" s="266">
        <v>96.238</v>
      </c>
      <c r="V135" s="266">
        <v>100</v>
      </c>
      <c r="W135" s="266">
        <v>102.306</v>
      </c>
      <c r="X135" s="266">
        <v>104.551</v>
      </c>
      <c r="Y135" s="266">
        <v>106.587</v>
      </c>
      <c r="Z135" s="266">
        <v>109.44799999999999</v>
      </c>
      <c r="AA135" s="266">
        <v>111.419</v>
      </c>
    </row>
    <row r="136" spans="1:27" x14ac:dyDescent="0.2">
      <c r="A136" s="266" t="s">
        <v>456</v>
      </c>
      <c r="B136" s="345" t="s">
        <v>457</v>
      </c>
      <c r="C136" s="349">
        <v>30.091999999999999</v>
      </c>
      <c r="D136" s="349">
        <v>33.555999999999997</v>
      </c>
      <c r="E136" s="349">
        <v>36.390999999999998</v>
      </c>
      <c r="F136" s="349">
        <v>37.695999999999998</v>
      </c>
      <c r="G136" s="349">
        <v>36.18</v>
      </c>
      <c r="H136" s="266">
        <v>37.073999999999998</v>
      </c>
      <c r="I136" s="266">
        <v>38.201999999999998</v>
      </c>
      <c r="J136" s="266">
        <v>39.895000000000003</v>
      </c>
      <c r="K136" s="266">
        <v>43.363999999999997</v>
      </c>
      <c r="L136" s="266">
        <v>53.991</v>
      </c>
      <c r="M136" s="266">
        <v>57.804000000000002</v>
      </c>
      <c r="N136" s="266">
        <v>59.917999999999999</v>
      </c>
      <c r="O136" s="266">
        <v>63.366</v>
      </c>
      <c r="P136" s="266">
        <v>64.424999999999997</v>
      </c>
      <c r="Q136" s="266">
        <v>65.661000000000001</v>
      </c>
      <c r="R136" s="266">
        <v>69.064999999999998</v>
      </c>
      <c r="S136" s="266">
        <v>71.412000000000006</v>
      </c>
      <c r="T136" s="266">
        <v>76.123999999999995</v>
      </c>
      <c r="U136" s="266">
        <v>80.87</v>
      </c>
      <c r="V136" s="266">
        <v>100</v>
      </c>
      <c r="W136" s="266">
        <v>110.879</v>
      </c>
      <c r="X136" s="266">
        <v>114.66200000000001</v>
      </c>
      <c r="Y136" s="266">
        <v>117.462</v>
      </c>
      <c r="Z136" s="266">
        <v>120.67</v>
      </c>
      <c r="AA136" s="266">
        <v>124.32299999999999</v>
      </c>
    </row>
    <row r="137" spans="1:27" x14ac:dyDescent="0.2">
      <c r="A137" s="266" t="s">
        <v>458</v>
      </c>
      <c r="B137" s="348" t="s">
        <v>459</v>
      </c>
      <c r="C137" s="349" t="s">
        <v>199</v>
      </c>
      <c r="D137" s="349" t="s">
        <v>199</v>
      </c>
      <c r="E137" s="349" t="s">
        <v>199</v>
      </c>
      <c r="F137" s="349" t="s">
        <v>199</v>
      </c>
      <c r="G137" s="349" t="s">
        <v>199</v>
      </c>
      <c r="H137" s="266" t="s">
        <v>199</v>
      </c>
      <c r="I137" s="266" t="s">
        <v>199</v>
      </c>
      <c r="J137" s="266" t="s">
        <v>199</v>
      </c>
      <c r="K137" s="266" t="s">
        <v>199</v>
      </c>
      <c r="L137" s="266" t="s">
        <v>199</v>
      </c>
      <c r="M137" s="266" t="s">
        <v>199</v>
      </c>
      <c r="N137" s="266" t="s">
        <v>199</v>
      </c>
      <c r="O137" s="266" t="s">
        <v>199</v>
      </c>
      <c r="P137" s="266" t="s">
        <v>199</v>
      </c>
      <c r="Q137" s="266" t="s">
        <v>199</v>
      </c>
      <c r="R137" s="266" t="s">
        <v>199</v>
      </c>
      <c r="S137" s="266" t="s">
        <v>199</v>
      </c>
      <c r="T137" s="266" t="s">
        <v>199</v>
      </c>
      <c r="U137" s="266" t="s">
        <v>199</v>
      </c>
      <c r="V137" s="266" t="s">
        <v>199</v>
      </c>
      <c r="W137" s="266" t="s">
        <v>199</v>
      </c>
      <c r="X137" s="266" t="s">
        <v>199</v>
      </c>
      <c r="Y137" s="266" t="s">
        <v>199</v>
      </c>
      <c r="Z137" s="266" t="s">
        <v>199</v>
      </c>
      <c r="AA137" s="266" t="s">
        <v>199</v>
      </c>
    </row>
    <row r="138" spans="1:27" x14ac:dyDescent="0.2">
      <c r="A138" s="266" t="s">
        <v>460</v>
      </c>
      <c r="B138" s="345" t="s">
        <v>461</v>
      </c>
      <c r="C138" s="349">
        <v>56.667999999999999</v>
      </c>
      <c r="D138" s="349">
        <v>60.383000000000003</v>
      </c>
      <c r="E138" s="349">
        <v>63.323</v>
      </c>
      <c r="F138" s="349">
        <v>63.625</v>
      </c>
      <c r="G138" s="349">
        <v>65.475999999999999</v>
      </c>
      <c r="H138" s="266">
        <v>67.200999999999993</v>
      </c>
      <c r="I138" s="266">
        <v>68.894000000000005</v>
      </c>
      <c r="J138" s="266">
        <v>69.727999999999994</v>
      </c>
      <c r="K138" s="266">
        <v>68.069000000000003</v>
      </c>
      <c r="L138" s="266">
        <v>70.039000000000001</v>
      </c>
      <c r="M138" s="266">
        <v>70.555999999999997</v>
      </c>
      <c r="N138" s="266">
        <v>71.429000000000002</v>
      </c>
      <c r="O138" s="266">
        <v>73.786000000000001</v>
      </c>
      <c r="P138" s="266">
        <v>78.64</v>
      </c>
      <c r="Q138" s="266">
        <v>82.796999999999997</v>
      </c>
      <c r="R138" s="266">
        <v>88.617000000000004</v>
      </c>
      <c r="S138" s="266">
        <v>92.759</v>
      </c>
      <c r="T138" s="266">
        <v>99.111999999999995</v>
      </c>
      <c r="U138" s="266">
        <v>107.086</v>
      </c>
      <c r="V138" s="266">
        <v>100</v>
      </c>
      <c r="W138" s="266">
        <v>105.188</v>
      </c>
      <c r="X138" s="266">
        <v>109.792</v>
      </c>
      <c r="Y138" s="266">
        <v>112.482</v>
      </c>
      <c r="Z138" s="266">
        <v>112.67</v>
      </c>
      <c r="AA138" s="266">
        <v>113.209</v>
      </c>
    </row>
    <row r="139" spans="1:27" x14ac:dyDescent="0.2">
      <c r="A139" s="266" t="s">
        <v>462</v>
      </c>
      <c r="B139" s="345" t="s">
        <v>463</v>
      </c>
      <c r="C139" s="349">
        <v>60.713000000000001</v>
      </c>
      <c r="D139" s="349">
        <v>64.59</v>
      </c>
      <c r="E139" s="349">
        <v>66.245999999999995</v>
      </c>
      <c r="F139" s="349">
        <v>67.180999999999997</v>
      </c>
      <c r="G139" s="349">
        <v>67.825999999999993</v>
      </c>
      <c r="H139" s="266">
        <v>68.882999999999996</v>
      </c>
      <c r="I139" s="266">
        <v>70.692999999999998</v>
      </c>
      <c r="J139" s="266">
        <v>72.429000000000002</v>
      </c>
      <c r="K139" s="266">
        <v>73.375</v>
      </c>
      <c r="L139" s="266">
        <v>75.332999999999998</v>
      </c>
      <c r="M139" s="266">
        <v>78.921000000000006</v>
      </c>
      <c r="N139" s="266">
        <v>79.647999999999996</v>
      </c>
      <c r="O139" s="266">
        <v>79.757999999999996</v>
      </c>
      <c r="P139" s="266">
        <v>82.195999999999998</v>
      </c>
      <c r="Q139" s="266">
        <v>85.811999999999998</v>
      </c>
      <c r="R139" s="266">
        <v>89.972999999999999</v>
      </c>
      <c r="S139" s="266">
        <v>94.194999999999993</v>
      </c>
      <c r="T139" s="266">
        <v>97.879000000000005</v>
      </c>
      <c r="U139" s="266">
        <v>102.57299999999999</v>
      </c>
      <c r="V139" s="266">
        <v>100</v>
      </c>
      <c r="W139" s="266">
        <v>103.43899999999999</v>
      </c>
      <c r="X139" s="266">
        <v>108.741</v>
      </c>
      <c r="Y139" s="266">
        <v>111.843</v>
      </c>
      <c r="Z139" s="266">
        <v>113.255</v>
      </c>
      <c r="AA139" s="266">
        <v>115.515</v>
      </c>
    </row>
    <row r="140" spans="1:27" x14ac:dyDescent="0.2">
      <c r="A140" s="266" t="s">
        <v>464</v>
      </c>
      <c r="B140" s="345" t="s">
        <v>465</v>
      </c>
      <c r="C140" s="349" t="s">
        <v>199</v>
      </c>
      <c r="D140" s="349" t="s">
        <v>199</v>
      </c>
      <c r="E140" s="349" t="s">
        <v>199</v>
      </c>
      <c r="F140" s="349" t="s">
        <v>199</v>
      </c>
      <c r="G140" s="349" t="s">
        <v>199</v>
      </c>
      <c r="H140" s="266" t="s">
        <v>199</v>
      </c>
      <c r="I140" s="266" t="s">
        <v>199</v>
      </c>
      <c r="J140" s="266" t="s">
        <v>199</v>
      </c>
      <c r="K140" s="266" t="s">
        <v>199</v>
      </c>
      <c r="L140" s="266" t="s">
        <v>199</v>
      </c>
      <c r="M140" s="266" t="s">
        <v>199</v>
      </c>
      <c r="N140" s="266" t="s">
        <v>199</v>
      </c>
      <c r="O140" s="266" t="s">
        <v>199</v>
      </c>
      <c r="P140" s="266" t="s">
        <v>199</v>
      </c>
      <c r="Q140" s="266" t="s">
        <v>199</v>
      </c>
      <c r="R140" s="266" t="s">
        <v>199</v>
      </c>
      <c r="S140" s="266" t="s">
        <v>199</v>
      </c>
      <c r="T140" s="266" t="s">
        <v>199</v>
      </c>
      <c r="U140" s="266" t="s">
        <v>199</v>
      </c>
      <c r="V140" s="266" t="s">
        <v>199</v>
      </c>
      <c r="W140" s="266" t="s">
        <v>199</v>
      </c>
      <c r="X140" s="266" t="s">
        <v>199</v>
      </c>
      <c r="Y140" s="266" t="s">
        <v>199</v>
      </c>
      <c r="Z140" s="266" t="s">
        <v>199</v>
      </c>
      <c r="AA140" s="266" t="s">
        <v>199</v>
      </c>
    </row>
    <row r="141" spans="1:27" x14ac:dyDescent="0.2">
      <c r="A141" s="266" t="s">
        <v>466</v>
      </c>
      <c r="B141" s="348" t="s">
        <v>467</v>
      </c>
      <c r="C141" s="349">
        <v>98.986000000000004</v>
      </c>
      <c r="D141" s="349">
        <v>91.534999999999997</v>
      </c>
      <c r="E141" s="349">
        <v>83.177999999999997</v>
      </c>
      <c r="F141" s="349">
        <v>78.736000000000004</v>
      </c>
      <c r="G141" s="349">
        <v>78.58</v>
      </c>
      <c r="H141" s="266">
        <v>78.503</v>
      </c>
      <c r="I141" s="266">
        <v>79.864000000000004</v>
      </c>
      <c r="J141" s="266">
        <v>83.25</v>
      </c>
      <c r="K141" s="266">
        <v>88.899000000000001</v>
      </c>
      <c r="L141" s="266">
        <v>92.091999999999999</v>
      </c>
      <c r="M141" s="266">
        <v>97.17</v>
      </c>
      <c r="N141" s="266">
        <v>101.711</v>
      </c>
      <c r="O141" s="266">
        <v>102.151</v>
      </c>
      <c r="P141" s="266">
        <v>99.608999999999995</v>
      </c>
      <c r="Q141" s="266">
        <v>98.123000000000005</v>
      </c>
      <c r="R141" s="266">
        <v>100.15300000000001</v>
      </c>
      <c r="S141" s="266">
        <v>101.089</v>
      </c>
      <c r="T141" s="266">
        <v>102.417</v>
      </c>
      <c r="U141" s="266">
        <v>103.124</v>
      </c>
      <c r="V141" s="266">
        <v>100</v>
      </c>
      <c r="W141" s="266">
        <v>98.945999999999998</v>
      </c>
      <c r="X141" s="266">
        <v>99.933999999999997</v>
      </c>
      <c r="Y141" s="266">
        <v>99.494</v>
      </c>
      <c r="Z141" s="266">
        <v>101.355</v>
      </c>
      <c r="AA141" s="266">
        <v>105.41500000000001</v>
      </c>
    </row>
    <row r="142" spans="1:27" x14ac:dyDescent="0.2">
      <c r="A142" s="266" t="s">
        <v>468</v>
      </c>
      <c r="B142" s="345" t="s">
        <v>469</v>
      </c>
      <c r="C142" s="349">
        <v>56.201999999999998</v>
      </c>
      <c r="D142" s="349">
        <v>58.814</v>
      </c>
      <c r="E142" s="349">
        <v>60.95</v>
      </c>
      <c r="F142" s="349">
        <v>62.83</v>
      </c>
      <c r="G142" s="349">
        <v>64.641000000000005</v>
      </c>
      <c r="H142" s="266">
        <v>66.466999999999999</v>
      </c>
      <c r="I142" s="266">
        <v>68.289000000000001</v>
      </c>
      <c r="J142" s="266">
        <v>70.034999999999997</v>
      </c>
      <c r="K142" s="266">
        <v>72.131</v>
      </c>
      <c r="L142" s="266">
        <v>74.102000000000004</v>
      </c>
      <c r="M142" s="266">
        <v>77.007000000000005</v>
      </c>
      <c r="N142" s="266">
        <v>79.971999999999994</v>
      </c>
      <c r="O142" s="266">
        <v>82.257999999999996</v>
      </c>
      <c r="P142" s="266">
        <v>84.713999999999999</v>
      </c>
      <c r="Q142" s="266">
        <v>87.278000000000006</v>
      </c>
      <c r="R142" s="266">
        <v>90.308000000000007</v>
      </c>
      <c r="S142" s="266">
        <v>93.308999999999997</v>
      </c>
      <c r="T142" s="266">
        <v>96.179000000000002</v>
      </c>
      <c r="U142" s="266">
        <v>98.644999999999996</v>
      </c>
      <c r="V142" s="266">
        <v>100</v>
      </c>
      <c r="W142" s="266">
        <v>101.83</v>
      </c>
      <c r="X142" s="266">
        <v>103.875</v>
      </c>
      <c r="Y142" s="266">
        <v>105.66</v>
      </c>
      <c r="Z142" s="266">
        <v>107.911</v>
      </c>
      <c r="AA142" s="266">
        <v>110.324</v>
      </c>
    </row>
    <row r="143" spans="1:27" x14ac:dyDescent="0.2">
      <c r="A143" s="266" t="s">
        <v>470</v>
      </c>
      <c r="B143" s="345" t="s">
        <v>471</v>
      </c>
      <c r="C143" s="349">
        <v>47.151000000000003</v>
      </c>
      <c r="D143" s="349">
        <v>51.122999999999998</v>
      </c>
      <c r="E143" s="349">
        <v>54.973999999999997</v>
      </c>
      <c r="F143" s="349">
        <v>58.033000000000001</v>
      </c>
      <c r="G143" s="349">
        <v>60.215000000000003</v>
      </c>
      <c r="H143" s="266">
        <v>62.429000000000002</v>
      </c>
      <c r="I143" s="266">
        <v>64.323999999999998</v>
      </c>
      <c r="J143" s="266">
        <v>65.668999999999997</v>
      </c>
      <c r="K143" s="266">
        <v>66.951999999999998</v>
      </c>
      <c r="L143" s="266">
        <v>68.606999999999999</v>
      </c>
      <c r="M143" s="266">
        <v>70.941999999999993</v>
      </c>
      <c r="N143" s="266">
        <v>73.47</v>
      </c>
      <c r="O143" s="266">
        <v>76.228999999999999</v>
      </c>
      <c r="P143" s="266">
        <v>80.081999999999994</v>
      </c>
      <c r="Q143" s="266">
        <v>83.805999999999997</v>
      </c>
      <c r="R143" s="266">
        <v>87.105000000000004</v>
      </c>
      <c r="S143" s="266">
        <v>90.698999999999998</v>
      </c>
      <c r="T143" s="266">
        <v>94.042000000000002</v>
      </c>
      <c r="U143" s="266">
        <v>97.085999999999999</v>
      </c>
      <c r="V143" s="266">
        <v>100</v>
      </c>
      <c r="W143" s="266">
        <v>102.82599999999999</v>
      </c>
      <c r="X143" s="266">
        <v>105.23099999999999</v>
      </c>
      <c r="Y143" s="266">
        <v>107.78</v>
      </c>
      <c r="Z143" s="266">
        <v>110.167</v>
      </c>
      <c r="AA143" s="266">
        <v>111.991</v>
      </c>
    </row>
    <row r="144" spans="1:27" ht="12" customHeight="1" x14ac:dyDescent="0.2">
      <c r="A144" s="351" t="s">
        <v>472</v>
      </c>
      <c r="H144" s="179"/>
      <c r="I144" s="179"/>
      <c r="J144" s="179"/>
      <c r="K144" s="179"/>
      <c r="L144" s="179"/>
      <c r="M144" s="179"/>
      <c r="N144" s="179"/>
      <c r="O144" s="179"/>
      <c r="P144" s="179"/>
      <c r="Q144" s="179"/>
      <c r="R144" s="179"/>
      <c r="S144" s="179"/>
      <c r="T144" s="179"/>
      <c r="U144" s="179"/>
      <c r="V144" s="179"/>
      <c r="W144" s="179"/>
      <c r="X144" s="179"/>
      <c r="Y144" s="179"/>
      <c r="Z144" s="179"/>
      <c r="AA144" s="179"/>
    </row>
    <row r="145" spans="1:27" ht="12" customHeight="1" x14ac:dyDescent="0.2">
      <c r="A145" s="352" t="s">
        <v>473</v>
      </c>
      <c r="H145" s="179"/>
      <c r="I145" s="179"/>
      <c r="J145" s="179"/>
      <c r="K145" s="179"/>
      <c r="L145" s="179"/>
      <c r="M145" s="179"/>
      <c r="N145" s="179"/>
      <c r="O145" s="179"/>
      <c r="P145" s="179"/>
      <c r="Q145" s="179"/>
      <c r="R145" s="179"/>
      <c r="S145" s="179"/>
      <c r="T145" s="179"/>
      <c r="U145" s="179"/>
      <c r="V145" s="179"/>
      <c r="W145" s="179"/>
      <c r="X145" s="179"/>
      <c r="Y145" s="179"/>
      <c r="Z145" s="179"/>
      <c r="AA145" s="179"/>
    </row>
    <row r="146" spans="1:27" ht="12" customHeight="1" x14ac:dyDescent="0.2">
      <c r="A146" s="352" t="s">
        <v>474</v>
      </c>
      <c r="H146" s="179"/>
      <c r="I146" s="179"/>
      <c r="J146" s="179"/>
      <c r="K146" s="179"/>
      <c r="L146" s="179"/>
      <c r="M146" s="179"/>
      <c r="N146" s="179"/>
      <c r="O146" s="179"/>
      <c r="P146" s="179"/>
      <c r="Q146" s="179"/>
      <c r="R146" s="179"/>
      <c r="S146" s="179"/>
      <c r="T146" s="179"/>
      <c r="U146" s="179"/>
      <c r="V146" s="179"/>
      <c r="W146" s="179"/>
      <c r="X146" s="179"/>
      <c r="Y146" s="179"/>
      <c r="Z146" s="179"/>
      <c r="AA146" s="179"/>
    </row>
    <row r="147" spans="1:27" ht="12" customHeight="1" x14ac:dyDescent="0.2">
      <c r="A147" s="352" t="s">
        <v>475</v>
      </c>
      <c r="H147" s="179"/>
      <c r="I147" s="179"/>
      <c r="J147" s="179"/>
      <c r="K147" s="179"/>
      <c r="L147" s="179"/>
      <c r="M147" s="179"/>
      <c r="N147" s="179"/>
      <c r="O147" s="179"/>
      <c r="P147" s="179"/>
      <c r="Q147" s="179"/>
      <c r="R147" s="179"/>
      <c r="S147" s="179"/>
      <c r="T147" s="179"/>
      <c r="U147" s="179"/>
      <c r="V147" s="179"/>
      <c r="W147" s="179"/>
      <c r="X147" s="179"/>
      <c r="Y147" s="179"/>
      <c r="Z147" s="179"/>
      <c r="AA147" s="179"/>
    </row>
    <row r="148" spans="1:27" ht="12" customHeight="1" x14ac:dyDescent="0.2">
      <c r="A148" s="352" t="s">
        <v>476</v>
      </c>
      <c r="H148" s="179"/>
      <c r="I148" s="179"/>
      <c r="J148" s="179"/>
      <c r="K148" s="179"/>
      <c r="L148" s="179"/>
      <c r="M148" s="179"/>
      <c r="N148" s="179"/>
      <c r="O148" s="179"/>
      <c r="P148" s="179"/>
      <c r="Q148" s="179"/>
      <c r="R148" s="179"/>
      <c r="S148" s="179"/>
      <c r="T148" s="179"/>
      <c r="U148" s="179"/>
      <c r="V148" s="179"/>
      <c r="W148" s="179"/>
      <c r="X148" s="179"/>
      <c r="Y148" s="179"/>
      <c r="Z148" s="179"/>
      <c r="AA148" s="179"/>
    </row>
    <row r="149" spans="1:27" ht="12" customHeight="1" x14ac:dyDescent="0.2">
      <c r="A149" s="352" t="s">
        <v>477</v>
      </c>
      <c r="H149" s="179"/>
      <c r="I149" s="179"/>
      <c r="J149" s="179"/>
      <c r="K149" s="179"/>
      <c r="L149" s="179"/>
      <c r="M149" s="179"/>
      <c r="N149" s="179"/>
      <c r="O149" s="179"/>
      <c r="P149" s="179"/>
      <c r="Q149" s="179"/>
      <c r="R149" s="179"/>
      <c r="S149" s="179"/>
      <c r="T149" s="179"/>
      <c r="U149" s="179"/>
      <c r="V149" s="179"/>
      <c r="W149" s="179"/>
      <c r="X149" s="179"/>
      <c r="Y149" s="179"/>
      <c r="Z149" s="179"/>
      <c r="AA149" s="179"/>
    </row>
    <row r="150" spans="1:27" ht="12" customHeight="1" x14ac:dyDescent="0.2">
      <c r="A150" s="352" t="s">
        <v>478</v>
      </c>
      <c r="H150" s="179"/>
      <c r="I150" s="179"/>
      <c r="J150" s="179"/>
      <c r="K150" s="179"/>
      <c r="L150" s="179"/>
      <c r="M150" s="179"/>
      <c r="N150" s="179"/>
      <c r="O150" s="179"/>
      <c r="P150" s="179"/>
      <c r="Q150" s="179"/>
      <c r="R150" s="179"/>
      <c r="S150" s="179"/>
      <c r="T150" s="179"/>
      <c r="U150" s="179"/>
      <c r="V150" s="179"/>
      <c r="W150" s="179"/>
      <c r="X150" s="179"/>
      <c r="Y150" s="179"/>
      <c r="Z150" s="179"/>
      <c r="AA150" s="179"/>
    </row>
    <row r="151" spans="1:27" ht="12" customHeight="1" x14ac:dyDescent="0.2">
      <c r="A151" s="352" t="s">
        <v>479</v>
      </c>
      <c r="H151" s="179"/>
      <c r="I151" s="179"/>
      <c r="J151" s="179"/>
      <c r="K151" s="179"/>
      <c r="L151" s="179"/>
      <c r="M151" s="179"/>
      <c r="N151" s="179"/>
      <c r="O151" s="179"/>
      <c r="P151" s="179"/>
      <c r="Q151" s="179"/>
      <c r="R151" s="179"/>
      <c r="S151" s="179"/>
      <c r="T151" s="179"/>
      <c r="U151" s="179"/>
      <c r="V151" s="179"/>
      <c r="W151" s="179"/>
      <c r="X151" s="179"/>
      <c r="Y151" s="179"/>
      <c r="Z151" s="179"/>
      <c r="AA151" s="179"/>
    </row>
    <row r="152" spans="1:27" ht="12" customHeight="1" x14ac:dyDescent="0.2">
      <c r="A152" s="352" t="s">
        <v>480</v>
      </c>
      <c r="H152" s="179"/>
      <c r="I152" s="179"/>
      <c r="J152" s="179"/>
      <c r="K152" s="179"/>
      <c r="L152" s="179"/>
      <c r="M152" s="179"/>
      <c r="N152" s="179"/>
      <c r="O152" s="179"/>
      <c r="P152" s="179"/>
      <c r="Q152" s="179"/>
      <c r="R152" s="179"/>
      <c r="S152" s="179"/>
      <c r="T152" s="179"/>
      <c r="U152" s="179"/>
      <c r="V152" s="179"/>
      <c r="W152" s="179"/>
      <c r="X152" s="179"/>
      <c r="Y152" s="179"/>
      <c r="Z152" s="179"/>
      <c r="AA152" s="179"/>
    </row>
    <row r="153" spans="1:27" ht="12" customHeight="1" x14ac:dyDescent="0.2">
      <c r="A153" s="352" t="s">
        <v>481</v>
      </c>
      <c r="H153" s="179"/>
      <c r="I153" s="179"/>
      <c r="J153" s="179"/>
      <c r="K153" s="179"/>
      <c r="L153" s="179"/>
      <c r="M153" s="179"/>
      <c r="N153" s="179"/>
      <c r="O153" s="179"/>
      <c r="P153" s="179"/>
      <c r="Q153" s="179"/>
      <c r="R153" s="179"/>
      <c r="S153" s="179"/>
      <c r="T153" s="179"/>
      <c r="U153" s="179"/>
      <c r="V153" s="179"/>
      <c r="W153" s="179"/>
      <c r="X153" s="179"/>
      <c r="Y153" s="179"/>
      <c r="Z153" s="179"/>
      <c r="AA153" s="179"/>
    </row>
    <row r="154" spans="1:27" ht="12" customHeight="1" x14ac:dyDescent="0.2">
      <c r="A154" s="352" t="s">
        <v>482</v>
      </c>
      <c r="H154" s="179"/>
      <c r="I154" s="179"/>
      <c r="J154" s="179"/>
      <c r="K154" s="179"/>
      <c r="L154" s="179"/>
      <c r="M154" s="179"/>
      <c r="N154" s="179"/>
      <c r="O154" s="179"/>
      <c r="P154" s="179"/>
      <c r="Q154" s="179"/>
      <c r="R154" s="179"/>
      <c r="S154" s="179"/>
      <c r="T154" s="179"/>
      <c r="U154" s="179"/>
      <c r="V154" s="179"/>
      <c r="W154" s="179"/>
      <c r="X154" s="179"/>
      <c r="Y154" s="179"/>
      <c r="Z154" s="179"/>
      <c r="AA154" s="179"/>
    </row>
    <row r="155" spans="1:27" ht="12" customHeight="1" x14ac:dyDescent="0.2">
      <c r="A155" s="352" t="s">
        <v>483</v>
      </c>
      <c r="H155" s="179"/>
      <c r="I155" s="179"/>
      <c r="J155" s="179"/>
      <c r="K155" s="179"/>
      <c r="L155" s="179"/>
      <c r="M155" s="179"/>
      <c r="N155" s="179"/>
      <c r="O155" s="179"/>
      <c r="P155" s="179"/>
      <c r="Q155" s="179"/>
      <c r="R155" s="179"/>
      <c r="S155" s="179"/>
      <c r="T155" s="179"/>
      <c r="U155" s="179"/>
      <c r="V155" s="179"/>
      <c r="W155" s="179"/>
      <c r="X155" s="179"/>
      <c r="Y155" s="179"/>
      <c r="Z155" s="179"/>
      <c r="AA155" s="179"/>
    </row>
    <row r="156" spans="1:27" ht="12" customHeight="1" x14ac:dyDescent="0.2">
      <c r="A156" s="352" t="s">
        <v>484</v>
      </c>
      <c r="H156" s="179"/>
      <c r="I156" s="179"/>
      <c r="J156" s="179"/>
      <c r="K156" s="179"/>
      <c r="L156" s="179"/>
      <c r="M156" s="179"/>
      <c r="N156" s="179"/>
      <c r="O156" s="179"/>
      <c r="P156" s="179"/>
      <c r="Q156" s="179"/>
      <c r="R156" s="179"/>
      <c r="S156" s="179"/>
      <c r="T156" s="179"/>
      <c r="U156" s="179"/>
      <c r="V156" s="179"/>
      <c r="W156" s="179"/>
      <c r="X156" s="179"/>
      <c r="Y156" s="179"/>
      <c r="Z156" s="179"/>
      <c r="AA156" s="179"/>
    </row>
    <row r="157" spans="1:27" ht="12" customHeight="1" x14ac:dyDescent="0.2">
      <c r="A157" s="352" t="s">
        <v>485</v>
      </c>
      <c r="H157" s="179"/>
      <c r="I157" s="179"/>
      <c r="J157" s="179"/>
      <c r="K157" s="179"/>
      <c r="L157" s="179"/>
      <c r="M157" s="179"/>
      <c r="N157" s="179"/>
      <c r="O157" s="179"/>
      <c r="P157" s="179"/>
      <c r="Q157" s="179"/>
      <c r="R157" s="179"/>
      <c r="S157" s="179"/>
      <c r="T157" s="179"/>
      <c r="U157" s="179"/>
      <c r="V157" s="179"/>
      <c r="W157" s="179"/>
      <c r="X157" s="179"/>
      <c r="Y157" s="179"/>
      <c r="Z157" s="179"/>
      <c r="AA157" s="179"/>
    </row>
    <row r="158" spans="1:27" ht="12" customHeight="1" x14ac:dyDescent="0.2">
      <c r="A158" s="352" t="s">
        <v>486</v>
      </c>
      <c r="H158" s="179"/>
      <c r="I158" s="179"/>
      <c r="J158" s="179"/>
      <c r="K158" s="179"/>
      <c r="L158" s="179"/>
      <c r="M158" s="179"/>
      <c r="N158" s="179"/>
      <c r="O158" s="179"/>
      <c r="P158" s="179"/>
      <c r="Q158" s="179"/>
      <c r="R158" s="179"/>
      <c r="S158" s="179"/>
      <c r="T158" s="179"/>
      <c r="U158" s="179"/>
      <c r="V158" s="179"/>
      <c r="W158" s="179"/>
      <c r="X158" s="179"/>
      <c r="Y158" s="179"/>
      <c r="Z158" s="179"/>
      <c r="AA158" s="179"/>
    </row>
    <row r="159" spans="1:27" ht="12" customHeight="1" x14ac:dyDescent="0.2">
      <c r="A159" s="352" t="s">
        <v>487</v>
      </c>
      <c r="H159" s="179"/>
      <c r="I159" s="179"/>
      <c r="J159" s="179"/>
      <c r="K159" s="179"/>
      <c r="L159" s="179"/>
      <c r="M159" s="179"/>
      <c r="N159" s="179"/>
      <c r="O159" s="179"/>
      <c r="P159" s="179"/>
      <c r="Q159" s="179"/>
      <c r="R159" s="179"/>
      <c r="S159" s="179"/>
      <c r="T159" s="179"/>
      <c r="U159" s="179"/>
      <c r="V159" s="179"/>
      <c r="W159" s="179"/>
      <c r="X159" s="179"/>
      <c r="Y159" s="179"/>
      <c r="Z159" s="179"/>
      <c r="AA159" s="179"/>
    </row>
    <row r="160" spans="1:27" ht="12" customHeight="1" x14ac:dyDescent="0.2">
      <c r="A160" s="352" t="s">
        <v>488</v>
      </c>
      <c r="H160" s="179"/>
      <c r="I160" s="179"/>
      <c r="J160" s="179"/>
      <c r="K160" s="179"/>
      <c r="L160" s="179"/>
      <c r="M160" s="179"/>
      <c r="N160" s="179"/>
      <c r="O160" s="179"/>
      <c r="P160" s="179"/>
      <c r="Q160" s="179"/>
      <c r="R160" s="179"/>
      <c r="S160" s="179"/>
      <c r="T160" s="179"/>
      <c r="U160" s="179"/>
      <c r="V160" s="179"/>
      <c r="W160" s="179"/>
      <c r="X160" s="179"/>
      <c r="Y160" s="179"/>
      <c r="Z160" s="179"/>
      <c r="AA160" s="179"/>
    </row>
    <row r="161" spans="1:27" ht="12" customHeight="1" x14ac:dyDescent="0.2">
      <c r="A161" s="352" t="s">
        <v>489</v>
      </c>
      <c r="H161" s="179"/>
      <c r="I161" s="179"/>
      <c r="J161" s="179"/>
      <c r="K161" s="179"/>
      <c r="L161" s="179"/>
      <c r="M161" s="179"/>
      <c r="N161" s="179"/>
      <c r="O161" s="179"/>
      <c r="P161" s="179"/>
      <c r="Q161" s="179"/>
      <c r="R161" s="179"/>
      <c r="S161" s="179"/>
      <c r="T161" s="179"/>
      <c r="U161" s="179"/>
      <c r="V161" s="179"/>
      <c r="W161" s="179"/>
      <c r="X161" s="179"/>
      <c r="Y161" s="179"/>
      <c r="Z161" s="179"/>
      <c r="AA161" s="179"/>
    </row>
    <row r="162" spans="1:27" ht="12" customHeight="1" x14ac:dyDescent="0.2">
      <c r="A162" s="352" t="s">
        <v>490</v>
      </c>
      <c r="H162" s="179"/>
      <c r="I162" s="179"/>
      <c r="J162" s="179"/>
      <c r="K162" s="179"/>
      <c r="L162" s="179"/>
      <c r="M162" s="179"/>
      <c r="N162" s="179"/>
      <c r="O162" s="179"/>
      <c r="P162" s="179"/>
      <c r="Q162" s="179"/>
      <c r="R162" s="179"/>
      <c r="S162" s="179"/>
      <c r="T162" s="179"/>
      <c r="U162" s="179"/>
      <c r="V162" s="179"/>
      <c r="W162" s="179"/>
      <c r="X162" s="179"/>
      <c r="Y162" s="179"/>
      <c r="Z162" s="179"/>
      <c r="AA162" s="179"/>
    </row>
    <row r="163" spans="1:27" ht="12" customHeight="1" x14ac:dyDescent="0.2">
      <c r="A163" s="352" t="s">
        <v>491</v>
      </c>
      <c r="H163" s="179"/>
      <c r="I163" s="179"/>
      <c r="J163" s="179"/>
      <c r="K163" s="179"/>
      <c r="L163" s="179"/>
      <c r="M163" s="179"/>
      <c r="N163" s="179"/>
      <c r="O163" s="179"/>
      <c r="P163" s="179"/>
      <c r="Q163" s="179"/>
      <c r="R163" s="179"/>
      <c r="S163" s="179"/>
      <c r="T163" s="179"/>
      <c r="U163" s="179"/>
      <c r="V163" s="179"/>
      <c r="W163" s="179"/>
      <c r="X163" s="179"/>
      <c r="Y163" s="179"/>
      <c r="Z163" s="179"/>
      <c r="AA163" s="179"/>
    </row>
    <row r="164" spans="1:27" ht="12" customHeight="1" x14ac:dyDescent="0.2">
      <c r="A164" s="352" t="s">
        <v>492</v>
      </c>
      <c r="H164" s="179"/>
      <c r="I164" s="179"/>
      <c r="J164" s="179"/>
      <c r="K164" s="179"/>
      <c r="L164" s="179"/>
      <c r="M164" s="179"/>
      <c r="N164" s="179"/>
      <c r="O164" s="179"/>
      <c r="P164" s="179"/>
      <c r="Q164" s="179"/>
      <c r="R164" s="179"/>
      <c r="S164" s="179"/>
      <c r="T164" s="179"/>
      <c r="U164" s="179"/>
      <c r="V164" s="179"/>
      <c r="W164" s="179"/>
      <c r="X164" s="179"/>
      <c r="Y164" s="179"/>
      <c r="Z164" s="179"/>
      <c r="AA164" s="179"/>
    </row>
    <row r="165" spans="1:27" ht="12" customHeight="1" x14ac:dyDescent="0.2">
      <c r="A165" s="352" t="s">
        <v>493</v>
      </c>
      <c r="H165" s="179"/>
      <c r="I165" s="179"/>
      <c r="J165" s="179"/>
      <c r="K165" s="179"/>
      <c r="L165" s="179"/>
      <c r="M165" s="179"/>
      <c r="N165" s="179"/>
      <c r="O165" s="179"/>
      <c r="P165" s="179"/>
      <c r="Q165" s="179"/>
      <c r="R165" s="179"/>
      <c r="S165" s="179"/>
      <c r="T165" s="179"/>
      <c r="U165" s="179"/>
      <c r="V165" s="179"/>
      <c r="W165" s="179"/>
      <c r="X165" s="179"/>
      <c r="Y165" s="179"/>
      <c r="Z165" s="179"/>
      <c r="AA165" s="179"/>
    </row>
    <row r="166" spans="1:27" ht="12" customHeight="1" x14ac:dyDescent="0.2">
      <c r="A166" s="352" t="s">
        <v>494</v>
      </c>
      <c r="H166" s="179"/>
      <c r="I166" s="179"/>
      <c r="J166" s="179"/>
      <c r="K166" s="179"/>
      <c r="L166" s="179"/>
      <c r="M166" s="179"/>
      <c r="N166" s="179"/>
      <c r="O166" s="179"/>
      <c r="P166" s="179"/>
      <c r="Q166" s="179"/>
      <c r="R166" s="179"/>
      <c r="S166" s="179"/>
      <c r="T166" s="179"/>
      <c r="U166" s="179"/>
      <c r="V166" s="179"/>
      <c r="W166" s="179"/>
      <c r="X166" s="179"/>
      <c r="Y166" s="179"/>
      <c r="Z166" s="179"/>
      <c r="AA166" s="179"/>
    </row>
    <row r="167" spans="1:27" ht="12" customHeight="1" x14ac:dyDescent="0.2">
      <c r="A167" s="352" t="s">
        <v>495</v>
      </c>
      <c r="H167" s="179"/>
      <c r="I167" s="179"/>
      <c r="J167" s="179"/>
      <c r="K167" s="179"/>
      <c r="L167" s="179"/>
      <c r="M167" s="179"/>
      <c r="N167" s="179"/>
      <c r="O167" s="179"/>
      <c r="P167" s="179"/>
      <c r="Q167" s="179"/>
      <c r="R167" s="179"/>
      <c r="S167" s="179"/>
      <c r="T167" s="179"/>
      <c r="U167" s="179"/>
      <c r="V167" s="179"/>
      <c r="W167" s="179"/>
      <c r="X167" s="179"/>
      <c r="Y167" s="179"/>
      <c r="Z167" s="179"/>
      <c r="AA167" s="179"/>
    </row>
    <row r="168" spans="1:27" ht="12" customHeight="1" x14ac:dyDescent="0.2">
      <c r="A168" s="352" t="s">
        <v>496</v>
      </c>
      <c r="H168" s="179"/>
      <c r="I168" s="179"/>
      <c r="J168" s="179"/>
      <c r="K168" s="179"/>
      <c r="L168" s="179"/>
      <c r="M168" s="179"/>
      <c r="N168" s="179"/>
      <c r="O168" s="179"/>
      <c r="P168" s="179"/>
      <c r="Q168" s="179"/>
      <c r="R168" s="179"/>
      <c r="S168" s="179"/>
      <c r="T168" s="179"/>
      <c r="U168" s="179"/>
      <c r="V168" s="179"/>
      <c r="W168" s="179"/>
      <c r="X168" s="179"/>
      <c r="Y168" s="179"/>
      <c r="Z168" s="179"/>
      <c r="AA168" s="179"/>
    </row>
    <row r="169" spans="1:27" ht="12" customHeight="1" x14ac:dyDescent="0.2">
      <c r="A169" s="352" t="s">
        <v>497</v>
      </c>
      <c r="H169" s="179"/>
      <c r="I169" s="179"/>
      <c r="J169" s="179"/>
      <c r="K169" s="179"/>
      <c r="L169" s="179"/>
      <c r="M169" s="179"/>
      <c r="N169" s="179"/>
      <c r="O169" s="179"/>
      <c r="P169" s="179"/>
      <c r="Q169" s="179"/>
      <c r="R169" s="179"/>
      <c r="S169" s="179"/>
      <c r="T169" s="179"/>
      <c r="U169" s="179"/>
      <c r="V169" s="179"/>
      <c r="W169" s="179"/>
      <c r="X169" s="179"/>
      <c r="Y169" s="179"/>
      <c r="Z169" s="179"/>
      <c r="AA169" s="179"/>
    </row>
    <row r="170" spans="1:27" ht="12" customHeight="1" x14ac:dyDescent="0.2">
      <c r="A170" s="352" t="s">
        <v>498</v>
      </c>
      <c r="H170" s="179"/>
      <c r="I170" s="179"/>
      <c r="J170" s="179"/>
      <c r="K170" s="179"/>
      <c r="L170" s="179"/>
      <c r="M170" s="179"/>
      <c r="N170" s="179"/>
      <c r="O170" s="179"/>
      <c r="P170" s="179"/>
      <c r="Q170" s="179"/>
      <c r="R170" s="179"/>
      <c r="S170" s="179"/>
      <c r="T170" s="179"/>
      <c r="U170" s="179"/>
      <c r="V170" s="179"/>
      <c r="W170" s="179"/>
      <c r="X170" s="179"/>
      <c r="Y170" s="179"/>
      <c r="Z170" s="179"/>
      <c r="AA170" s="179"/>
    </row>
    <row r="171" spans="1:27" ht="12" customHeight="1" x14ac:dyDescent="0.2">
      <c r="A171" s="352" t="s">
        <v>499</v>
      </c>
      <c r="H171" s="179"/>
      <c r="I171" s="179"/>
      <c r="J171" s="179"/>
      <c r="K171" s="179"/>
      <c r="L171" s="179"/>
      <c r="M171" s="179"/>
      <c r="N171" s="179"/>
      <c r="O171" s="179"/>
      <c r="P171" s="179"/>
      <c r="Q171" s="179"/>
      <c r="R171" s="179"/>
      <c r="S171" s="179"/>
      <c r="T171" s="179"/>
      <c r="U171" s="179"/>
      <c r="V171" s="179"/>
      <c r="W171" s="179"/>
      <c r="X171" s="179"/>
      <c r="Y171" s="179"/>
      <c r="Z171" s="179"/>
      <c r="AA171" s="179"/>
    </row>
    <row r="172" spans="1:27" ht="12" customHeight="1" x14ac:dyDescent="0.2">
      <c r="A172" s="352" t="s">
        <v>500</v>
      </c>
      <c r="H172" s="179"/>
      <c r="I172" s="179"/>
      <c r="J172" s="179"/>
      <c r="K172" s="179"/>
      <c r="L172" s="179"/>
      <c r="M172" s="179"/>
      <c r="N172" s="179"/>
      <c r="O172" s="179"/>
      <c r="P172" s="179"/>
      <c r="Q172" s="179"/>
      <c r="R172" s="179"/>
      <c r="S172" s="179"/>
      <c r="T172" s="179"/>
      <c r="U172" s="179"/>
      <c r="V172" s="179"/>
      <c r="W172" s="179"/>
      <c r="X172" s="179"/>
      <c r="Y172" s="179"/>
      <c r="Z172" s="179"/>
      <c r="AA172" s="179"/>
    </row>
    <row r="173" spans="1:27" ht="12" customHeight="1" x14ac:dyDescent="0.2">
      <c r="A173" s="352" t="s">
        <v>501</v>
      </c>
      <c r="H173" s="179"/>
      <c r="I173" s="179"/>
      <c r="J173" s="179"/>
      <c r="K173" s="179"/>
      <c r="L173" s="179"/>
      <c r="M173" s="179"/>
      <c r="N173" s="179"/>
      <c r="O173" s="179"/>
      <c r="P173" s="179"/>
      <c r="Q173" s="179"/>
      <c r="R173" s="179"/>
      <c r="S173" s="179"/>
      <c r="T173" s="179"/>
      <c r="U173" s="179"/>
      <c r="V173" s="179"/>
      <c r="W173" s="179"/>
      <c r="X173" s="179"/>
      <c r="Y173" s="179"/>
      <c r="Z173" s="179"/>
      <c r="AA173" s="179"/>
    </row>
    <row r="174" spans="1:27" ht="12" customHeight="1" x14ac:dyDescent="0.2">
      <c r="A174" s="352" t="s">
        <v>502</v>
      </c>
      <c r="H174" s="179"/>
      <c r="I174" s="179"/>
      <c r="J174" s="179"/>
      <c r="K174" s="179"/>
      <c r="L174" s="179"/>
      <c r="M174" s="179"/>
      <c r="N174" s="179"/>
      <c r="O174" s="179"/>
      <c r="P174" s="179"/>
      <c r="Q174" s="179"/>
      <c r="R174" s="179"/>
      <c r="S174" s="179"/>
      <c r="T174" s="179"/>
      <c r="U174" s="179"/>
      <c r="V174" s="179"/>
      <c r="W174" s="179"/>
      <c r="X174" s="179"/>
      <c r="Y174" s="179"/>
      <c r="Z174" s="179"/>
      <c r="AA174" s="17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pane xSplit="1" ySplit="9" topLeftCell="B10" activePane="bottomRight" state="frozen"/>
      <selection pane="topRight" activeCell="B1" sqref="B1"/>
      <selection pane="bottomLeft" activeCell="A10" sqref="A10"/>
      <selection pane="bottomRight"/>
    </sheetView>
  </sheetViews>
  <sheetFormatPr defaultColWidth="9.140625" defaultRowHeight="12" x14ac:dyDescent="0.2"/>
  <cols>
    <col min="1" max="4" width="20.7109375" style="266" customWidth="1"/>
    <col min="5" max="6" width="25.7109375" style="266" customWidth="1"/>
    <col min="7" max="16384" width="9.140625" style="266"/>
  </cols>
  <sheetData>
    <row r="1" spans="1:5" x14ac:dyDescent="0.2">
      <c r="E1" s="266" t="s">
        <v>50</v>
      </c>
    </row>
    <row r="2" spans="1:5" ht="18.75" x14ac:dyDescent="0.3">
      <c r="A2" s="336" t="s">
        <v>869</v>
      </c>
      <c r="E2" s="266" t="s">
        <v>50</v>
      </c>
    </row>
    <row r="3" spans="1:5" x14ac:dyDescent="0.2">
      <c r="A3" s="266" t="s">
        <v>664</v>
      </c>
      <c r="B3" s="266" t="s">
        <v>883</v>
      </c>
      <c r="E3" s="266" t="s">
        <v>50</v>
      </c>
    </row>
    <row r="4" spans="1:5" x14ac:dyDescent="0.2">
      <c r="A4" s="266" t="s">
        <v>665</v>
      </c>
      <c r="B4" s="266" t="s">
        <v>666</v>
      </c>
      <c r="C4" s="266" t="s">
        <v>667</v>
      </c>
      <c r="E4" s="266" t="s">
        <v>50</v>
      </c>
    </row>
    <row r="5" spans="1:5" x14ac:dyDescent="0.2">
      <c r="B5" s="266" t="s">
        <v>668</v>
      </c>
      <c r="C5" s="266" t="s">
        <v>669</v>
      </c>
      <c r="E5" s="266" t="s">
        <v>50</v>
      </c>
    </row>
    <row r="6" spans="1:5" x14ac:dyDescent="0.2">
      <c r="B6" s="266" t="s">
        <v>670</v>
      </c>
      <c r="C6" s="266" t="s">
        <v>671</v>
      </c>
      <c r="E6" s="266" t="s">
        <v>50</v>
      </c>
    </row>
    <row r="7" spans="1:5" x14ac:dyDescent="0.2">
      <c r="B7" s="266" t="s">
        <v>672</v>
      </c>
      <c r="C7" s="266" t="s">
        <v>673</v>
      </c>
      <c r="E7" s="266" t="s">
        <v>50</v>
      </c>
    </row>
    <row r="8" spans="1:5" x14ac:dyDescent="0.2">
      <c r="E8" s="266" t="s">
        <v>50</v>
      </c>
    </row>
    <row r="9" spans="1:5" ht="24" x14ac:dyDescent="0.2">
      <c r="A9" s="337" t="s">
        <v>674</v>
      </c>
      <c r="B9" s="338" t="s">
        <v>675</v>
      </c>
      <c r="C9" s="338" t="s">
        <v>676</v>
      </c>
      <c r="D9" s="339" t="s">
        <v>882</v>
      </c>
      <c r="E9" s="266" t="s">
        <v>50</v>
      </c>
    </row>
    <row r="10" spans="1:5" x14ac:dyDescent="0.2">
      <c r="A10" s="340">
        <v>20.28</v>
      </c>
      <c r="B10" s="105" t="s">
        <v>677</v>
      </c>
      <c r="C10" s="105" t="s">
        <v>678</v>
      </c>
      <c r="D10" s="120" t="s">
        <v>672</v>
      </c>
      <c r="E10" s="266" t="s">
        <v>50</v>
      </c>
    </row>
    <row r="11" spans="1:5" x14ac:dyDescent="0.2">
      <c r="A11" s="340">
        <v>5.0999999999999996</v>
      </c>
      <c r="B11" s="105" t="s">
        <v>679</v>
      </c>
      <c r="C11" s="105" t="s">
        <v>678</v>
      </c>
      <c r="D11" s="120" t="s">
        <v>80</v>
      </c>
      <c r="E11" s="266" t="s">
        <v>50</v>
      </c>
    </row>
    <row r="12" spans="1:5" x14ac:dyDescent="0.2">
      <c r="A12" s="340">
        <v>3.44</v>
      </c>
      <c r="B12" s="105" t="s">
        <v>680</v>
      </c>
      <c r="C12" s="105" t="s">
        <v>678</v>
      </c>
      <c r="D12" s="120" t="s">
        <v>80</v>
      </c>
      <c r="E12" s="266" t="s">
        <v>50</v>
      </c>
    </row>
    <row r="13" spans="1:5" x14ac:dyDescent="0.2">
      <c r="A13" s="340">
        <v>0.24</v>
      </c>
      <c r="B13" s="105" t="s">
        <v>681</v>
      </c>
      <c r="C13" s="105" t="s">
        <v>678</v>
      </c>
      <c r="D13" s="120" t="s">
        <v>682</v>
      </c>
      <c r="E13" s="266" t="s">
        <v>50</v>
      </c>
    </row>
    <row r="14" spans="1:5" x14ac:dyDescent="0.2">
      <c r="A14" s="340">
        <v>1.36</v>
      </c>
      <c r="B14" s="105" t="s">
        <v>683</v>
      </c>
      <c r="C14" s="105" t="s">
        <v>678</v>
      </c>
      <c r="D14" s="120" t="s">
        <v>80</v>
      </c>
      <c r="E14" s="266" t="s">
        <v>50</v>
      </c>
    </row>
    <row r="15" spans="1:5" x14ac:dyDescent="0.2">
      <c r="A15" s="340">
        <v>1.01</v>
      </c>
      <c r="B15" s="105" t="s">
        <v>684</v>
      </c>
      <c r="C15" s="105" t="s">
        <v>678</v>
      </c>
      <c r="D15" s="120" t="s">
        <v>80</v>
      </c>
      <c r="E15" s="266" t="s">
        <v>50</v>
      </c>
    </row>
    <row r="16" spans="1:5" x14ac:dyDescent="0.2">
      <c r="A16" s="340">
        <v>-1.78</v>
      </c>
      <c r="B16" s="105" t="s">
        <v>685</v>
      </c>
      <c r="C16" s="105" t="s">
        <v>678</v>
      </c>
      <c r="D16" s="120" t="s">
        <v>672</v>
      </c>
      <c r="E16" s="266" t="s">
        <v>50</v>
      </c>
    </row>
    <row r="17" spans="1:5" x14ac:dyDescent="0.2">
      <c r="A17" s="340">
        <v>3.12</v>
      </c>
      <c r="B17" s="105" t="s">
        <v>686</v>
      </c>
      <c r="C17" s="105" t="s">
        <v>678</v>
      </c>
      <c r="D17" s="120" t="s">
        <v>108</v>
      </c>
      <c r="E17" s="266" t="s">
        <v>50</v>
      </c>
    </row>
    <row r="18" spans="1:5" x14ac:dyDescent="0.2">
      <c r="A18" s="340">
        <v>5.2</v>
      </c>
      <c r="B18" s="105" t="s">
        <v>687</v>
      </c>
      <c r="C18" s="105" t="s">
        <v>688</v>
      </c>
      <c r="D18" s="120" t="s">
        <v>672</v>
      </c>
      <c r="E18" s="266" t="s">
        <v>50</v>
      </c>
    </row>
    <row r="19" spans="1:5" x14ac:dyDescent="0.2">
      <c r="A19" s="340">
        <v>0.14000000000000001</v>
      </c>
      <c r="B19" s="105" t="s">
        <v>689</v>
      </c>
      <c r="C19" s="105" t="s">
        <v>688</v>
      </c>
      <c r="D19" s="120" t="s">
        <v>672</v>
      </c>
      <c r="E19" s="266" t="s">
        <v>50</v>
      </c>
    </row>
    <row r="20" spans="1:5" x14ac:dyDescent="0.2">
      <c r="A20" s="340">
        <v>0.25</v>
      </c>
      <c r="B20" s="105" t="s">
        <v>690</v>
      </c>
      <c r="C20" s="105" t="s">
        <v>688</v>
      </c>
      <c r="D20" s="120" t="s">
        <v>80</v>
      </c>
      <c r="E20" s="266" t="s">
        <v>50</v>
      </c>
    </row>
    <row r="21" spans="1:5" x14ac:dyDescent="0.2">
      <c r="A21" s="340">
        <v>0.14000000000000001</v>
      </c>
      <c r="B21" s="105" t="s">
        <v>691</v>
      </c>
      <c r="C21" s="105" t="s">
        <v>688</v>
      </c>
      <c r="D21" s="120" t="s">
        <v>682</v>
      </c>
      <c r="E21" s="266" t="s">
        <v>50</v>
      </c>
    </row>
    <row r="22" spans="1:5" x14ac:dyDescent="0.2">
      <c r="A22" s="340">
        <v>-0.17</v>
      </c>
      <c r="B22" s="105" t="s">
        <v>692</v>
      </c>
      <c r="C22" s="105" t="s">
        <v>688</v>
      </c>
      <c r="D22" s="120" t="s">
        <v>80</v>
      </c>
      <c r="E22" s="266" t="s">
        <v>50</v>
      </c>
    </row>
    <row r="23" spans="1:5" x14ac:dyDescent="0.2">
      <c r="A23" s="340">
        <v>-0.12</v>
      </c>
      <c r="B23" s="105" t="s">
        <v>693</v>
      </c>
      <c r="C23" s="105" t="s">
        <v>688</v>
      </c>
      <c r="D23" s="120" t="s">
        <v>80</v>
      </c>
      <c r="E23" s="266" t="s">
        <v>50</v>
      </c>
    </row>
    <row r="24" spans="1:5" x14ac:dyDescent="0.2">
      <c r="A24" s="340">
        <v>-0.76</v>
      </c>
      <c r="B24" s="105" t="s">
        <v>694</v>
      </c>
      <c r="C24" s="105" t="s">
        <v>695</v>
      </c>
      <c r="D24" s="120" t="s">
        <v>108</v>
      </c>
      <c r="E24" s="266" t="s">
        <v>50</v>
      </c>
    </row>
    <row r="25" spans="1:5" x14ac:dyDescent="0.2">
      <c r="A25" s="340">
        <v>1.78</v>
      </c>
      <c r="B25" s="105" t="s">
        <v>696</v>
      </c>
      <c r="C25" s="105" t="s">
        <v>695</v>
      </c>
      <c r="D25" s="120" t="s">
        <v>672</v>
      </c>
      <c r="E25" s="266" t="s">
        <v>50</v>
      </c>
    </row>
    <row r="26" spans="1:5" x14ac:dyDescent="0.2">
      <c r="A26" s="340">
        <v>1.02</v>
      </c>
      <c r="B26" s="105" t="s">
        <v>697</v>
      </c>
      <c r="C26" s="105" t="s">
        <v>695</v>
      </c>
      <c r="D26" s="120" t="s">
        <v>80</v>
      </c>
      <c r="E26" s="266" t="s">
        <v>50</v>
      </c>
    </row>
    <row r="27" spans="1:5" x14ac:dyDescent="0.2">
      <c r="A27" s="340">
        <v>0.76</v>
      </c>
      <c r="B27" s="105" t="s">
        <v>698</v>
      </c>
      <c r="C27" s="105" t="s">
        <v>695</v>
      </c>
      <c r="D27" s="120" t="s">
        <v>80</v>
      </c>
      <c r="E27" s="266" t="s">
        <v>50</v>
      </c>
    </row>
    <row r="28" spans="1:5" x14ac:dyDescent="0.2">
      <c r="A28" s="340">
        <v>0.24</v>
      </c>
      <c r="B28" s="105" t="s">
        <v>699</v>
      </c>
      <c r="C28" s="105" t="s">
        <v>695</v>
      </c>
      <c r="D28" s="120" t="s">
        <v>80</v>
      </c>
      <c r="E28" s="266" t="s">
        <v>50</v>
      </c>
    </row>
    <row r="29" spans="1:5" x14ac:dyDescent="0.2">
      <c r="A29" s="340">
        <v>0.49</v>
      </c>
      <c r="B29" s="105" t="s">
        <v>700</v>
      </c>
      <c r="C29" s="105" t="s">
        <v>695</v>
      </c>
      <c r="D29" s="120" t="s">
        <v>682</v>
      </c>
      <c r="E29" s="266" t="s">
        <v>50</v>
      </c>
    </row>
    <row r="30" spans="1:5" x14ac:dyDescent="0.2">
      <c r="A30" s="340">
        <v>-0.82</v>
      </c>
      <c r="B30" s="105" t="s">
        <v>701</v>
      </c>
      <c r="C30" s="105" t="s">
        <v>695</v>
      </c>
      <c r="D30" s="120" t="s">
        <v>80</v>
      </c>
      <c r="E30" s="266" t="s">
        <v>50</v>
      </c>
    </row>
    <row r="31" spans="1:5" x14ac:dyDescent="0.2">
      <c r="A31" s="340">
        <v>-1.24</v>
      </c>
      <c r="B31" s="105" t="s">
        <v>702</v>
      </c>
      <c r="C31" s="105" t="s">
        <v>695</v>
      </c>
      <c r="D31" s="120" t="s">
        <v>80</v>
      </c>
      <c r="E31" s="266" t="s">
        <v>50</v>
      </c>
    </row>
    <row r="32" spans="1:5" x14ac:dyDescent="0.2">
      <c r="A32" s="341">
        <f>SUMIF(C10:C31,"Private",A10:A31)</f>
        <v>32.770000000000003</v>
      </c>
      <c r="B32" s="269" t="s">
        <v>678</v>
      </c>
      <c r="C32" s="458">
        <f>SUMIF(D10:D31,"Medical care",A10:A31)</f>
        <v>0.87</v>
      </c>
      <c r="D32" s="270" t="s">
        <v>682</v>
      </c>
      <c r="E32" s="266" t="s">
        <v>50</v>
      </c>
    </row>
    <row r="33" spans="1:5" x14ac:dyDescent="0.2">
      <c r="A33" s="342">
        <f>SUMIF(C10:C31,"Quasi-external",A10:A31)</f>
        <v>5.4399999999999995</v>
      </c>
      <c r="B33" s="105" t="s">
        <v>688</v>
      </c>
      <c r="C33" s="459">
        <f>SUMIF(D10:D31,"Lost productivity",A10:A31)</f>
        <v>10.829999999999998</v>
      </c>
      <c r="D33" s="120" t="s">
        <v>80</v>
      </c>
      <c r="E33" s="266" t="s">
        <v>50</v>
      </c>
    </row>
    <row r="34" spans="1:5" x14ac:dyDescent="0.2">
      <c r="A34" s="342">
        <f>SUMIF(C10:C31, "External",A10:A31)</f>
        <v>1.4700000000000004</v>
      </c>
      <c r="B34" s="105" t="s">
        <v>695</v>
      </c>
      <c r="C34" s="459">
        <f>SUMIF(D10:D31,"Other",A10:A31)</f>
        <v>2.3600000000000003</v>
      </c>
      <c r="D34" s="120" t="s">
        <v>108</v>
      </c>
      <c r="E34" s="266" t="s">
        <v>50</v>
      </c>
    </row>
    <row r="35" spans="1:5" x14ac:dyDescent="0.2">
      <c r="A35" s="460">
        <f>SUM(A32:A34)</f>
        <v>39.68</v>
      </c>
      <c r="B35" s="297" t="s">
        <v>703</v>
      </c>
      <c r="C35" s="461">
        <f>SUM(C32:C34)</f>
        <v>14.059999999999999</v>
      </c>
      <c r="D35" s="298" t="s">
        <v>704</v>
      </c>
      <c r="E35" s="266" t="s">
        <v>50</v>
      </c>
    </row>
    <row r="36" spans="1:5" x14ac:dyDescent="0.2">
      <c r="A36" s="274" t="s">
        <v>1172</v>
      </c>
      <c r="B36" s="542">
        <v>170789</v>
      </c>
      <c r="C36" s="542">
        <f>B36*($C$32/$A$35)</f>
        <v>3744.6176915322585</v>
      </c>
      <c r="D36" s="270" t="s">
        <v>682</v>
      </c>
      <c r="E36" s="266" t="s">
        <v>50</v>
      </c>
    </row>
    <row r="37" spans="1:5" x14ac:dyDescent="0.2">
      <c r="A37" s="105"/>
      <c r="B37" s="105"/>
      <c r="C37" s="343">
        <f>B36*($C$33/$A$35)</f>
        <v>46614.034022177409</v>
      </c>
      <c r="D37" s="120" t="s">
        <v>80</v>
      </c>
      <c r="E37" s="266" t="s">
        <v>50</v>
      </c>
    </row>
    <row r="38" spans="1:5" x14ac:dyDescent="0.2">
      <c r="A38" s="297"/>
      <c r="B38" s="297"/>
      <c r="C38" s="344">
        <f>B36*($C$34/$A$35)</f>
        <v>10157.813508064517</v>
      </c>
      <c r="D38" s="298" t="s">
        <v>108</v>
      </c>
      <c r="E38" s="266" t="s">
        <v>50</v>
      </c>
    </row>
    <row r="39" spans="1:5" x14ac:dyDescent="0.2">
      <c r="A39" s="543" t="s">
        <v>4</v>
      </c>
      <c r="B39" s="542">
        <v>106050</v>
      </c>
      <c r="C39" s="542">
        <f>B39*($C$32/$A$35)</f>
        <v>2325.1890120967741</v>
      </c>
      <c r="D39" s="270" t="s">
        <v>682</v>
      </c>
    </row>
    <row r="40" spans="1:5" x14ac:dyDescent="0.2">
      <c r="A40" s="105"/>
      <c r="B40" s="105"/>
      <c r="C40" s="343">
        <f>B39*($C$33/$A$35)</f>
        <v>28944.594254032254</v>
      </c>
      <c r="D40" s="120" t="s">
        <v>80</v>
      </c>
    </row>
    <row r="41" spans="1:5" x14ac:dyDescent="0.2">
      <c r="A41" s="297"/>
      <c r="B41" s="297"/>
      <c r="C41" s="344">
        <f>B39*($C$34/$A$35)</f>
        <v>6307.4092741935492</v>
      </c>
      <c r="D41" s="298" t="s">
        <v>108</v>
      </c>
    </row>
    <row r="42" spans="1:5" x14ac:dyDescent="0.2">
      <c r="A42" s="543" t="s">
        <v>5</v>
      </c>
      <c r="B42" s="542">
        <v>219889</v>
      </c>
      <c r="C42" s="542">
        <f>B42*($C$32/$A$35)</f>
        <v>4821.1549899193551</v>
      </c>
      <c r="D42" s="270" t="s">
        <v>682</v>
      </c>
    </row>
    <row r="43" spans="1:5" x14ac:dyDescent="0.2">
      <c r="A43" s="105"/>
      <c r="B43" s="105"/>
      <c r="C43" s="343">
        <f>B42*($C$33/$A$35)</f>
        <v>60015.06728830644</v>
      </c>
      <c r="D43" s="120" t="s">
        <v>80</v>
      </c>
    </row>
    <row r="44" spans="1:5" x14ac:dyDescent="0.2">
      <c r="A44" s="297"/>
      <c r="B44" s="297"/>
      <c r="C44" s="344">
        <f>B42*($C$34/$A$35)</f>
        <v>13078.075604838712</v>
      </c>
      <c r="D44" s="298" t="s">
        <v>108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 1 Results</vt:lpstr>
      <vt:lpstr>Table 2 Criminal justice</vt:lpstr>
      <vt:lpstr>Table 3 Outcomes</vt:lpstr>
      <vt:lpstr>Table 4 Costs</vt:lpstr>
      <vt:lpstr>Table 5 Cost discounting</vt:lpstr>
      <vt:lpstr>DATA Inflation GDP</vt:lpstr>
      <vt:lpstr>DATA Inflation PCE</vt:lpstr>
      <vt:lpstr>DATA Sloan (2014) Smoker costs</vt:lpstr>
    </vt:vector>
  </TitlesOfParts>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Peterson, Cora (CDC/ONDIEH/NCIPC)</dc:creator>
  <cp:lastModifiedBy>Julie Fielding</cp:lastModifiedBy>
  <cp:revision/>
  <dcterms:created xsi:type="dcterms:W3CDTF">2016-02-16T19:55:20Z</dcterms:created>
  <dcterms:modified xsi:type="dcterms:W3CDTF">2018-06-04T18:52:35Z</dcterms:modified>
</cp:coreProperties>
</file>