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Projects\PRICE\Abstracts and manuscripts\Working document\CEA of flu vaccine\Manuscript\12 CEA\"/>
    </mc:Choice>
  </mc:AlternateContent>
  <bookViews>
    <workbookView xWindow="0" yWindow="0" windowWidth="19200" windowHeight="11580"/>
  </bookViews>
  <sheets>
    <sheet name="2012" sheetId="1" r:id="rId1"/>
    <sheet name="2013" sheetId="2" r:id="rId2"/>
    <sheet name="2014" sheetId="3" r:id="rId3"/>
    <sheet name="2012 (case)" sheetId="9" state="hidden" r:id="rId4"/>
    <sheet name="2013 (case)" sheetId="10" state="hidden" r:id="rId5"/>
    <sheet name="2014 (case)" sheetId="11" state="hidden" r:id="rId6"/>
    <sheet name="question" sheetId="5" state="hidden" r:id="rId7"/>
    <sheet name="summary" sheetId="6" state="hidden" r:id="rId8"/>
    <sheet name="input parameters" sheetId="7" state="hidden" r:id="rId9"/>
    <sheet name="Sheet1" sheetId="8" state="hidden" r:id="rId10"/>
  </sheets>
  <definedNames>
    <definedName name="_xlnm.Print_Area" localSheetId="0">'2012'!$A$1:$I$40</definedName>
    <definedName name="_xlnm.Print_Area" localSheetId="3">'2012 (case)'!$A$1:$I$40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4" i="3" l="1"/>
  <c r="W24" i="3"/>
  <c r="AA2" i="1"/>
  <c r="G9" i="6"/>
  <c r="F9" i="6"/>
  <c r="E9" i="6"/>
  <c r="D9" i="6"/>
  <c r="G6" i="6"/>
  <c r="F6" i="6"/>
  <c r="E6" i="6"/>
  <c r="D6" i="6"/>
  <c r="G5" i="6"/>
  <c r="F5" i="6"/>
  <c r="E5" i="6"/>
  <c r="D5" i="6"/>
  <c r="C9" i="6"/>
  <c r="B78" i="1"/>
  <c r="I42" i="1" l="1"/>
  <c r="G8" i="3"/>
  <c r="J41" i="3"/>
  <c r="K40" i="2"/>
  <c r="I40" i="3"/>
  <c r="J39" i="2"/>
  <c r="H41" i="1"/>
  <c r="I39" i="3" l="1"/>
  <c r="I38" i="2"/>
  <c r="J40" i="1"/>
  <c r="I40" i="1"/>
  <c r="J7" i="1"/>
  <c r="J5" i="1"/>
  <c r="J2" i="1"/>
  <c r="S30" i="3"/>
  <c r="S26" i="3"/>
  <c r="S21" i="3"/>
  <c r="S17" i="3"/>
  <c r="S13" i="3"/>
  <c r="S2" i="3"/>
  <c r="S35" i="1"/>
  <c r="S31" i="1"/>
  <c r="S27" i="1"/>
  <c r="S15" i="1"/>
  <c r="S5" i="1"/>
  <c r="S2" i="1"/>
  <c r="D53" i="1"/>
  <c r="C53" i="1"/>
  <c r="S11" i="1" s="1"/>
  <c r="B53" i="1"/>
  <c r="S37" i="1" s="1"/>
  <c r="D52" i="3"/>
  <c r="S24" i="3" s="1"/>
  <c r="C52" i="3"/>
  <c r="B52" i="3"/>
  <c r="S36" i="3" s="1"/>
  <c r="S33" i="2"/>
  <c r="S30" i="2"/>
  <c r="S26" i="2"/>
  <c r="S20" i="2"/>
  <c r="S16" i="2"/>
  <c r="S7" i="2"/>
  <c r="S2" i="2"/>
  <c r="D51" i="2"/>
  <c r="S24" i="2" s="1"/>
  <c r="C51" i="2"/>
  <c r="B51" i="2"/>
  <c r="S35" i="2" s="1"/>
  <c r="D22" i="6"/>
  <c r="C22" i="6"/>
  <c r="B22" i="6"/>
  <c r="S5" i="3" l="1"/>
  <c r="S34" i="3"/>
  <c r="S7" i="3"/>
  <c r="S17" i="1"/>
  <c r="S7" i="1"/>
  <c r="S21" i="1"/>
  <c r="S25" i="1"/>
  <c r="S5" i="2"/>
  <c r="S14" i="2"/>
  <c r="J37" i="1"/>
  <c r="J15" i="1"/>
  <c r="J11" i="1"/>
  <c r="C18" i="1" l="1"/>
  <c r="W35" i="1" l="1"/>
  <c r="Y31" i="1"/>
  <c r="W31" i="1"/>
  <c r="W25" i="1"/>
  <c r="W21" i="1"/>
  <c r="X11" i="1"/>
  <c r="W11" i="1"/>
  <c r="W5" i="1"/>
  <c r="W2" i="1"/>
  <c r="B22" i="2" l="1"/>
  <c r="B28" i="1"/>
  <c r="B24" i="1"/>
  <c r="G5" i="9" l="1"/>
  <c r="G38" i="11"/>
  <c r="G33" i="11"/>
  <c r="G28" i="11"/>
  <c r="G24" i="11"/>
  <c r="G19" i="11"/>
  <c r="G15" i="11"/>
  <c r="G9" i="11"/>
  <c r="G5" i="11"/>
  <c r="C84" i="11"/>
  <c r="C58" i="11" s="1"/>
  <c r="C57" i="11"/>
  <c r="B57" i="11"/>
  <c r="F57" i="11" s="1"/>
  <c r="B54" i="11"/>
  <c r="S36" i="11"/>
  <c r="Q36" i="11"/>
  <c r="R36" i="11" s="1"/>
  <c r="O36" i="11" s="1"/>
  <c r="K36" i="11"/>
  <c r="G37" i="11" s="1"/>
  <c r="F35" i="11"/>
  <c r="S34" i="11"/>
  <c r="Q34" i="11"/>
  <c r="R34" i="11" s="1"/>
  <c r="O34" i="11" s="1"/>
  <c r="K34" i="11"/>
  <c r="H34" i="11"/>
  <c r="J34" i="11" s="1"/>
  <c r="F31" i="11"/>
  <c r="S30" i="11"/>
  <c r="O30" i="11" s="1"/>
  <c r="R30" i="11"/>
  <c r="Q30" i="11"/>
  <c r="K30" i="11"/>
  <c r="H30" i="11"/>
  <c r="J30" i="11" s="1"/>
  <c r="S26" i="11"/>
  <c r="Q26" i="11"/>
  <c r="R26" i="11" s="1"/>
  <c r="O26" i="11" s="1"/>
  <c r="K26" i="11"/>
  <c r="G27" i="11" s="1"/>
  <c r="F25" i="11"/>
  <c r="D25" i="11"/>
  <c r="S24" i="11"/>
  <c r="O24" i="11" s="1"/>
  <c r="K24" i="11"/>
  <c r="H24" i="11"/>
  <c r="G23" i="11"/>
  <c r="E25" i="11" s="1"/>
  <c r="B23" i="11"/>
  <c r="J36" i="11" s="1"/>
  <c r="F22" i="11"/>
  <c r="Z21" i="11"/>
  <c r="Y21" i="11" s="1"/>
  <c r="S21" i="11"/>
  <c r="Q21" i="11"/>
  <c r="R21" i="11" s="1"/>
  <c r="O21" i="11" s="1"/>
  <c r="K21" i="11"/>
  <c r="H21" i="11"/>
  <c r="S17" i="11"/>
  <c r="R17" i="11"/>
  <c r="O17" i="11" s="1"/>
  <c r="Q17" i="11"/>
  <c r="F16" i="11"/>
  <c r="J17" i="11" s="1"/>
  <c r="S13" i="11"/>
  <c r="Q13" i="11"/>
  <c r="R13" i="11" s="1"/>
  <c r="O13" i="11" s="1"/>
  <c r="F13" i="11"/>
  <c r="J13" i="11" s="1"/>
  <c r="B11" i="11"/>
  <c r="S7" i="11"/>
  <c r="R7" i="11"/>
  <c r="O7" i="11" s="1"/>
  <c r="Q7" i="11"/>
  <c r="F6" i="11"/>
  <c r="D6" i="11"/>
  <c r="J7" i="11" s="1"/>
  <c r="S5" i="11"/>
  <c r="Q5" i="11"/>
  <c r="R5" i="11" s="1"/>
  <c r="O5" i="11" s="1"/>
  <c r="H5" i="11"/>
  <c r="B4" i="11"/>
  <c r="N26" i="11" s="1"/>
  <c r="F3" i="11"/>
  <c r="Z2" i="11"/>
  <c r="Y2" i="11" s="1"/>
  <c r="S2" i="11"/>
  <c r="Q2" i="11"/>
  <c r="R2" i="11" s="1"/>
  <c r="O2" i="11" s="1"/>
  <c r="H1" i="11"/>
  <c r="G37" i="10"/>
  <c r="G33" i="10"/>
  <c r="G28" i="10"/>
  <c r="G24" i="10"/>
  <c r="G18" i="10"/>
  <c r="G14" i="10"/>
  <c r="G9" i="10"/>
  <c r="G5" i="10"/>
  <c r="B83" i="10"/>
  <c r="B55" i="10" s="1"/>
  <c r="I38" i="10"/>
  <c r="G36" i="10"/>
  <c r="S35" i="10"/>
  <c r="Q35" i="10"/>
  <c r="R35" i="10" s="1"/>
  <c r="O35" i="10" s="1"/>
  <c r="K35" i="10"/>
  <c r="F34" i="10"/>
  <c r="Z33" i="10"/>
  <c r="X33" i="10" s="1"/>
  <c r="Y33" i="10"/>
  <c r="S33" i="10"/>
  <c r="Q33" i="10"/>
  <c r="R33" i="10" s="1"/>
  <c r="O33" i="10" s="1"/>
  <c r="K33" i="10"/>
  <c r="H33" i="10"/>
  <c r="F31" i="10"/>
  <c r="E35" i="10" s="1"/>
  <c r="Y30" i="10"/>
  <c r="X30" i="10"/>
  <c r="S30" i="10"/>
  <c r="R30" i="10"/>
  <c r="Q30" i="10"/>
  <c r="O30" i="10" s="1"/>
  <c r="K30" i="10"/>
  <c r="H30" i="10"/>
  <c r="Z27" i="10"/>
  <c r="S26" i="10"/>
  <c r="Q26" i="10"/>
  <c r="R26" i="10" s="1"/>
  <c r="O26" i="10" s="1"/>
  <c r="K26" i="10"/>
  <c r="G27" i="10" s="1"/>
  <c r="F25" i="10"/>
  <c r="D25" i="10"/>
  <c r="S24" i="10"/>
  <c r="R24" i="10"/>
  <c r="Q24" i="10"/>
  <c r="O24" i="10" s="1"/>
  <c r="K24" i="10"/>
  <c r="H24" i="10"/>
  <c r="G23" i="10"/>
  <c r="E25" i="10" s="1"/>
  <c r="F22" i="10"/>
  <c r="H21" i="10"/>
  <c r="S20" i="10"/>
  <c r="Q20" i="10"/>
  <c r="K20" i="10"/>
  <c r="Z17" i="10"/>
  <c r="Y20" i="10" s="1"/>
  <c r="S16" i="10"/>
  <c r="O16" i="10" s="1"/>
  <c r="R16" i="10"/>
  <c r="Q16" i="10"/>
  <c r="F15" i="10"/>
  <c r="J16" i="10" s="1"/>
  <c r="Z14" i="10"/>
  <c r="Y14" i="10"/>
  <c r="X14" i="10"/>
  <c r="S14" i="10"/>
  <c r="Q14" i="10"/>
  <c r="R14" i="10" s="1"/>
  <c r="O14" i="10" s="1"/>
  <c r="H14" i="10"/>
  <c r="J14" i="10" s="1"/>
  <c r="F12" i="10"/>
  <c r="Y11" i="10"/>
  <c r="S11" i="10"/>
  <c r="Q11" i="10"/>
  <c r="R11" i="10" s="1"/>
  <c r="O11" i="10" s="1"/>
  <c r="J11" i="10"/>
  <c r="H11" i="10"/>
  <c r="B11" i="10"/>
  <c r="B22" i="10" s="1"/>
  <c r="J33" i="10" s="1"/>
  <c r="Z8" i="10"/>
  <c r="X11" i="10" s="1"/>
  <c r="S7" i="10"/>
  <c r="Q7" i="10"/>
  <c r="R7" i="10" s="1"/>
  <c r="O7" i="10" s="1"/>
  <c r="F6" i="10"/>
  <c r="D6" i="10"/>
  <c r="J7" i="10" s="1"/>
  <c r="S5" i="10"/>
  <c r="Q5" i="10"/>
  <c r="R5" i="10" s="1"/>
  <c r="O5" i="10" s="1"/>
  <c r="H5" i="10"/>
  <c r="B4" i="10"/>
  <c r="N35" i="10" s="1"/>
  <c r="F3" i="10"/>
  <c r="Z2" i="10"/>
  <c r="Y2" i="10" s="1"/>
  <c r="S2" i="10"/>
  <c r="Q2" i="10"/>
  <c r="R2" i="10" s="1"/>
  <c r="O2" i="10" s="1"/>
  <c r="H1" i="10"/>
  <c r="G35" i="9"/>
  <c r="G29" i="9"/>
  <c r="G19" i="9"/>
  <c r="E7" i="9"/>
  <c r="G39" i="9"/>
  <c r="G25" i="9"/>
  <c r="G15" i="9"/>
  <c r="G9" i="9"/>
  <c r="B91" i="9"/>
  <c r="B57" i="9" s="1"/>
  <c r="C58" i="9"/>
  <c r="S37" i="9"/>
  <c r="Q37" i="9"/>
  <c r="R37" i="9" s="1"/>
  <c r="K37" i="9"/>
  <c r="G38" i="9" s="1"/>
  <c r="F36" i="9"/>
  <c r="Z35" i="9"/>
  <c r="Y35" i="9" s="1"/>
  <c r="S35" i="9"/>
  <c r="Q35" i="9"/>
  <c r="R35" i="9" s="1"/>
  <c r="K35" i="9"/>
  <c r="H35" i="9"/>
  <c r="F33" i="9"/>
  <c r="H32" i="9"/>
  <c r="Z31" i="9"/>
  <c r="S31" i="9"/>
  <c r="R31" i="9"/>
  <c r="Q31" i="9"/>
  <c r="K31" i="9"/>
  <c r="S27" i="9"/>
  <c r="Q27" i="9"/>
  <c r="R27" i="9" s="1"/>
  <c r="K27" i="9"/>
  <c r="G28" i="9" s="1"/>
  <c r="H27" i="9"/>
  <c r="F26" i="9"/>
  <c r="D26" i="9"/>
  <c r="Z25" i="9"/>
  <c r="Y25" i="9" s="1"/>
  <c r="S25" i="9"/>
  <c r="R25" i="9"/>
  <c r="Q25" i="9"/>
  <c r="K25" i="9"/>
  <c r="H25" i="9"/>
  <c r="F23" i="9"/>
  <c r="E26" i="9" s="1"/>
  <c r="H22" i="9"/>
  <c r="G24" i="9" s="1"/>
  <c r="Z21" i="9"/>
  <c r="Y21" i="9" s="1"/>
  <c r="S21" i="9"/>
  <c r="R21" i="9"/>
  <c r="Q21" i="9"/>
  <c r="K21" i="9"/>
  <c r="S17" i="9"/>
  <c r="Q17" i="9"/>
  <c r="R17" i="9" s="1"/>
  <c r="O17" i="9" s="1"/>
  <c r="H17" i="9"/>
  <c r="F16" i="9"/>
  <c r="S15" i="9"/>
  <c r="Q15" i="9"/>
  <c r="R15" i="9" s="1"/>
  <c r="H15" i="9"/>
  <c r="J15" i="9" s="1"/>
  <c r="F13" i="9"/>
  <c r="B12" i="9"/>
  <c r="B24" i="9" s="1"/>
  <c r="Z11" i="9"/>
  <c r="Y11" i="9" s="1"/>
  <c r="S11" i="9"/>
  <c r="Q11" i="9"/>
  <c r="R11" i="9" s="1"/>
  <c r="H11" i="9"/>
  <c r="S7" i="9"/>
  <c r="R7" i="9"/>
  <c r="Q7" i="9"/>
  <c r="H7" i="9"/>
  <c r="F6" i="9"/>
  <c r="D6" i="9"/>
  <c r="J7" i="9" s="1"/>
  <c r="S5" i="9"/>
  <c r="Q5" i="9"/>
  <c r="R5" i="9" s="1"/>
  <c r="H5" i="9"/>
  <c r="B4" i="9"/>
  <c r="N7" i="9" s="1"/>
  <c r="K7" i="9" s="1"/>
  <c r="G8" i="9" s="1"/>
  <c r="F3" i="9"/>
  <c r="Z2" i="9"/>
  <c r="Y2" i="9" s="1"/>
  <c r="S2" i="9"/>
  <c r="Q2" i="9"/>
  <c r="R2" i="9" s="1"/>
  <c r="H1" i="9"/>
  <c r="B4" i="3"/>
  <c r="N26" i="3" s="1"/>
  <c r="B4" i="2"/>
  <c r="N24" i="2" s="1"/>
  <c r="B4" i="1"/>
  <c r="N27" i="1" s="1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N33" i="2" l="1"/>
  <c r="N30" i="2"/>
  <c r="J21" i="11"/>
  <c r="J24" i="11"/>
  <c r="N5" i="11"/>
  <c r="K5" i="11" s="1"/>
  <c r="N2" i="11"/>
  <c r="K2" i="11" s="1"/>
  <c r="G4" i="11" s="1"/>
  <c r="N13" i="11"/>
  <c r="K13" i="11" s="1"/>
  <c r="G14" i="11" s="1"/>
  <c r="N36" i="11"/>
  <c r="J2" i="11"/>
  <c r="J26" i="11"/>
  <c r="J2" i="10"/>
  <c r="J5" i="10"/>
  <c r="N5" i="10"/>
  <c r="K5" i="10" s="1"/>
  <c r="N2" i="10"/>
  <c r="K2" i="10" s="1"/>
  <c r="N26" i="10"/>
  <c r="N5" i="9"/>
  <c r="K5" i="9" s="1"/>
  <c r="J2" i="9"/>
  <c r="J5" i="9"/>
  <c r="F55" i="10"/>
  <c r="B54" i="10"/>
  <c r="F54" i="10" s="1"/>
  <c r="C55" i="10"/>
  <c r="B56" i="10"/>
  <c r="C56" i="10"/>
  <c r="C53" i="10"/>
  <c r="B57" i="10"/>
  <c r="C54" i="10"/>
  <c r="B53" i="10"/>
  <c r="F53" i="10" s="1"/>
  <c r="C57" i="10"/>
  <c r="C55" i="9"/>
  <c r="C56" i="9"/>
  <c r="C57" i="9"/>
  <c r="F57" i="9" s="1"/>
  <c r="B59" i="9"/>
  <c r="F59" i="9" s="1"/>
  <c r="B58" i="9"/>
  <c r="F58" i="9" s="1"/>
  <c r="C54" i="11"/>
  <c r="F54" i="11" s="1"/>
  <c r="B55" i="11"/>
  <c r="B56" i="11"/>
  <c r="C56" i="11"/>
  <c r="E26" i="11"/>
  <c r="C28" i="11" s="1"/>
  <c r="G32" i="11"/>
  <c r="E35" i="11" s="1"/>
  <c r="C27" i="11" s="1"/>
  <c r="B27" i="11" s="1"/>
  <c r="E17" i="11"/>
  <c r="E36" i="11"/>
  <c r="N30" i="11"/>
  <c r="E7" i="11"/>
  <c r="X21" i="11"/>
  <c r="C55" i="11"/>
  <c r="F55" i="11" s="1"/>
  <c r="B58" i="11"/>
  <c r="F58" i="11" s="1"/>
  <c r="N7" i="11"/>
  <c r="K7" i="11" s="1"/>
  <c r="G8" i="11" s="1"/>
  <c r="N17" i="11"/>
  <c r="K17" i="11" s="1"/>
  <c r="G18" i="11" s="1"/>
  <c r="X2" i="11"/>
  <c r="J5" i="11"/>
  <c r="N24" i="11"/>
  <c r="N34" i="11"/>
  <c r="N21" i="11"/>
  <c r="J35" i="10"/>
  <c r="J26" i="10"/>
  <c r="J24" i="10"/>
  <c r="E7" i="10"/>
  <c r="E16" i="10"/>
  <c r="R20" i="10"/>
  <c r="O20" i="10" s="1"/>
  <c r="E26" i="10" s="1"/>
  <c r="C28" i="10" s="1"/>
  <c r="N11" i="10"/>
  <c r="K11" i="10" s="1"/>
  <c r="N33" i="10"/>
  <c r="N7" i="10"/>
  <c r="K7" i="10" s="1"/>
  <c r="G8" i="10" s="1"/>
  <c r="J30" i="10"/>
  <c r="J20" i="10"/>
  <c r="N24" i="10"/>
  <c r="N30" i="10"/>
  <c r="G32" i="10"/>
  <c r="E34" i="10" s="1"/>
  <c r="C27" i="10" s="1"/>
  <c r="X2" i="10"/>
  <c r="N20" i="10"/>
  <c r="X20" i="10"/>
  <c r="N16" i="10"/>
  <c r="K16" i="10" s="1"/>
  <c r="G17" i="10" s="1"/>
  <c r="N14" i="10"/>
  <c r="K14" i="10" s="1"/>
  <c r="O11" i="9"/>
  <c r="O35" i="9"/>
  <c r="O27" i="9"/>
  <c r="O2" i="9"/>
  <c r="O31" i="9"/>
  <c r="O7" i="9"/>
  <c r="O37" i="9"/>
  <c r="O21" i="9"/>
  <c r="O25" i="9"/>
  <c r="E37" i="9"/>
  <c r="E17" i="9"/>
  <c r="J31" i="9"/>
  <c r="J25" i="9"/>
  <c r="J21" i="9"/>
  <c r="J35" i="9"/>
  <c r="J27" i="9"/>
  <c r="J37" i="9"/>
  <c r="N15" i="9"/>
  <c r="K15" i="9" s="1"/>
  <c r="E27" i="9"/>
  <c r="X35" i="9"/>
  <c r="N37" i="9"/>
  <c r="B55" i="9"/>
  <c r="N2" i="9"/>
  <c r="K2" i="9" s="1"/>
  <c r="O5" i="9"/>
  <c r="N11" i="9"/>
  <c r="K11" i="9" s="1"/>
  <c r="O15" i="9"/>
  <c r="J17" i="9"/>
  <c r="X21" i="9"/>
  <c r="X25" i="9"/>
  <c r="N35" i="9"/>
  <c r="B56" i="9"/>
  <c r="F56" i="9" s="1"/>
  <c r="N17" i="9"/>
  <c r="K17" i="9" s="1"/>
  <c r="G18" i="9" s="1"/>
  <c r="N27" i="9"/>
  <c r="N21" i="9"/>
  <c r="N25" i="9"/>
  <c r="C59" i="9"/>
  <c r="X2" i="9"/>
  <c r="X11" i="9"/>
  <c r="N31" i="9"/>
  <c r="G34" i="9"/>
  <c r="E36" i="9" s="1"/>
  <c r="C28" i="9" s="1"/>
  <c r="J11" i="9"/>
  <c r="N30" i="3"/>
  <c r="N2" i="3"/>
  <c r="N34" i="3"/>
  <c r="N5" i="3"/>
  <c r="N7" i="3"/>
  <c r="N13" i="3"/>
  <c r="N17" i="3"/>
  <c r="N21" i="3"/>
  <c r="N24" i="3"/>
  <c r="N36" i="3"/>
  <c r="N5" i="2"/>
  <c r="N7" i="2"/>
  <c r="N11" i="2"/>
  <c r="N14" i="2"/>
  <c r="N16" i="2"/>
  <c r="N20" i="2"/>
  <c r="N26" i="2"/>
  <c r="N2" i="2"/>
  <c r="N35" i="2"/>
  <c r="N5" i="1"/>
  <c r="N31" i="1"/>
  <c r="N7" i="1"/>
  <c r="N35" i="1"/>
  <c r="N11" i="1"/>
  <c r="N37" i="1"/>
  <c r="N15" i="1"/>
  <c r="N17" i="1"/>
  <c r="N21" i="1"/>
  <c r="N25" i="1"/>
  <c r="N2" i="1"/>
  <c r="E26" i="1"/>
  <c r="E16" i="11" l="1"/>
  <c r="E6" i="11"/>
  <c r="C8" i="11" s="1"/>
  <c r="B8" i="11" s="1"/>
  <c r="J39" i="11"/>
  <c r="J38" i="10"/>
  <c r="G13" i="10"/>
  <c r="E15" i="10" s="1"/>
  <c r="G4" i="10"/>
  <c r="E6" i="10" s="1"/>
  <c r="G4" i="9"/>
  <c r="E6" i="9" s="1"/>
  <c r="J40" i="9"/>
  <c r="F57" i="10"/>
  <c r="F56" i="10"/>
  <c r="F55" i="9"/>
  <c r="F56" i="11"/>
  <c r="C9" i="11"/>
  <c r="C9" i="10"/>
  <c r="C29" i="9"/>
  <c r="C9" i="9"/>
  <c r="G14" i="9"/>
  <c r="E16" i="9" s="1"/>
  <c r="D25" i="3"/>
  <c r="D6" i="3"/>
  <c r="D25" i="2"/>
  <c r="D6" i="2"/>
  <c r="D26" i="1"/>
  <c r="D6" i="1"/>
  <c r="B27" i="3" l="1"/>
  <c r="C27" i="3"/>
  <c r="C8" i="10"/>
  <c r="B8" i="10" s="1"/>
  <c r="C8" i="9"/>
  <c r="B8" i="9" s="1"/>
  <c r="S11" i="2"/>
  <c r="D23" i="7" l="1"/>
  <c r="D22" i="7"/>
  <c r="D21" i="7"/>
  <c r="D16" i="7"/>
  <c r="C24" i="7"/>
  <c r="C23" i="7"/>
  <c r="C22" i="7"/>
  <c r="C21" i="7"/>
  <c r="C19" i="7"/>
  <c r="C18" i="7"/>
  <c r="C16" i="7"/>
  <c r="J36" i="3"/>
  <c r="J34" i="3"/>
  <c r="J30" i="3"/>
  <c r="J26" i="3"/>
  <c r="J24" i="3"/>
  <c r="B23" i="3"/>
  <c r="J21" i="3" s="1"/>
  <c r="J17" i="3"/>
  <c r="J13" i="3"/>
  <c r="J7" i="3"/>
  <c r="J5" i="3"/>
  <c r="J2" i="3"/>
  <c r="B24" i="7"/>
  <c r="B23" i="7"/>
  <c r="B22" i="7"/>
  <c r="B21" i="7"/>
  <c r="B18" i="7"/>
  <c r="B17" i="7"/>
  <c r="B16" i="7"/>
  <c r="B11" i="3"/>
  <c r="J39" i="3" l="1"/>
  <c r="C86" i="3"/>
  <c r="B85" i="2"/>
  <c r="B93" i="1"/>
  <c r="E35" i="3"/>
  <c r="E25" i="3"/>
  <c r="G37" i="3"/>
  <c r="G32" i="3"/>
  <c r="G27" i="3"/>
  <c r="G23" i="3"/>
  <c r="K36" i="3"/>
  <c r="Q36" i="3"/>
  <c r="R36" i="3" s="1"/>
  <c r="Q34" i="3"/>
  <c r="R34" i="3" s="1"/>
  <c r="Q30" i="3"/>
  <c r="R30" i="3" s="1"/>
  <c r="Q26" i="3"/>
  <c r="R26" i="3" s="1"/>
  <c r="Q21" i="3"/>
  <c r="R21" i="3" s="1"/>
  <c r="Q17" i="3"/>
  <c r="R17" i="3" s="1"/>
  <c r="Q13" i="3"/>
  <c r="R13" i="3" s="1"/>
  <c r="Q7" i="3"/>
  <c r="R7" i="3" s="1"/>
  <c r="Q5" i="3"/>
  <c r="R5" i="3" s="1"/>
  <c r="R2" i="3"/>
  <c r="Q2" i="3"/>
  <c r="K26" i="3"/>
  <c r="K17" i="3"/>
  <c r="G18" i="3" s="1"/>
  <c r="K7" i="3"/>
  <c r="K34" i="3"/>
  <c r="K30" i="3"/>
  <c r="K24" i="3"/>
  <c r="K21" i="3"/>
  <c r="K13" i="3"/>
  <c r="G14" i="3" s="1"/>
  <c r="K5" i="3"/>
  <c r="K16" i="2"/>
  <c r="G17" i="2" s="1"/>
  <c r="K14" i="2"/>
  <c r="K11" i="2"/>
  <c r="K7" i="2"/>
  <c r="G8" i="2" s="1"/>
  <c r="K5" i="2"/>
  <c r="K2" i="2"/>
  <c r="K2" i="3"/>
  <c r="K35" i="2"/>
  <c r="K26" i="2"/>
  <c r="G27" i="2" s="1"/>
  <c r="Q16" i="2"/>
  <c r="R16" i="2" s="1"/>
  <c r="Q35" i="2"/>
  <c r="R35" i="2" s="1"/>
  <c r="Q33" i="2"/>
  <c r="R33" i="2" s="1"/>
  <c r="Q30" i="2"/>
  <c r="R30" i="2" s="1"/>
  <c r="Q26" i="2"/>
  <c r="R26" i="2" s="1"/>
  <c r="Q24" i="2"/>
  <c r="R24" i="2" s="1"/>
  <c r="Q20" i="2"/>
  <c r="R20" i="2" s="1"/>
  <c r="Q14" i="2"/>
  <c r="R14" i="2" s="1"/>
  <c r="Q11" i="2"/>
  <c r="R11" i="2" s="1"/>
  <c r="Q7" i="2"/>
  <c r="R7" i="2" s="1"/>
  <c r="Q5" i="2"/>
  <c r="R5" i="2" s="1"/>
  <c r="Q2" i="2"/>
  <c r="R2" i="2" s="1"/>
  <c r="K33" i="2"/>
  <c r="K30" i="2"/>
  <c r="K24" i="2"/>
  <c r="K20" i="2"/>
  <c r="K21" i="1"/>
  <c r="K37" i="1"/>
  <c r="G38" i="1" s="1"/>
  <c r="K35" i="1"/>
  <c r="K31" i="1"/>
  <c r="K27" i="1"/>
  <c r="G28" i="1" s="1"/>
  <c r="K25" i="1"/>
  <c r="K17" i="1"/>
  <c r="G18" i="1" s="1"/>
  <c r="K15" i="1"/>
  <c r="K11" i="1"/>
  <c r="K7" i="1"/>
  <c r="G8" i="1" s="1"/>
  <c r="K5" i="1"/>
  <c r="K2" i="1"/>
  <c r="Q37" i="1"/>
  <c r="R37" i="1" s="1"/>
  <c r="Q27" i="1"/>
  <c r="R27" i="1" s="1"/>
  <c r="Q17" i="1"/>
  <c r="R17" i="1" s="1"/>
  <c r="Q7" i="1"/>
  <c r="R7" i="1" s="1"/>
  <c r="C60" i="3" l="1"/>
  <c r="B60" i="3"/>
  <c r="F60" i="3" s="1"/>
  <c r="C59" i="3"/>
  <c r="B59" i="3"/>
  <c r="F59" i="3" s="1"/>
  <c r="C59" i="2"/>
  <c r="B59" i="2"/>
  <c r="F59" i="2" s="1"/>
  <c r="B61" i="1"/>
  <c r="B57" i="1"/>
  <c r="B60" i="1"/>
  <c r="F60" i="1" s="1"/>
  <c r="B56" i="1"/>
  <c r="F56" i="1" s="1"/>
  <c r="B59" i="1"/>
  <c r="C56" i="1"/>
  <c r="B58" i="1"/>
  <c r="C61" i="1"/>
  <c r="C58" i="2"/>
  <c r="B58" i="2"/>
  <c r="F58" i="2" s="1"/>
  <c r="E16" i="3"/>
  <c r="G4" i="3"/>
  <c r="E6" i="3" s="1"/>
  <c r="C60" i="1"/>
  <c r="C59" i="1"/>
  <c r="C57" i="1"/>
  <c r="C58" i="1"/>
  <c r="C58" i="3"/>
  <c r="B58" i="3"/>
  <c r="C57" i="3"/>
  <c r="B56" i="3"/>
  <c r="B57" i="3"/>
  <c r="F57" i="3" s="1"/>
  <c r="C55" i="3"/>
  <c r="C56" i="3"/>
  <c r="B55" i="3"/>
  <c r="B57" i="2"/>
  <c r="C57" i="2"/>
  <c r="B55" i="2"/>
  <c r="B54" i="2"/>
  <c r="B56" i="2"/>
  <c r="C54" i="2"/>
  <c r="C55" i="2"/>
  <c r="F55" i="2" s="1"/>
  <c r="C56" i="2"/>
  <c r="Q35" i="1"/>
  <c r="Q31" i="1"/>
  <c r="Q25" i="1"/>
  <c r="Q21" i="1"/>
  <c r="Q15" i="1"/>
  <c r="Q11" i="1"/>
  <c r="Q5" i="1"/>
  <c r="Q2" i="1"/>
  <c r="R2" i="1" s="1"/>
  <c r="F54" i="2" l="1"/>
  <c r="F57" i="1"/>
  <c r="F61" i="1"/>
  <c r="C8" i="3"/>
  <c r="B8" i="3" s="1"/>
  <c r="F59" i="1"/>
  <c r="F58" i="1"/>
  <c r="F55" i="3"/>
  <c r="F57" i="2"/>
  <c r="F56" i="3"/>
  <c r="F58" i="3"/>
  <c r="F56" i="2"/>
  <c r="R21" i="1"/>
  <c r="R25" i="1"/>
  <c r="R31" i="1"/>
  <c r="R35" i="1"/>
  <c r="R5" i="1"/>
  <c r="R11" i="1"/>
  <c r="R15" i="1"/>
  <c r="O35" i="2" l="1"/>
  <c r="G37" i="2" s="1"/>
  <c r="O26" i="2"/>
  <c r="G28" i="2" s="1"/>
  <c r="O16" i="2"/>
  <c r="G18" i="2" s="1"/>
  <c r="O7" i="2"/>
  <c r="G9" i="2" s="1"/>
  <c r="O37" i="1"/>
  <c r="G39" i="1" s="1"/>
  <c r="O27" i="1"/>
  <c r="G29" i="1" s="1"/>
  <c r="O17" i="1"/>
  <c r="G19" i="1" s="1"/>
  <c r="O7" i="1"/>
  <c r="G9" i="1" s="1"/>
  <c r="O2" i="2" l="1"/>
  <c r="O5" i="2"/>
  <c r="O30" i="2"/>
  <c r="O20" i="2"/>
  <c r="O24" i="2"/>
  <c r="O33" i="2"/>
  <c r="O11" i="2"/>
  <c r="O14" i="2"/>
  <c r="O15" i="1"/>
  <c r="O21" i="1"/>
  <c r="O25" i="1"/>
  <c r="O2" i="1"/>
  <c r="O5" i="1"/>
  <c r="O31" i="1"/>
  <c r="O35" i="1"/>
  <c r="O11" i="1"/>
  <c r="E47" i="5"/>
  <c r="E46" i="5"/>
  <c r="E45" i="5"/>
  <c r="E44" i="5"/>
  <c r="E43" i="5"/>
  <c r="B33" i="5" l="1"/>
  <c r="B34" i="5" s="1"/>
  <c r="B35" i="5" s="1"/>
  <c r="B36" i="5" s="1"/>
  <c r="O36" i="3" l="1"/>
  <c r="G38" i="3" s="1"/>
  <c r="O26" i="3"/>
  <c r="G28" i="3" s="1"/>
  <c r="O17" i="3"/>
  <c r="G19" i="3" s="1"/>
  <c r="O5" i="3" l="1"/>
  <c r="O24" i="3"/>
  <c r="O21" i="3"/>
  <c r="O2" i="3"/>
  <c r="O30" i="3"/>
  <c r="O34" i="3"/>
  <c r="O7" i="3"/>
  <c r="G9" i="3" s="1"/>
  <c r="O13" i="3"/>
  <c r="G15" i="3" s="1"/>
  <c r="E17" i="3" s="1"/>
  <c r="H30" i="3"/>
  <c r="H21" i="3"/>
  <c r="F3" i="2"/>
  <c r="F6" i="2"/>
  <c r="J7" i="2" s="1"/>
  <c r="G36" i="2"/>
  <c r="H33" i="2"/>
  <c r="H30" i="2"/>
  <c r="H21" i="2"/>
  <c r="H11" i="2"/>
  <c r="H22" i="1"/>
  <c r="H11" i="1"/>
  <c r="G24" i="2" l="1"/>
  <c r="G32" i="2"/>
  <c r="G33" i="2"/>
  <c r="G33" i="3"/>
  <c r="E36" i="3" s="1"/>
  <c r="G24" i="3"/>
  <c r="E26" i="3" s="1"/>
  <c r="G5" i="3"/>
  <c r="E7" i="3" s="1"/>
  <c r="C9" i="3" s="1"/>
  <c r="H32" i="1"/>
  <c r="C28" i="3" l="1"/>
  <c r="AC35" i="1"/>
  <c r="AB35" i="1" s="1"/>
  <c r="AC31" i="1"/>
  <c r="AC25" i="1"/>
  <c r="AB25" i="1" s="1"/>
  <c r="AC21" i="1"/>
  <c r="AA21" i="1" s="1"/>
  <c r="AC11" i="1"/>
  <c r="AB11" i="1" s="1"/>
  <c r="AC2" i="1"/>
  <c r="AB2" i="1" s="1"/>
  <c r="AD2" i="2"/>
  <c r="AC2" i="2" s="1"/>
  <c r="AD8" i="2"/>
  <c r="AD14" i="2"/>
  <c r="AC14" i="2" s="1"/>
  <c r="AD17" i="2"/>
  <c r="AC20" i="2" s="1"/>
  <c r="AD27" i="2"/>
  <c r="AC30" i="2" s="1"/>
  <c r="AD33" i="2"/>
  <c r="AB33" i="2" s="1"/>
  <c r="AC21" i="3"/>
  <c r="AB21" i="3" s="1"/>
  <c r="AC2" i="3"/>
  <c r="AB2" i="3" s="1"/>
  <c r="AA11" i="1" l="1"/>
  <c r="AA21" i="3"/>
  <c r="AB11" i="2"/>
  <c r="AC11" i="2"/>
  <c r="AB2" i="2"/>
  <c r="AB30" i="2"/>
  <c r="AC33" i="2"/>
  <c r="AB21" i="1"/>
  <c r="AA25" i="1"/>
  <c r="AA35" i="1"/>
  <c r="AA2" i="3"/>
  <c r="AB20" i="2"/>
  <c r="AB14" i="2"/>
  <c r="F35" i="3" l="1"/>
  <c r="H34" i="3"/>
  <c r="F31" i="3"/>
  <c r="F25" i="3"/>
  <c r="H24" i="3"/>
  <c r="F22" i="3"/>
  <c r="F16" i="3"/>
  <c r="F13" i="3"/>
  <c r="F6" i="3"/>
  <c r="H5" i="3"/>
  <c r="F3" i="3"/>
  <c r="H1" i="3"/>
  <c r="F34" i="2"/>
  <c r="J35" i="2" s="1"/>
  <c r="F31" i="2"/>
  <c r="F25" i="2"/>
  <c r="J26" i="2" s="1"/>
  <c r="H24" i="2"/>
  <c r="F22" i="2"/>
  <c r="J20" i="2" s="1"/>
  <c r="F15" i="2"/>
  <c r="J16" i="2" s="1"/>
  <c r="H14" i="2"/>
  <c r="F12" i="2"/>
  <c r="J11" i="2" s="1"/>
  <c r="H5" i="2"/>
  <c r="J5" i="2" s="1"/>
  <c r="H1" i="2"/>
  <c r="F33" i="1"/>
  <c r="F26" i="1"/>
  <c r="F23" i="1"/>
  <c r="F16" i="1"/>
  <c r="F13" i="1"/>
  <c r="F6" i="1"/>
  <c r="F3" i="1"/>
  <c r="H35" i="1"/>
  <c r="H27" i="1"/>
  <c r="H25" i="1"/>
  <c r="H17" i="1"/>
  <c r="H15" i="1"/>
  <c r="H7" i="1"/>
  <c r="H5" i="1"/>
  <c r="H1" i="1"/>
  <c r="J24" i="2" l="1"/>
  <c r="G23" i="2"/>
  <c r="J14" i="2"/>
  <c r="G13" i="2"/>
  <c r="E15" i="2" s="1"/>
  <c r="G14" i="2"/>
  <c r="E16" i="2" s="1"/>
  <c r="J2" i="2"/>
  <c r="G4" i="2"/>
  <c r="E6" i="2" s="1"/>
  <c r="G5" i="2"/>
  <c r="E7" i="2" s="1"/>
  <c r="J33" i="2"/>
  <c r="J30" i="2"/>
  <c r="G15" i="1"/>
  <c r="E17" i="1" s="1"/>
  <c r="J21" i="1"/>
  <c r="J27" i="1"/>
  <c r="F36" i="1"/>
  <c r="J31" i="1"/>
  <c r="G5" i="1"/>
  <c r="E7" i="1" s="1"/>
  <c r="J17" i="1"/>
  <c r="J25" i="1"/>
  <c r="G25" i="1"/>
  <c r="E27" i="1" s="1"/>
  <c r="J35" i="1"/>
  <c r="G35" i="1"/>
  <c r="E37" i="1" s="1"/>
  <c r="E34" i="2"/>
  <c r="G24" i="1"/>
  <c r="G34" i="1"/>
  <c r="G4" i="1"/>
  <c r="E6" i="1" s="1"/>
  <c r="G14" i="1"/>
  <c r="E16" i="1" s="1"/>
  <c r="E25" i="2"/>
  <c r="C27" i="2" s="1"/>
  <c r="E26" i="2"/>
  <c r="E35" i="2"/>
  <c r="C28" i="2" l="1"/>
  <c r="C9" i="2"/>
  <c r="C8" i="2"/>
  <c r="J38" i="2"/>
  <c r="E36" i="1"/>
  <c r="C28" i="1" s="1"/>
  <c r="C8" i="1"/>
  <c r="B8" i="1" s="1"/>
  <c r="B27" i="2"/>
  <c r="B8" i="2"/>
  <c r="C15" i="2" s="1"/>
  <c r="C29" i="1"/>
  <c r="C9" i="1"/>
  <c r="C19" i="1" l="1"/>
  <c r="C20" i="1" s="1"/>
  <c r="C16" i="2"/>
  <c r="C17" i="2" s="1"/>
</calcChain>
</file>

<file path=xl/comments1.xml><?xml version="1.0" encoding="utf-8"?>
<comments xmlns="http://schemas.openxmlformats.org/spreadsheetml/2006/main">
  <authors>
    <author>Wanitchaya Kittikraisak</author>
  </authors>
  <commentList>
    <comment ref="T21" authorId="0" shapeId="0">
      <text>
        <r>
          <rPr>
            <b/>
            <sz val="9"/>
            <color indexed="81"/>
            <rFont val="Tahoma"/>
            <family val="2"/>
          </rPr>
          <t>Wanitchaya Kittikraisak:</t>
        </r>
        <r>
          <rPr>
            <sz val="9"/>
            <color indexed="81"/>
            <rFont val="Tahoma"/>
            <family val="2"/>
          </rPr>
          <t xml:space="preserve">
Sorry, this was a typo. Needs to change to 870 Baht.</t>
        </r>
      </text>
    </comment>
  </commentList>
</comments>
</file>

<file path=xl/comments2.xml><?xml version="1.0" encoding="utf-8"?>
<comments xmlns="http://schemas.openxmlformats.org/spreadsheetml/2006/main">
  <authors>
    <author>Wanitchaya Kittikraisak</author>
  </authors>
  <commentList>
    <comment ref="T21" authorId="0" shapeId="0">
      <text>
        <r>
          <rPr>
            <b/>
            <sz val="9"/>
            <color indexed="81"/>
            <rFont val="Tahoma"/>
            <family val="2"/>
          </rPr>
          <t>Wanitchaya Kittikraisak:</t>
        </r>
        <r>
          <rPr>
            <sz val="9"/>
            <color indexed="81"/>
            <rFont val="Tahoma"/>
            <family val="2"/>
          </rPr>
          <t xml:space="preserve">
Sorry, this was a typo. Needs to change to 870 Baht.</t>
        </r>
      </text>
    </comment>
  </commentList>
</comments>
</file>

<file path=xl/sharedStrings.xml><?xml version="1.0" encoding="utf-8"?>
<sst xmlns="http://schemas.openxmlformats.org/spreadsheetml/2006/main" count="989" uniqueCount="281">
  <si>
    <t>2012 season</t>
  </si>
  <si>
    <t>Vax</t>
  </si>
  <si>
    <t>No vax</t>
  </si>
  <si>
    <t>Flu</t>
  </si>
  <si>
    <t>No flu</t>
  </si>
  <si>
    <t xml:space="preserve"> </t>
  </si>
  <si>
    <t>OPD</t>
  </si>
  <si>
    <t>IPD</t>
  </si>
  <si>
    <t xml:space="preserve">Children aged 0-36 </t>
  </si>
  <si>
    <t>months in Thailand</t>
  </si>
  <si>
    <t>Terminal node</t>
  </si>
  <si>
    <t>Expencted cost at each node</t>
  </si>
  <si>
    <t>Case at each node</t>
  </si>
  <si>
    <t>2013 season</t>
  </si>
  <si>
    <t>2014 season</t>
  </si>
  <si>
    <t>QALY</t>
  </si>
  <si>
    <t>lower CI</t>
  </si>
  <si>
    <t>upper CI</t>
  </si>
  <si>
    <t>VE=64% (21%, 84%)</t>
  </si>
  <si>
    <t>VE=64% (13%, 85%)</t>
  </si>
  <si>
    <t>VE=24% (-47%, 63%)</t>
  </si>
  <si>
    <t>flu</t>
  </si>
  <si>
    <t>no flu</t>
  </si>
  <si>
    <t>healthy</t>
  </si>
  <si>
    <t>high risk</t>
  </si>
  <si>
    <t>utility weight</t>
  </si>
  <si>
    <t>study</t>
  </si>
  <si>
    <t>Tarride</t>
  </si>
  <si>
    <t>reference</t>
  </si>
  <si>
    <t>Perlroth</t>
  </si>
  <si>
    <t>Lee</t>
  </si>
  <si>
    <t>Canaway</t>
  </si>
  <si>
    <t>flu OPD (mild)</t>
  </si>
  <si>
    <t>flu IPD (severe)</t>
  </si>
  <si>
    <t>adult utility (applied to anyone aged &gt;12 years)</t>
  </si>
  <si>
    <t>borrowed no flu utility from 4</t>
  </si>
  <si>
    <t>baseline utlity for normal weight children by EQ-5D</t>
  </si>
  <si>
    <t xml:space="preserve">baseline utlity for normal weight children by CHU-9D </t>
  </si>
  <si>
    <t>ICER</t>
  </si>
  <si>
    <t>QALY if not vaccinated</t>
  </si>
  <si>
    <t>spill-over cost in this analysis</t>
  </si>
  <si>
    <t>markov model: how to set it up and fold back</t>
  </si>
  <si>
    <t>outcome: case averted vs. ICER</t>
  </si>
  <si>
    <t>project: who should value health: general pop vs. patients, sample size</t>
  </si>
  <si>
    <t>discount rate higher for longer project</t>
  </si>
  <si>
    <t>spill over benefit?</t>
  </si>
  <si>
    <t>present year</t>
  </si>
  <si>
    <t>The idea is that even without infl ation, $ 100 today is worth more</t>
  </si>
  <si>
    <t>to a person or organization than the same $ 100 promised to that person or organization</t>
  </si>
  <si>
    <t>one year from now, and much more than the same $ 100 promised for ten</t>
  </si>
  <si>
    <t>years from now.</t>
  </si>
  <si>
    <t>study year 1</t>
  </si>
  <si>
    <t>study year 2</t>
  </si>
  <si>
    <t>study year 3</t>
  </si>
  <si>
    <t>study year 4</t>
  </si>
  <si>
    <t>our senario</t>
  </si>
  <si>
    <t>do we need 95% CI, especially for the cost per illness in the tree, if so how to get it</t>
  </si>
  <si>
    <t>study year 5 (analysis year)</t>
  </si>
  <si>
    <t>cost per illness</t>
  </si>
  <si>
    <t>cost equivalent in year 5</t>
  </si>
  <si>
    <t>year 1 value</t>
  </si>
  <si>
    <t>year 2 value</t>
  </si>
  <si>
    <t>year 3 value</t>
  </si>
  <si>
    <t>year 4 value</t>
  </si>
  <si>
    <t>discount concept (below)</t>
  </si>
  <si>
    <t>interpretation of green and yellow cells at the decision node</t>
  </si>
  <si>
    <t>QALY at each node</t>
  </si>
  <si>
    <t>interpretation of ICER - cost in Baht per QALY gained?</t>
  </si>
  <si>
    <t>life expectancy and age</t>
  </si>
  <si>
    <t>Xu</t>
  </si>
  <si>
    <t>cost per illness if vaccinated</t>
  </si>
  <si>
    <t>cost per illness if not vaccinated</t>
  </si>
  <si>
    <t>QALY if vaccinated</t>
  </si>
  <si>
    <t>scenario</t>
  </si>
  <si>
    <t>median sick days for healthy children=8 days</t>
  </si>
  <si>
    <t>median sick days for high risk children=8 days</t>
  </si>
  <si>
    <t>median days hospitalized for healthy children=3 days</t>
  </si>
  <si>
    <t>median days hospitalized for high risk children=5 days</t>
  </si>
  <si>
    <t>how to get to cases averted</t>
  </si>
  <si>
    <t>how to get from utility loss to utility weight: QALY loss=disutility multiplied by the duration of the influenza episode in days</t>
  </si>
  <si>
    <t>vac, flu, opd</t>
  </si>
  <si>
    <t>median</t>
  </si>
  <si>
    <t>IQR</t>
  </si>
  <si>
    <t xml:space="preserve">vac, flu, ipd </t>
  </si>
  <si>
    <t>none vac, flu, opd</t>
  </si>
  <si>
    <t>none vac, flu, ipd</t>
  </si>
  <si>
    <t>6-11.5</t>
  </si>
  <si>
    <t>days sick for 2012</t>
  </si>
  <si>
    <t>8-10</t>
  </si>
  <si>
    <t>10-10</t>
  </si>
  <si>
    <t>days sick for 2013</t>
  </si>
  <si>
    <t>6-12</t>
  </si>
  <si>
    <t>7-9</t>
  </si>
  <si>
    <t>9.5-13</t>
  </si>
  <si>
    <t>days sick for 2014</t>
  </si>
  <si>
    <t>6.5-8.5</t>
  </si>
  <si>
    <t>21-21</t>
  </si>
  <si>
    <t>healthy+high-risk children</t>
  </si>
  <si>
    <t>healthy only</t>
  </si>
  <si>
    <t>high-risk only</t>
  </si>
  <si>
    <t>8-11</t>
  </si>
  <si>
    <t>6-9</t>
  </si>
  <si>
    <t>6-11</t>
  </si>
  <si>
    <t>9-16</t>
  </si>
  <si>
    <t>9-10</t>
  </si>
  <si>
    <t>7-10</t>
  </si>
  <si>
    <t>6-6</t>
  </si>
  <si>
    <t>12-12</t>
  </si>
  <si>
    <t>7-7</t>
  </si>
  <si>
    <t>how to discount outcome in this analysis</t>
  </si>
  <si>
    <t>how to get to cost incurred per flu case averted</t>
  </si>
  <si>
    <t>what is the intervention cost in this analysis - vaccine program cost proportional to doses vaccinated to children in PRICE</t>
  </si>
  <si>
    <t>quality weight vs. utlity weight - not the same, but used interchangeably?</t>
  </si>
  <si>
    <t>e.g., the cost of doctor having to spend time vaccinating, then neglect other duties</t>
  </si>
  <si>
    <t>e.g., babies were protected from flu, therefore better development</t>
  </si>
  <si>
    <t>expected cost of illness given a condition e.g., expected illness given that the children are vaccinated, expected illness givent healthy children are vaccinated</t>
  </si>
  <si>
    <t>cost per 1 QALY gained</t>
  </si>
  <si>
    <t>just ditch the QALY and use number of flu cases in the vaccinated and unvaccinated as the denominator</t>
  </si>
  <si>
    <t>spill over cost and benefit have perspective too</t>
  </si>
  <si>
    <t>days sick</t>
  </si>
  <si>
    <t>expected illness cost for vaccinated children</t>
  </si>
  <si>
    <t>expected QALY for vaccinated children</t>
  </si>
  <si>
    <t>fraction of time sick</t>
  </si>
  <si>
    <t>fraction of time not sick</t>
  </si>
  <si>
    <t>Median cost for illness</t>
  </si>
  <si>
    <t>25th PCT</t>
  </si>
  <si>
    <t>75th PCT</t>
  </si>
  <si>
    <t>total cost (illness+vaccine)</t>
  </si>
  <si>
    <t>proportion receiving 1 dose</t>
  </si>
  <si>
    <t>proportion receiving 2 doses</t>
  </si>
  <si>
    <t>vaccine cost/dose</t>
  </si>
  <si>
    <t>number of cases</t>
  </si>
  <si>
    <t>expected QALY for unvaccinated children</t>
  </si>
  <si>
    <t>expected cost per illness for unvaccinated children</t>
  </si>
  <si>
    <t>modelled mean cost for illness</t>
  </si>
  <si>
    <t>cost (USD) per illness if vaccinated</t>
  </si>
  <si>
    <t>cost (USD) per illness if not vaccinated</t>
  </si>
  <si>
    <t>screnario of QALY</t>
  </si>
  <si>
    <t>see below</t>
  </si>
  <si>
    <t>median cost of illness</t>
  </si>
  <si>
    <t>mean cost of illness</t>
  </si>
  <si>
    <t>http://data.worldbank.org/indicator/NY.GDP.PCAP.CD</t>
  </si>
  <si>
    <t>Thailand GDP per capita (2013)=</t>
  </si>
  <si>
    <t>Thailand GDP per capita (2012)=</t>
  </si>
  <si>
    <t>Thailand GDP per capita (2014)=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</si>
  <si>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</si>
  <si>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</si>
  <si>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</si>
  <si>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</si>
  <si>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</si>
  <si>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</si>
  <si>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</si>
  <si>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</si>
  <si>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</si>
  <si>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</si>
  <si>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</si>
  <si>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</si>
  <si>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currency exchange rate 2012</t>
  </si>
  <si>
    <t>http://www.x-rates.com/average/?from=USD&amp;to=THB&amp;amount=1&amp;year=2012</t>
  </si>
  <si>
    <t>average</t>
  </si>
  <si>
    <t>currency exchange rate 2013</t>
  </si>
  <si>
    <t>currency exchange rate 2014</t>
  </si>
  <si>
    <t>infant (&lt;6 months) utility</t>
  </si>
  <si>
    <t>year</t>
  </si>
  <si>
    <t>expected cost (USD) per illness if vaccinated</t>
  </si>
  <si>
    <t>expected cost (USD) per illness if not vaccinated</t>
  </si>
  <si>
    <t>expected QALY if vaccinated</t>
  </si>
  <si>
    <t>expected QALY if not vaccinated</t>
  </si>
  <si>
    <t>flu vaccine effectiveness</t>
  </si>
  <si>
    <t>64% (13%, 85%)</t>
  </si>
  <si>
    <t>64% (21%, 84%)</t>
  </si>
  <si>
    <t>24% (-47%, 63%)</t>
  </si>
  <si>
    <t>GDP per capita (USD)</t>
  </si>
  <si>
    <t>flu OPD</t>
  </si>
  <si>
    <t>flu IPD</t>
  </si>
  <si>
    <t xml:space="preserve">borrowed baseline utility for normal weight children measured using CHU-9D from Canaway study </t>
  </si>
  <si>
    <t>how to take into account vaccination coverage and vaccine effectiveness</t>
  </si>
  <si>
    <t>can we change level of VE or vaccine coverage?</t>
  </si>
  <si>
    <t xml:space="preserve">Cost </t>
  </si>
  <si>
    <t xml:space="preserve">   Vaccinated group</t>
  </si>
  <si>
    <t xml:space="preserve">   Unvaccinated group</t>
  </si>
  <si>
    <t xml:space="preserve">      Healthy children, sick with influenza and treated in outpatient setting</t>
  </si>
  <si>
    <t xml:space="preserve">      Healthy children, sick with influenza and treated in inpatient setting</t>
  </si>
  <si>
    <t xml:space="preserve">      High-risk children, sick with influenza and treated in outpatient setting</t>
  </si>
  <si>
    <t xml:space="preserve">      High-risk children, sick with influenza and treated in inpatient setting</t>
  </si>
  <si>
    <t>*</t>
  </si>
  <si>
    <t>Source</t>
  </si>
  <si>
    <t>PRICE</t>
  </si>
  <si>
    <t xml:space="preserve">   Vaccine price including storage and vaccine distribution</t>
  </si>
  <si>
    <t>National Health Security Office</t>
  </si>
  <si>
    <t>exchange rate</t>
  </si>
  <si>
    <t xml:space="preserve">   Vaccine administration, supervision, and promotional material</t>
  </si>
  <si>
    <t>Influenza vaccine uptake</t>
  </si>
  <si>
    <t>Proportion of children receiving 1 influenza vaccine dose</t>
  </si>
  <si>
    <t>Proportion of children receiving 2 influenza vaccine doses</t>
  </si>
  <si>
    <t>Cost of influenza immunization in US$</t>
  </si>
  <si>
    <t>Influenza vaccine effectiveness</t>
  </si>
  <si>
    <t>Gross domestic product per capita in US$</t>
  </si>
  <si>
    <t xml:space="preserve">Kittikraisak, IRV 2015
Kittikraisak, PIDJ 2016
</t>
  </si>
  <si>
    <t>Currency conversion rate (Thai to US$)</t>
  </si>
  <si>
    <t>World Bank</t>
  </si>
  <si>
    <t>X-rates</t>
  </si>
  <si>
    <t>Direct, indirect, and opportunity cost of an influenza episode in US$</t>
  </si>
  <si>
    <t xml:space="preserve">Probablity </t>
  </si>
  <si>
    <t xml:space="preserve">   Vaccinated healthy children becoming sick with influenza and treated in IPD</t>
  </si>
  <si>
    <t xml:space="preserve">   Vaccinated healthy children becoming sick with influenza and treated in OPD</t>
  </si>
  <si>
    <t xml:space="preserve">   Vaccinated high-risk children becoming sick with influenza and treated in OPD</t>
  </si>
  <si>
    <t xml:space="preserve">   Vaccinated high-risk children becoming sick with influenza and treated in IPD</t>
  </si>
  <si>
    <t xml:space="preserve">   Unvaccinated healthy children becoming sick with influenza and treated in OPD</t>
  </si>
  <si>
    <t xml:space="preserve">   Unvaccinated healthy children becoming sick with influenza and treated in IPD</t>
  </si>
  <si>
    <t xml:space="preserve">   Unvaccinated high-risk children becoming sick with influenza and treated in OPD</t>
  </si>
  <si>
    <t xml:space="preserve">   Unvaccinated high-risk children becoming sick with influenza and treated in IPD</t>
  </si>
  <si>
    <t xml:space="preserve">   Vaccinated heatlhy children not getting sick with influenza</t>
  </si>
  <si>
    <t xml:space="preserve">   Vaccinated high-risk children not getting sick with influenza</t>
  </si>
  <si>
    <t xml:space="preserve">   Unvaccinated healthy children not getting sick with influenza</t>
  </si>
  <si>
    <t xml:space="preserve">   Unvaccinated high-risk children not getting sick with influenza</t>
  </si>
  <si>
    <t>probablity</t>
  </si>
  <si>
    <t>probabablity</t>
  </si>
  <si>
    <t>*no cases</t>
  </si>
  <si>
    <t>IOPD: outpatient department; IPD: inpatient department; PRICE: Pedritic Respiratory Infection Cohort Evaluations</t>
  </si>
  <si>
    <t>costeffectiveness acceptability curve</t>
  </si>
  <si>
    <t>one- vs. two-way sensitity analysis</t>
  </si>
  <si>
    <t>cost effective vs. cost saving</t>
  </si>
  <si>
    <t>Luce 2008</t>
  </si>
  <si>
    <t>children aged 24-59 months, 0.851=medically significant wheezing</t>
  </si>
  <si>
    <t>for longer time horizon, same steps?</t>
  </si>
  <si>
    <t>Bruce 2015</t>
  </si>
  <si>
    <t>adult and child utitlity used interchangeably, referred to published utility, but did not give source</t>
  </si>
  <si>
    <t>Note</t>
  </si>
  <si>
    <t>Lee (mixed up)</t>
  </si>
  <si>
    <t>Perlroth (mixed up)</t>
  </si>
  <si>
    <t>for mild flu, referred to Mauskopf, which then referred again to Bush (Analysis of a tuberculin testing)
program using a health status index. Socioecon Plann Sci
1972; 6: 49-68</t>
  </si>
  <si>
    <t>never</t>
  </si>
  <si>
    <t>previously 2 doses</t>
  </si>
  <si>
    <t>previously 1 dose</t>
  </si>
  <si>
    <t>1 dose, no dose</t>
  </si>
  <si>
    <t>2 doses, 1 dose, never</t>
  </si>
  <si>
    <t>sensitivity 3</t>
  </si>
  <si>
    <t>sensitivity 1</t>
  </si>
  <si>
    <t>base case</t>
  </si>
  <si>
    <t>sensitivity 2</t>
  </si>
  <si>
    <t>sensitivity 4</t>
  </si>
  <si>
    <t>utility weight choice</t>
  </si>
  <si>
    <t>orginal=0.333</t>
  </si>
  <si>
    <t>original=0.4316</t>
  </si>
  <si>
    <t>original=0.4379</t>
  </si>
  <si>
    <t>original=0.4282</t>
  </si>
  <si>
    <t>Incremental cost effectiveness ratio</t>
  </si>
  <si>
    <t>Base case</t>
  </si>
  <si>
    <t xml:space="preserve">Sensitivity 1 </t>
  </si>
  <si>
    <t>Sensitivity 2</t>
  </si>
  <si>
    <t>Sensitivity 3</t>
  </si>
  <si>
    <r>
      <t>Sensitivity 4</t>
    </r>
    <r>
      <rPr>
        <sz val="8"/>
        <color theme="1"/>
        <rFont val="Calibri"/>
        <family val="2"/>
        <scheme val="minor"/>
      </rPr>
      <t> </t>
    </r>
  </si>
  <si>
    <t>Sensitivity 4</t>
  </si>
  <si>
    <t>1 GDP</t>
  </si>
  <si>
    <t>3GDP</t>
  </si>
  <si>
    <t>original=0.4803</t>
  </si>
  <si>
    <t>original=0.4148</t>
  </si>
  <si>
    <t>vaccine price</t>
  </si>
  <si>
    <t>cases if not vaccinated</t>
  </si>
  <si>
    <t>cases if vaccinated</t>
  </si>
  <si>
    <t>cost per 1 case averted</t>
  </si>
  <si>
    <t>case if vaccinated</t>
  </si>
  <si>
    <t>case if not vaccinated</t>
  </si>
  <si>
    <t>original=0.2908497</t>
  </si>
  <si>
    <t>original=0.7091503</t>
  </si>
  <si>
    <t>original=0.3078394</t>
  </si>
  <si>
    <t>original=0.6921606</t>
  </si>
  <si>
    <t>inflation and discounting</t>
  </si>
  <si>
    <t>direct</t>
  </si>
  <si>
    <t>indirect</t>
  </si>
  <si>
    <t>opportunity</t>
  </si>
  <si>
    <t>opp</t>
  </si>
  <si>
    <t>Bruce Lee 2015</t>
  </si>
  <si>
    <t>scenario of QALY</t>
  </si>
  <si>
    <t>ICER does not match with what reported in manuscript due to rounding</t>
  </si>
  <si>
    <t>sensitivity 5</t>
  </si>
  <si>
    <t>average of all included studies</t>
  </si>
  <si>
    <t>total flu</t>
  </si>
  <si>
    <t>P1 skipped work</t>
  </si>
  <si>
    <t>3xGDP=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</si>
</sst>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$&quot;#,##0_);[Red]\(&quot;$&quot;#,##0\)"/>
    <numFmt numFmtId="43" formatCode="_(* #,##0.00_);_(* \(#,##0.00\);_(* &quot;-&quot;??_);_(@_)"/>
    <numFmt numFmtId="164" formatCode="[$฿-41E]#,##0"/>
    <numFmt numFmtId="165" formatCode="0.000"/>
    <numFmt numFmtId="166" formatCode="0.0000"/>
    <numFmt numFmtId="167" formatCode="[$฿-41E]#,##0.00"/>
    <numFmt numFmtId="168" formatCode="&quot;$&quot;#,##0"/>
    <numFmt numFmtId="169" formatCode="0.0"/>
    <numFmt numFmtId="170" formatCode="#,##0.00000"/>
    <numFmt numFmtId="171" formatCode="0.00000"/>
    <numFmt numFmtId="172" formatCode="0.000000"/>
    <numFmt numFmtId="173" formatCode="&quot;$&quot;#,##0.00"/>
    <numFmt numFmtId="174" formatCode="[$USD]\ #,##0.00"/>
  </numFmts>
  <fonts count="1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33333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22222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6" fontId="0" fillId="0" borderId="0" xfId="0" applyNumberFormat="1" applyFont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167" fontId="0" fillId="3" borderId="0" xfId="0" applyNumberFormat="1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0" fillId="4" borderId="0" xfId="0" applyFont="1" applyFill="1" applyAlignment="1">
      <alignment vertical="center"/>
    </xf>
    <xf numFmtId="167" fontId="0" fillId="3" borderId="0" xfId="0" applyNumberFormat="1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0" fillId="7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7" borderId="0" xfId="0" applyFont="1" applyFill="1" applyAlignment="1">
      <alignment vertical="center"/>
    </xf>
    <xf numFmtId="165" fontId="0" fillId="0" borderId="0" xfId="0" applyNumberFormat="1" applyFont="1" applyAlignment="1">
      <alignment horizontal="center" vertical="center"/>
    </xf>
    <xf numFmtId="167" fontId="0" fillId="0" borderId="0" xfId="0" applyNumberFormat="1" applyFont="1" applyAlignment="1">
      <alignment horizontal="center" vertical="center"/>
    </xf>
    <xf numFmtId="0" fontId="0" fillId="7" borderId="0" xfId="0" applyFont="1" applyFill="1" applyAlignment="1">
      <alignment horizontal="center" vertical="center"/>
    </xf>
    <xf numFmtId="167" fontId="0" fillId="7" borderId="0" xfId="0" applyNumberFormat="1" applyFont="1" applyFill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67" fontId="0" fillId="0" borderId="0" xfId="0" applyNumberFormat="1" applyFont="1" applyAlignment="1">
      <alignment vertical="center"/>
    </xf>
    <xf numFmtId="164" fontId="0" fillId="0" borderId="4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8" borderId="0" xfId="0" applyFont="1" applyFill="1" applyAlignment="1">
      <alignment vertical="center"/>
    </xf>
    <xf numFmtId="0" fontId="0" fillId="8" borderId="0" xfId="0" applyFont="1" applyFill="1" applyAlignment="1">
      <alignment horizontal="center" vertical="center"/>
    </xf>
    <xf numFmtId="2" fontId="0" fillId="8" borderId="0" xfId="0" applyNumberFormat="1" applyFont="1" applyFill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4" fontId="0" fillId="6" borderId="0" xfId="0" applyNumberFormat="1" applyFont="1" applyFill="1" applyAlignment="1">
      <alignment vertical="center"/>
    </xf>
    <xf numFmtId="0" fontId="0" fillId="6" borderId="0" xfId="0" applyFont="1" applyFill="1" applyAlignment="1">
      <alignment horizontal="center" vertical="center"/>
    </xf>
    <xf numFmtId="164" fontId="0" fillId="5" borderId="0" xfId="0" applyNumberFormat="1" applyFont="1" applyFill="1" applyAlignment="1">
      <alignment vertical="center"/>
    </xf>
    <xf numFmtId="0" fontId="0" fillId="6" borderId="0" xfId="0" applyFont="1" applyFill="1" applyAlignment="1">
      <alignment vertical="center"/>
    </xf>
    <xf numFmtId="164" fontId="0" fillId="5" borderId="0" xfId="0" applyNumberFormat="1" applyFont="1" applyFill="1" applyBorder="1" applyAlignment="1">
      <alignment vertical="center"/>
    </xf>
    <xf numFmtId="0" fontId="4" fillId="10" borderId="0" xfId="0" applyFont="1" applyFill="1" applyAlignment="1">
      <alignment horizontal="center" vertical="center"/>
    </xf>
    <xf numFmtId="167" fontId="0" fillId="6" borderId="0" xfId="0" applyNumberFormat="1" applyFont="1" applyFill="1" applyAlignment="1">
      <alignment horizontal="center" vertical="center"/>
    </xf>
    <xf numFmtId="167" fontId="0" fillId="6" borderId="0" xfId="0" applyNumberFormat="1" applyFont="1" applyFill="1" applyAlignment="1">
      <alignment vertical="center"/>
    </xf>
    <xf numFmtId="0" fontId="0" fillId="0" borderId="0" xfId="0" applyAlignment="1">
      <alignment horizontal="center"/>
    </xf>
    <xf numFmtId="0" fontId="0" fillId="8" borderId="0" xfId="0" applyFont="1" applyFill="1" applyAlignment="1">
      <alignment horizontal="center" vertical="center"/>
    </xf>
    <xf numFmtId="0" fontId="0" fillId="0" borderId="0" xfId="0" applyAlignment="1">
      <alignment horizontal="center" wrapText="1"/>
    </xf>
    <xf numFmtId="168" fontId="0" fillId="0" borderId="0" xfId="0" applyNumberFormat="1" applyAlignment="1">
      <alignment horizontal="center"/>
    </xf>
    <xf numFmtId="6" fontId="0" fillId="0" borderId="0" xfId="0" applyNumberFormat="1"/>
    <xf numFmtId="0" fontId="4" fillId="9" borderId="0" xfId="0" applyFont="1" applyFill="1" applyAlignment="1">
      <alignment horizontal="center" vertical="center"/>
    </xf>
    <xf numFmtId="0" fontId="0" fillId="8" borderId="0" xfId="0" applyFont="1" applyFill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/>
    </xf>
    <xf numFmtId="16" fontId="0" fillId="0" borderId="5" xfId="0" quotePrefix="1" applyNumberFormat="1" applyFont="1" applyBorder="1" applyAlignment="1">
      <alignment horizontal="center" vertical="center"/>
    </xf>
    <xf numFmtId="0" fontId="0" fillId="0" borderId="5" xfId="0" quotePrefix="1" applyNumberFormat="1" applyFont="1" applyBorder="1" applyAlignment="1">
      <alignment horizontal="center" vertical="center"/>
    </xf>
    <xf numFmtId="0" fontId="0" fillId="0" borderId="7" xfId="0" quotePrefix="1" applyNumberFormat="1" applyFont="1" applyBorder="1" applyAlignment="1">
      <alignment horizontal="center" vertical="center"/>
    </xf>
    <xf numFmtId="0" fontId="0" fillId="0" borderId="5" xfId="0" quotePrefix="1" applyFont="1" applyBorder="1" applyAlignment="1">
      <alignment horizontal="center" vertical="center"/>
    </xf>
    <xf numFmtId="0" fontId="0" fillId="0" borderId="7" xfId="0" quotePrefix="1" applyFont="1" applyBorder="1" applyAlignment="1">
      <alignment horizontal="center" vertical="center"/>
    </xf>
    <xf numFmtId="0" fontId="0" fillId="0" borderId="0" xfId="0" applyNumberFormat="1" applyAlignment="1">
      <alignment vertical="top" wrapText="1"/>
    </xf>
    <xf numFmtId="0" fontId="0" fillId="0" borderId="0" xfId="0" applyNumberFormat="1" applyAlignment="1">
      <alignment horizontal="center" vertical="top" wrapText="1"/>
    </xf>
    <xf numFmtId="0" fontId="0" fillId="0" borderId="0" xfId="1" applyNumberFormat="1" applyFont="1" applyAlignment="1">
      <alignment horizontal="center" vertical="top" wrapText="1"/>
    </xf>
    <xf numFmtId="0" fontId="0" fillId="0" borderId="0" xfId="0" applyNumberForma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168" fontId="0" fillId="0" borderId="0" xfId="0" applyNumberFormat="1" applyAlignment="1">
      <alignment horizontal="center" vertical="top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9" fontId="0" fillId="0" borderId="0" xfId="0" applyNumberFormat="1" applyFont="1" applyAlignment="1">
      <alignment horizontal="center" vertical="center"/>
    </xf>
    <xf numFmtId="165" fontId="0" fillId="4" borderId="0" xfId="0" applyNumberFormat="1" applyFont="1" applyFill="1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0" fillId="11" borderId="8" xfId="0" applyFont="1" applyFill="1" applyBorder="1" applyAlignment="1">
      <alignment horizontal="center" vertical="center"/>
    </xf>
    <xf numFmtId="165" fontId="0" fillId="11" borderId="0" xfId="0" applyNumberFormat="1" applyFont="1" applyFill="1" applyBorder="1" applyAlignment="1">
      <alignment horizontal="center" vertical="center"/>
    </xf>
    <xf numFmtId="169" fontId="0" fillId="11" borderId="0" xfId="0" applyNumberFormat="1" applyFont="1" applyFill="1" applyBorder="1" applyAlignment="1">
      <alignment horizontal="center" vertical="center"/>
    </xf>
    <xf numFmtId="166" fontId="0" fillId="11" borderId="0" xfId="0" applyNumberFormat="1" applyFont="1" applyFill="1" applyBorder="1" applyAlignment="1">
      <alignment horizontal="center" vertical="center"/>
    </xf>
    <xf numFmtId="0" fontId="0" fillId="11" borderId="0" xfId="0" applyFont="1" applyFill="1" applyBorder="1" applyAlignment="1">
      <alignment horizontal="center" vertical="center"/>
    </xf>
    <xf numFmtId="169" fontId="0" fillId="11" borderId="9" xfId="0" applyNumberFormat="1" applyFont="1" applyFill="1" applyBorder="1" applyAlignment="1">
      <alignment horizontal="center" vertical="center"/>
    </xf>
    <xf numFmtId="166" fontId="0" fillId="11" borderId="9" xfId="0" applyNumberFormat="1" applyFont="1" applyFill="1" applyBorder="1" applyAlignment="1">
      <alignment horizontal="center" vertical="center"/>
    </xf>
    <xf numFmtId="0" fontId="0" fillId="11" borderId="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11" borderId="8" xfId="0" applyFont="1" applyFill="1" applyBorder="1" applyAlignment="1">
      <alignment horizontal="center" vertical="center" wrapText="1"/>
    </xf>
    <xf numFmtId="0" fontId="0" fillId="12" borderId="8" xfId="0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center" vertical="center"/>
    </xf>
    <xf numFmtId="0" fontId="0" fillId="12" borderId="9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0" fillId="12" borderId="7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165" fontId="3" fillId="11" borderId="4" xfId="0" applyNumberFormat="1" applyFont="1" applyFill="1" applyBorder="1" applyAlignment="1">
      <alignment horizontal="center" vertical="center"/>
    </xf>
    <xf numFmtId="165" fontId="3" fillId="11" borderId="6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1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65" fontId="0" fillId="8" borderId="0" xfId="0" applyNumberFormat="1" applyFont="1" applyFill="1" applyAlignment="1">
      <alignment horizontal="center" vertical="center"/>
    </xf>
    <xf numFmtId="166" fontId="0" fillId="8" borderId="0" xfId="0" applyNumberFormat="1" applyFont="1" applyFill="1" applyAlignment="1">
      <alignment horizontal="center" vertical="center"/>
    </xf>
    <xf numFmtId="0" fontId="0" fillId="7" borderId="0" xfId="0" applyFont="1" applyFill="1" applyAlignment="1">
      <alignment horizontal="right" vertical="center"/>
    </xf>
    <xf numFmtId="0" fontId="0" fillId="7" borderId="0" xfId="0" applyNumberFormat="1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8" borderId="0" xfId="0" applyFont="1" applyFill="1" applyAlignment="1">
      <alignment vertical="center"/>
    </xf>
    <xf numFmtId="165" fontId="0" fillId="6" borderId="0" xfId="0" applyNumberFormat="1" applyFont="1" applyFill="1" applyAlignment="1">
      <alignment vertical="center"/>
    </xf>
    <xf numFmtId="169" fontId="3" fillId="6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12" borderId="2" xfId="0" applyFont="1" applyFill="1" applyBorder="1" applyAlignment="1">
      <alignment horizontal="center" vertical="center" wrapText="1"/>
    </xf>
    <xf numFmtId="164" fontId="3" fillId="12" borderId="4" xfId="0" applyNumberFormat="1" applyFont="1" applyFill="1" applyBorder="1" applyAlignment="1">
      <alignment horizontal="center" vertical="center"/>
    </xf>
    <xf numFmtId="164" fontId="3" fillId="12" borderId="6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11" borderId="2" xfId="0" applyFont="1" applyFill="1" applyBorder="1" applyAlignment="1">
      <alignment horizontal="center" vertical="center" wrapText="1"/>
    </xf>
    <xf numFmtId="0" fontId="0" fillId="11" borderId="3" xfId="0" applyFont="1" applyFill="1" applyBorder="1" applyAlignment="1">
      <alignment horizontal="center" vertical="center" wrapText="1"/>
    </xf>
    <xf numFmtId="0" fontId="0" fillId="11" borderId="5" xfId="0" applyFont="1" applyFill="1" applyBorder="1" applyAlignment="1">
      <alignment horizontal="center" vertical="center"/>
    </xf>
    <xf numFmtId="164" fontId="0" fillId="0" borderId="0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 wrapText="1"/>
    </xf>
    <xf numFmtId="3" fontId="8" fillId="0" borderId="0" xfId="0" applyNumberFormat="1" applyFont="1" applyAlignment="1">
      <alignment horizontal="center" vertical="center"/>
    </xf>
    <xf numFmtId="0" fontId="3" fillId="11" borderId="6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0" fillId="11" borderId="7" xfId="0" applyFont="1" applyFill="1" applyBorder="1" applyAlignment="1">
      <alignment horizontal="center" vertical="center"/>
    </xf>
    <xf numFmtId="0" fontId="3" fillId="12" borderId="6" xfId="0" applyFont="1" applyFill="1" applyBorder="1" applyAlignment="1">
      <alignment horizontal="center" vertical="center"/>
    </xf>
    <xf numFmtId="165" fontId="0" fillId="6" borderId="0" xfId="0" applyNumberFormat="1" applyFont="1" applyFill="1" applyBorder="1" applyAlignment="1">
      <alignment vertical="center"/>
    </xf>
    <xf numFmtId="2" fontId="0" fillId="7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5" fontId="0" fillId="7" borderId="0" xfId="0" applyNumberFormat="1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0" fillId="12" borderId="4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4" xfId="0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2" fontId="0" fillId="0" borderId="5" xfId="0" applyNumberFormat="1" applyFill="1" applyBorder="1" applyAlignment="1">
      <alignment horizontal="center" vertical="top"/>
    </xf>
    <xf numFmtId="2" fontId="0" fillId="0" borderId="4" xfId="0" applyNumberFormat="1" applyFill="1" applyBorder="1" applyAlignment="1">
      <alignment horizontal="center" vertical="top"/>
    </xf>
    <xf numFmtId="2" fontId="0" fillId="0" borderId="0" xfId="0" applyNumberFormat="1" applyFill="1" applyBorder="1" applyAlignment="1">
      <alignment horizontal="center" vertical="top"/>
    </xf>
    <xf numFmtId="165" fontId="0" fillId="0" borderId="4" xfId="0" applyNumberFormat="1" applyFill="1" applyBorder="1" applyAlignment="1">
      <alignment horizontal="center" vertical="top"/>
    </xf>
    <xf numFmtId="165" fontId="0" fillId="0" borderId="0" xfId="0" applyNumberFormat="1" applyFill="1" applyBorder="1" applyAlignment="1">
      <alignment horizontal="center" vertical="top"/>
    </xf>
    <xf numFmtId="165" fontId="0" fillId="0" borderId="5" xfId="0" applyNumberFormat="1" applyFill="1" applyBorder="1" applyAlignment="1">
      <alignment horizontal="center" vertical="top"/>
    </xf>
    <xf numFmtId="1" fontId="3" fillId="0" borderId="4" xfId="0" applyNumberFormat="1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center" vertical="top"/>
    </xf>
    <xf numFmtId="1" fontId="3" fillId="0" borderId="5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/>
    </xf>
    <xf numFmtId="0" fontId="0" fillId="7" borderId="0" xfId="0" applyFont="1" applyFill="1" applyBorder="1" applyAlignment="1">
      <alignment horizontal="center" vertical="center" wrapText="1"/>
    </xf>
    <xf numFmtId="0" fontId="0" fillId="7" borderId="4" xfId="0" applyFont="1" applyFill="1" applyBorder="1" applyAlignment="1">
      <alignment horizontal="center" vertical="center"/>
    </xf>
    <xf numFmtId="0" fontId="0" fillId="7" borderId="5" xfId="0" applyFont="1" applyFill="1" applyBorder="1" applyAlignment="1">
      <alignment horizontal="center" vertical="center" wrapText="1"/>
    </xf>
    <xf numFmtId="0" fontId="0" fillId="7" borderId="11" xfId="0" applyFont="1" applyFill="1" applyBorder="1" applyAlignment="1">
      <alignment horizontal="center" vertical="top"/>
    </xf>
    <xf numFmtId="0" fontId="0" fillId="7" borderId="4" xfId="0" applyFont="1" applyFill="1" applyBorder="1" applyAlignment="1">
      <alignment horizontal="center" vertical="top"/>
    </xf>
    <xf numFmtId="0" fontId="0" fillId="7" borderId="0" xfId="0" applyFont="1" applyFill="1" applyBorder="1" applyAlignment="1">
      <alignment horizontal="center" vertical="top"/>
    </xf>
    <xf numFmtId="0" fontId="0" fillId="7" borderId="5" xfId="0" applyFont="1" applyFill="1" applyBorder="1" applyAlignment="1">
      <alignment horizontal="center" vertical="top"/>
    </xf>
    <xf numFmtId="2" fontId="0" fillId="7" borderId="5" xfId="0" applyNumberFormat="1" applyFont="1" applyFill="1" applyBorder="1" applyAlignment="1">
      <alignment horizontal="center" vertical="top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6" fillId="0" borderId="0" xfId="0" applyNumberFormat="1" applyFont="1" applyAlignment="1">
      <alignment vertical="top"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Fill="1" applyBorder="1"/>
    <xf numFmtId="9" fontId="10" fillId="0" borderId="0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3" fontId="12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0" fillId="3" borderId="0" xfId="0" applyNumberFormat="1" applyFont="1" applyFill="1" applyAlignment="1">
      <alignment horizontal="center" vertical="center"/>
    </xf>
    <xf numFmtId="165" fontId="3" fillId="8" borderId="0" xfId="0" applyNumberFormat="1" applyFont="1" applyFill="1" applyAlignment="1">
      <alignment horizontal="center" vertical="center"/>
    </xf>
    <xf numFmtId="0" fontId="10" fillId="0" borderId="0" xfId="0" applyFont="1" applyAlignment="1">
      <alignment vertical="top" wrapText="1"/>
    </xf>
    <xf numFmtId="165" fontId="10" fillId="0" borderId="0" xfId="0" applyNumberFormat="1" applyFont="1" applyBorder="1" applyAlignment="1">
      <alignment horizontal="center" vertical="center" wrapText="1"/>
    </xf>
    <xf numFmtId="165" fontId="0" fillId="2" borderId="0" xfId="0" applyNumberFormat="1" applyFont="1" applyFill="1" applyAlignment="1">
      <alignment horizontal="center" vertical="center"/>
    </xf>
    <xf numFmtId="165" fontId="10" fillId="0" borderId="0" xfId="0" applyNumberFormat="1" applyFont="1" applyAlignment="1">
      <alignment horizontal="center"/>
    </xf>
    <xf numFmtId="0" fontId="0" fillId="0" borderId="0" xfId="0" applyFill="1" applyBorder="1" applyAlignment="1">
      <alignment horizontal="center" vertical="top" wrapText="1"/>
    </xf>
    <xf numFmtId="0" fontId="6" fillId="8" borderId="0" xfId="0" applyFont="1" applyFill="1" applyAlignment="1">
      <alignment horizontal="center" vertical="center"/>
    </xf>
    <xf numFmtId="0" fontId="6" fillId="8" borderId="0" xfId="0" applyFont="1" applyFill="1" applyAlignment="1">
      <alignment vertical="center"/>
    </xf>
    <xf numFmtId="0" fontId="13" fillId="8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6" fillId="8" borderId="0" xfId="0" applyNumberFormat="1" applyFont="1" applyFill="1" applyAlignment="1">
      <alignment horizontal="center" vertical="center"/>
    </xf>
    <xf numFmtId="165" fontId="6" fillId="8" borderId="0" xfId="0" applyNumberFormat="1" applyFont="1" applyFill="1" applyAlignment="1">
      <alignment horizontal="center" vertical="center"/>
    </xf>
    <xf numFmtId="169" fontId="13" fillId="6" borderId="0" xfId="0" applyNumberFormat="1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0" fillId="0" borderId="12" xfId="0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0" fontId="0" fillId="0" borderId="4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 vertical="top"/>
    </xf>
    <xf numFmtId="0" fontId="0" fillId="0" borderId="5" xfId="0" applyFont="1" applyFill="1" applyBorder="1" applyAlignment="1">
      <alignment horizontal="center" vertical="top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7" borderId="11" xfId="0" applyFill="1" applyBorder="1" applyAlignment="1">
      <alignment horizontal="center" vertical="top"/>
    </xf>
    <xf numFmtId="0" fontId="0" fillId="7" borderId="11" xfId="0" applyFont="1" applyFill="1" applyBorder="1" applyAlignment="1">
      <alignment horizontal="center" vertical="top" wrapText="1"/>
    </xf>
    <xf numFmtId="0" fontId="0" fillId="0" borderId="1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left" vertical="top"/>
    </xf>
    <xf numFmtId="0" fontId="0" fillId="0" borderId="4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/>
    </xf>
    <xf numFmtId="0" fontId="14" fillId="8" borderId="0" xfId="0" applyFont="1" applyFill="1" applyAlignment="1">
      <alignment horizontal="center" vertical="center"/>
    </xf>
    <xf numFmtId="2" fontId="14" fillId="8" borderId="0" xfId="0" applyNumberFormat="1" applyFont="1" applyFill="1" applyAlignment="1">
      <alignment horizontal="center" vertical="center"/>
    </xf>
    <xf numFmtId="0" fontId="14" fillId="8" borderId="0" xfId="0" applyFont="1" applyFill="1" applyAlignment="1">
      <alignment vertical="center"/>
    </xf>
    <xf numFmtId="166" fontId="0" fillId="6" borderId="0" xfId="0" applyNumberFormat="1" applyFont="1" applyFill="1" applyAlignment="1">
      <alignment horizontal="center" vertical="center"/>
    </xf>
    <xf numFmtId="0" fontId="0" fillId="8" borderId="0" xfId="0" applyFont="1" applyFill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70" fontId="0" fillId="6" borderId="0" xfId="0" applyNumberFormat="1" applyFont="1" applyFill="1" applyAlignment="1">
      <alignment horizontal="center" vertical="center"/>
    </xf>
    <xf numFmtId="171" fontId="0" fillId="6" borderId="0" xfId="0" applyNumberFormat="1" applyFont="1" applyFill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3" fontId="10" fillId="0" borderId="7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166" fontId="14" fillId="8" borderId="0" xfId="0" applyNumberFormat="1" applyFont="1" applyFill="1" applyAlignment="1">
      <alignment horizontal="center" vertical="center"/>
    </xf>
    <xf numFmtId="165" fontId="14" fillId="8" borderId="0" xfId="0" applyNumberFormat="1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16" fillId="8" borderId="0" xfId="0" applyFont="1" applyFill="1" applyAlignment="1">
      <alignment horizontal="center" vertical="center"/>
    </xf>
    <xf numFmtId="166" fontId="16" fillId="8" borderId="0" xfId="0" applyNumberFormat="1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169" fontId="14" fillId="6" borderId="0" xfId="0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5" fontId="0" fillId="4" borderId="0" xfId="0" applyNumberFormat="1" applyFont="1" applyFill="1" applyAlignment="1">
      <alignment horizontal="center" vertical="center"/>
    </xf>
    <xf numFmtId="2" fontId="0" fillId="6" borderId="0" xfId="0" applyNumberFormat="1" applyFont="1" applyFill="1" applyAlignment="1">
      <alignment horizontal="center" vertical="center"/>
    </xf>
    <xf numFmtId="4" fontId="0" fillId="6" borderId="0" xfId="0" applyNumberFormat="1" applyFont="1" applyFill="1" applyAlignment="1">
      <alignment horizontal="center" vertical="center"/>
    </xf>
    <xf numFmtId="173" fontId="0" fillId="0" borderId="0" xfId="0" applyNumberFormat="1" applyFont="1" applyAlignment="1">
      <alignment vertical="center"/>
    </xf>
    <xf numFmtId="172" fontId="0" fillId="0" borderId="0" xfId="0" applyNumberFormat="1" applyFont="1" applyAlignment="1">
      <alignment horizontal="center" vertical="center"/>
    </xf>
    <xf numFmtId="4" fontId="0" fillId="0" borderId="0" xfId="0" applyNumberFormat="1" applyFont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0" fontId="6" fillId="12" borderId="0" xfId="0" applyFont="1" applyFill="1" applyBorder="1" applyAlignment="1">
      <alignment horizontal="center" vertical="center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0" fillId="0" borderId="9" xfId="0" applyNumberFormat="1" applyFont="1" applyBorder="1" applyAlignment="1">
      <alignment horizontal="center" vertical="center"/>
    </xf>
    <xf numFmtId="166" fontId="0" fillId="4" borderId="0" xfId="0" applyNumberFormat="1" applyFont="1" applyFill="1" applyAlignment="1">
      <alignment horizontal="center" vertical="center"/>
    </xf>
    <xf numFmtId="170" fontId="0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174" fontId="0" fillId="0" borderId="0" xfId="0" applyNumberFormat="1" applyFont="1" applyAlignment="1">
      <alignment vertical="center"/>
    </xf>
    <xf numFmtId="0" fontId="0" fillId="8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Border="1" applyAlignment="1">
      <alignment horizontal="center" vertical="center" wrapText="1"/>
    </xf>
    <xf numFmtId="165" fontId="18" fillId="0" borderId="0" xfId="0" applyNumberFormat="1" applyFont="1" applyAlignment="1">
      <alignment horizont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/>
    <xf numFmtId="0" fontId="18" fillId="0" borderId="0" xfId="0" applyFont="1"/>
    <xf numFmtId="2" fontId="13" fillId="8" borderId="0" xfId="0" applyNumberFormat="1" applyFont="1" applyFill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 vertical="top"/>
    </xf>
    <xf numFmtId="1" fontId="3" fillId="6" borderId="0" xfId="0" applyNumberFormat="1" applyFont="1" applyFill="1" applyAlignment="1">
      <alignment horizontal="center" vertical="center"/>
    </xf>
    <xf numFmtId="1" fontId="13" fillId="6" borderId="0" xfId="0" applyNumberFormat="1" applyFont="1" applyFill="1" applyAlignment="1">
      <alignment horizontal="center" vertical="center"/>
    </xf>
    <xf numFmtId="166" fontId="0" fillId="0" borderId="4" xfId="0" applyNumberFormat="1" applyFont="1" applyFill="1" applyBorder="1" applyAlignment="1">
      <alignment horizontal="center" vertical="top"/>
    </xf>
    <xf numFmtId="166" fontId="0" fillId="0" borderId="0" xfId="0" applyNumberFormat="1" applyFill="1" applyBorder="1" applyAlignment="1">
      <alignment horizontal="center" vertical="top"/>
    </xf>
    <xf numFmtId="0" fontId="0" fillId="8" borderId="0" xfId="0" applyFont="1" applyFill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top"/>
    </xf>
    <xf numFmtId="0" fontId="0" fillId="0" borderId="8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horizontal="center" vertical="top"/>
    </xf>
    <xf numFmtId="3" fontId="7" fillId="0" borderId="4" xfId="0" applyNumberFormat="1" applyFont="1" applyBorder="1" applyAlignment="1">
      <alignment horizontal="center" vertical="top"/>
    </xf>
    <xf numFmtId="3" fontId="7" fillId="0" borderId="0" xfId="0" applyNumberFormat="1" applyFont="1" applyBorder="1" applyAlignment="1">
      <alignment horizontal="center" vertical="top"/>
    </xf>
    <xf numFmtId="3" fontId="7" fillId="0" borderId="5" xfId="0" applyNumberFormat="1" applyFont="1" applyBorder="1" applyAlignment="1">
      <alignment horizontal="center" vertical="top"/>
    </xf>
    <xf numFmtId="37" fontId="0" fillId="0" borderId="4" xfId="1" applyNumberFormat="1" applyFont="1" applyFill="1" applyBorder="1" applyAlignment="1">
      <alignment horizontal="center" vertical="top"/>
    </xf>
    <xf numFmtId="37" fontId="0" fillId="0" borderId="0" xfId="1" applyNumberFormat="1" applyFont="1" applyFill="1" applyBorder="1" applyAlignment="1">
      <alignment horizontal="center" vertical="top"/>
    </xf>
    <xf numFmtId="37" fontId="0" fillId="0" borderId="5" xfId="1" applyNumberFormat="1" applyFont="1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165" fontId="0" fillId="0" borderId="4" xfId="0" applyNumberFormat="1" applyFont="1" applyFill="1" applyBorder="1" applyAlignment="1">
      <alignment horizontal="left" vertical="center" wrapText="1"/>
    </xf>
    <xf numFmtId="165" fontId="0" fillId="0" borderId="5" xfId="0" applyNumberFormat="1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7" borderId="2" xfId="0" applyFill="1" applyBorder="1" applyAlignment="1">
      <alignment horizontal="center" vertical="top"/>
    </xf>
    <xf numFmtId="0" fontId="0" fillId="7" borderId="8" xfId="0" applyFill="1" applyBorder="1" applyAlignment="1">
      <alignment horizontal="center" vertical="top"/>
    </xf>
    <xf numFmtId="0" fontId="0" fillId="7" borderId="3" xfId="0" applyFill="1" applyBorder="1" applyAlignment="1">
      <alignment horizontal="center" vertical="top"/>
    </xf>
    <xf numFmtId="0" fontId="0" fillId="7" borderId="4" xfId="0" applyFill="1" applyBorder="1" applyAlignment="1">
      <alignment horizontal="center" vertical="top"/>
    </xf>
    <xf numFmtId="0" fontId="0" fillId="7" borderId="0" xfId="0" applyFill="1" applyBorder="1" applyAlignment="1">
      <alignment horizontal="center" vertical="top"/>
    </xf>
    <xf numFmtId="0" fontId="0" fillId="7" borderId="5" xfId="0" applyFill="1" applyBorder="1" applyAlignment="1">
      <alignment horizontal="center" vertical="top"/>
    </xf>
    <xf numFmtId="0" fontId="0" fillId="7" borderId="10" xfId="0" applyFill="1" applyBorder="1" applyAlignment="1">
      <alignment horizontal="center" vertical="top"/>
    </xf>
    <xf numFmtId="0" fontId="0" fillId="7" borderId="11" xfId="0" applyFill="1" applyBorder="1" applyAlignment="1">
      <alignment horizontal="center" vertical="top"/>
    </xf>
    <xf numFmtId="0" fontId="0" fillId="7" borderId="2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vertical="top" wrapText="1"/>
    </xf>
    <xf numFmtId="0" fontId="0" fillId="7" borderId="0" xfId="0" applyFont="1" applyFill="1" applyBorder="1" applyAlignment="1">
      <alignment vertical="top" wrapText="1"/>
    </xf>
    <xf numFmtId="0" fontId="0" fillId="7" borderId="5" xfId="0" applyFont="1" applyFill="1" applyBorder="1" applyAlignment="1">
      <alignment vertical="top" wrapText="1"/>
    </xf>
    <xf numFmtId="0" fontId="0" fillId="7" borderId="4" xfId="0" applyFill="1" applyBorder="1" applyAlignment="1">
      <alignment vertical="top" wrapText="1"/>
    </xf>
    <xf numFmtId="0" fontId="0" fillId="7" borderId="0" xfId="0" applyFill="1" applyBorder="1" applyAlignment="1">
      <alignment vertical="top" wrapText="1"/>
    </xf>
    <xf numFmtId="0" fontId="0" fillId="7" borderId="5" xfId="0" applyFill="1" applyBorder="1" applyAlignment="1">
      <alignment vertical="top" wrapText="1"/>
    </xf>
    <xf numFmtId="1" fontId="0" fillId="0" borderId="4" xfId="0" applyNumberFormat="1" applyFill="1" applyBorder="1" applyAlignment="1">
      <alignment horizontal="center" vertical="top"/>
    </xf>
    <xf numFmtId="1" fontId="0" fillId="0" borderId="0" xfId="0" applyNumberFormat="1" applyFill="1" applyBorder="1" applyAlignment="1">
      <alignment horizontal="center" vertical="top"/>
    </xf>
    <xf numFmtId="1" fontId="0" fillId="0" borderId="5" xfId="0" applyNumberFormat="1" applyFill="1" applyBorder="1" applyAlignment="1">
      <alignment horizontal="center" vertical="top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169" fontId="3" fillId="0" borderId="4" xfId="0" applyNumberFormat="1" applyFont="1" applyFill="1" applyBorder="1" applyAlignment="1">
      <alignment horizontal="left" vertical="center" wrapText="1"/>
    </xf>
    <xf numFmtId="169" fontId="3" fillId="0" borderId="5" xfId="0" applyNumberFormat="1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166" fontId="0" fillId="0" borderId="4" xfId="0" applyNumberFormat="1" applyFont="1" applyFill="1" applyBorder="1" applyAlignment="1">
      <alignment horizontal="left" vertical="center" wrapText="1"/>
    </xf>
    <xf numFmtId="166" fontId="0" fillId="0" borderId="5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11" fillId="0" borderId="10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Incremental cost effectiveness ratio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Sheet1!$A$3:$B$17</c:f>
              <c:multiLvlStrCache>
                <c:ptCount val="15"/>
                <c:lvl>
                  <c:pt idx="0">
                    <c:v>Base case</c:v>
                  </c:pt>
                  <c:pt idx="1">
                    <c:v>Sensitivity 1 </c:v>
                  </c:pt>
                  <c:pt idx="2">
                    <c:v>Sensitivity 2</c:v>
                  </c:pt>
                  <c:pt idx="3">
                    <c:v>Sensitivity 3</c:v>
                  </c:pt>
                  <c:pt idx="4">
                    <c:v>Sensitivity 4 </c:v>
                  </c:pt>
                  <c:pt idx="5">
                    <c:v>Base case</c:v>
                  </c:pt>
                  <c:pt idx="6">
                    <c:v>Sensitivity 1 </c:v>
                  </c:pt>
                  <c:pt idx="7">
                    <c:v>Sensitivity 2</c:v>
                  </c:pt>
                  <c:pt idx="8">
                    <c:v>Sensitivity 3</c:v>
                  </c:pt>
                  <c:pt idx="9">
                    <c:v>Sensitivity 4</c:v>
                  </c:pt>
                  <c:pt idx="10">
                    <c:v>Base case</c:v>
                  </c:pt>
                  <c:pt idx="11">
                    <c:v>Sensitivity 1 </c:v>
                  </c:pt>
                  <c:pt idx="12">
                    <c:v>Sensitivity 2</c:v>
                  </c:pt>
                  <c:pt idx="13">
                    <c:v>Sensitivity 3</c:v>
                  </c:pt>
                  <c:pt idx="14">
                    <c:v>Sensitivity 4</c:v>
                  </c:pt>
                </c:lvl>
                <c:lvl>
                  <c:pt idx="0">
                    <c:v>2012</c:v>
                  </c:pt>
                  <c:pt idx="5">
                    <c:v>2013</c:v>
                  </c:pt>
                  <c:pt idx="10">
                    <c:v>2014</c:v>
                  </c:pt>
                </c:lvl>
              </c:multiLvlStrCache>
            </c:multiLvlStrRef>
          </c:cat>
          <c:val>
            <c:numRef>
              <c:f>Sheet1!$C$3:$C$17</c:f>
              <c:numCache>
                <c:formatCode>#,##0</c:formatCode>
                <c:ptCount val="15"/>
                <c:pt idx="0">
                  <c:v>23900</c:v>
                </c:pt>
                <c:pt idx="1">
                  <c:v>11950</c:v>
                </c:pt>
                <c:pt idx="2">
                  <c:v>11950</c:v>
                </c:pt>
                <c:pt idx="3">
                  <c:v>11950</c:v>
                </c:pt>
                <c:pt idx="4">
                  <c:v>23900</c:v>
                </c:pt>
                <c:pt idx="5" formatCode="General">
                  <c:v>554</c:v>
                </c:pt>
                <c:pt idx="6" formatCode="General">
                  <c:v>480</c:v>
                </c:pt>
                <c:pt idx="7" formatCode="General">
                  <c:v>514</c:v>
                </c:pt>
                <c:pt idx="8" formatCode="General">
                  <c:v>514</c:v>
                </c:pt>
                <c:pt idx="9" formatCode="General">
                  <c:v>554</c:v>
                </c:pt>
                <c:pt idx="10">
                  <c:v>16200</c:v>
                </c:pt>
                <c:pt idx="11">
                  <c:v>20250</c:v>
                </c:pt>
                <c:pt idx="12">
                  <c:v>16200</c:v>
                </c:pt>
                <c:pt idx="13">
                  <c:v>18000</c:v>
                </c:pt>
                <c:pt idx="14">
                  <c:v>16200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7064704"/>
        <c:axId val="197065096"/>
      </c:barChart>
      <c:catAx>
        <c:axId val="197064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65096"/>
        <c:crosses val="autoZero"/>
        <c:auto val="1"/>
        <c:lblAlgn val="ctr"/>
        <c:lblOffset val="100"/>
        <c:noMultiLvlLbl val="0"/>
      </c:catAx>
      <c:valAx>
        <c:axId val="197065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64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6</xdr:row>
      <xdr:rowOff>133350</xdr:rowOff>
    </xdr:from>
    <xdr:to>
      <xdr:col>2</xdr:col>
      <xdr:colOff>0</xdr:colOff>
      <xdr:row>20</xdr:row>
      <xdr:rowOff>200026</xdr:rowOff>
    </xdr:to>
    <xdr:cxnSp macro="">
      <xdr:nvCxnSpPr>
        <xdr:cNvPr id="3" name="Straight Arrow Connector 2"/>
        <xdr:cNvCxnSpPr/>
      </xdr:nvCxnSpPr>
      <xdr:spPr>
        <a:xfrm flipV="1">
          <a:off x="1133475" y="619125"/>
          <a:ext cx="590550" cy="1038226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20</xdr:row>
      <xdr:rowOff>190501</xdr:rowOff>
    </xdr:from>
    <xdr:to>
      <xdr:col>2</xdr:col>
      <xdr:colOff>9525</xdr:colOff>
      <xdr:row>26</xdr:row>
      <xdr:rowOff>123825</xdr:rowOff>
    </xdr:to>
    <xdr:cxnSp macro="">
      <xdr:nvCxnSpPr>
        <xdr:cNvPr id="4" name="Straight Arrow Connector 3"/>
        <xdr:cNvCxnSpPr/>
      </xdr:nvCxnSpPr>
      <xdr:spPr>
        <a:xfrm>
          <a:off x="1133475" y="1647826"/>
          <a:ext cx="600075" cy="904874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4</xdr:row>
      <xdr:rowOff>47625</xdr:rowOff>
    </xdr:from>
    <xdr:to>
      <xdr:col>4</xdr:col>
      <xdr:colOff>38100</xdr:colOff>
      <xdr:row>6</xdr:row>
      <xdr:rowOff>95252</xdr:rowOff>
    </xdr:to>
    <xdr:cxnSp macro="">
      <xdr:nvCxnSpPr>
        <xdr:cNvPr id="8" name="Straight Arrow Connector 7"/>
        <xdr:cNvCxnSpPr/>
      </xdr:nvCxnSpPr>
      <xdr:spPr>
        <a:xfrm flipV="1">
          <a:off x="2171700" y="209550"/>
          <a:ext cx="409575" cy="371477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6</xdr:row>
      <xdr:rowOff>102872</xdr:rowOff>
    </xdr:from>
    <xdr:to>
      <xdr:col>4</xdr:col>
      <xdr:colOff>19050</xdr:colOff>
      <xdr:row>14</xdr:row>
      <xdr:rowOff>102870</xdr:rowOff>
    </xdr:to>
    <xdr:cxnSp macro="">
      <xdr:nvCxnSpPr>
        <xdr:cNvPr id="9" name="Straight Arrow Connector 8"/>
        <xdr:cNvCxnSpPr/>
      </xdr:nvCxnSpPr>
      <xdr:spPr>
        <a:xfrm>
          <a:off x="2600325" y="1131572"/>
          <a:ext cx="1213485" cy="101345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24</xdr:row>
      <xdr:rowOff>62865</xdr:rowOff>
    </xdr:from>
    <xdr:to>
      <xdr:col>4</xdr:col>
      <xdr:colOff>38100</xdr:colOff>
      <xdr:row>26</xdr:row>
      <xdr:rowOff>110492</xdr:rowOff>
    </xdr:to>
    <xdr:cxnSp macro="">
      <xdr:nvCxnSpPr>
        <xdr:cNvPr id="20" name="Straight Arrow Connector 19"/>
        <xdr:cNvCxnSpPr/>
      </xdr:nvCxnSpPr>
      <xdr:spPr>
        <a:xfrm flipV="1">
          <a:off x="2600325" y="3507105"/>
          <a:ext cx="1232535" cy="390527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26</xdr:row>
      <xdr:rowOff>95252</xdr:rowOff>
    </xdr:from>
    <xdr:to>
      <xdr:col>4</xdr:col>
      <xdr:colOff>9525</xdr:colOff>
      <xdr:row>34</xdr:row>
      <xdr:rowOff>76200</xdr:rowOff>
    </xdr:to>
    <xdr:cxnSp macro="">
      <xdr:nvCxnSpPr>
        <xdr:cNvPr id="21" name="Straight Arrow Connector 20"/>
        <xdr:cNvCxnSpPr/>
      </xdr:nvCxnSpPr>
      <xdr:spPr>
        <a:xfrm>
          <a:off x="2228850" y="3171827"/>
          <a:ext cx="676275" cy="62864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</xdr:row>
      <xdr:rowOff>85725</xdr:rowOff>
    </xdr:from>
    <xdr:to>
      <xdr:col>6</xdr:col>
      <xdr:colOff>9525</xdr:colOff>
      <xdr:row>4</xdr:row>
      <xdr:rowOff>95253</xdr:rowOff>
    </xdr:to>
    <xdr:cxnSp macro="">
      <xdr:nvCxnSpPr>
        <xdr:cNvPr id="22" name="Straight Arrow Connector 21"/>
        <xdr:cNvCxnSpPr/>
      </xdr:nvCxnSpPr>
      <xdr:spPr>
        <a:xfrm flipV="1">
          <a:off x="3343275" y="409575"/>
          <a:ext cx="714375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4</xdr:row>
      <xdr:rowOff>104778</xdr:rowOff>
    </xdr:from>
    <xdr:to>
      <xdr:col>6</xdr:col>
      <xdr:colOff>38100</xdr:colOff>
      <xdr:row>6</xdr:row>
      <xdr:rowOff>104775</xdr:rowOff>
    </xdr:to>
    <xdr:cxnSp macro="">
      <xdr:nvCxnSpPr>
        <xdr:cNvPr id="23" name="Straight Arrow Connector 22"/>
        <xdr:cNvCxnSpPr/>
      </xdr:nvCxnSpPr>
      <xdr:spPr>
        <a:xfrm>
          <a:off x="3343275" y="752478"/>
          <a:ext cx="647700" cy="323847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95253</xdr:rowOff>
    </xdr:from>
    <xdr:to>
      <xdr:col>8</xdr:col>
      <xdr:colOff>38100</xdr:colOff>
      <xdr:row>4</xdr:row>
      <xdr:rowOff>123825</xdr:rowOff>
    </xdr:to>
    <xdr:cxnSp macro="">
      <xdr:nvCxnSpPr>
        <xdr:cNvPr id="27" name="Straight Arrow Connector 26"/>
        <xdr:cNvCxnSpPr/>
      </xdr:nvCxnSpPr>
      <xdr:spPr>
        <a:xfrm>
          <a:off x="4191000" y="419103"/>
          <a:ext cx="695325" cy="3524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</xdr:row>
      <xdr:rowOff>95250</xdr:rowOff>
    </xdr:from>
    <xdr:to>
      <xdr:col>8</xdr:col>
      <xdr:colOff>9525</xdr:colOff>
      <xdr:row>2</xdr:row>
      <xdr:rowOff>85728</xdr:rowOff>
    </xdr:to>
    <xdr:cxnSp macro="">
      <xdr:nvCxnSpPr>
        <xdr:cNvPr id="29" name="Straight Arrow Connector 28"/>
        <xdr:cNvCxnSpPr/>
      </xdr:nvCxnSpPr>
      <xdr:spPr>
        <a:xfrm flipV="1">
          <a:off x="4181475" y="257175"/>
          <a:ext cx="676275" cy="15240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22</xdr:row>
      <xdr:rowOff>85725</xdr:rowOff>
    </xdr:from>
    <xdr:to>
      <xdr:col>6</xdr:col>
      <xdr:colOff>9525</xdr:colOff>
      <xdr:row>24</xdr:row>
      <xdr:rowOff>95253</xdr:rowOff>
    </xdr:to>
    <xdr:cxnSp macro="">
      <xdr:nvCxnSpPr>
        <xdr:cNvPr id="38" name="Straight Arrow Connector 37"/>
        <xdr:cNvCxnSpPr/>
      </xdr:nvCxnSpPr>
      <xdr:spPr>
        <a:xfrm flipV="1">
          <a:off x="3343275" y="409575"/>
          <a:ext cx="714375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24</xdr:row>
      <xdr:rowOff>104778</xdr:rowOff>
    </xdr:from>
    <xdr:to>
      <xdr:col>6</xdr:col>
      <xdr:colOff>38100</xdr:colOff>
      <xdr:row>26</xdr:row>
      <xdr:rowOff>104775</xdr:rowOff>
    </xdr:to>
    <xdr:cxnSp macro="">
      <xdr:nvCxnSpPr>
        <xdr:cNvPr id="39" name="Straight Arrow Connector 38"/>
        <xdr:cNvCxnSpPr/>
      </xdr:nvCxnSpPr>
      <xdr:spPr>
        <a:xfrm>
          <a:off x="3343275" y="752478"/>
          <a:ext cx="742950" cy="323847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12</xdr:row>
      <xdr:rowOff>85725</xdr:rowOff>
    </xdr:from>
    <xdr:to>
      <xdr:col>6</xdr:col>
      <xdr:colOff>9525</xdr:colOff>
      <xdr:row>14</xdr:row>
      <xdr:rowOff>95253</xdr:rowOff>
    </xdr:to>
    <xdr:cxnSp macro="">
      <xdr:nvCxnSpPr>
        <xdr:cNvPr id="42" name="Straight Arrow Connector 41"/>
        <xdr:cNvCxnSpPr/>
      </xdr:nvCxnSpPr>
      <xdr:spPr>
        <a:xfrm flipV="1">
          <a:off x="3343275" y="409575"/>
          <a:ext cx="714375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14</xdr:row>
      <xdr:rowOff>104778</xdr:rowOff>
    </xdr:from>
    <xdr:to>
      <xdr:col>6</xdr:col>
      <xdr:colOff>38100</xdr:colOff>
      <xdr:row>16</xdr:row>
      <xdr:rowOff>104775</xdr:rowOff>
    </xdr:to>
    <xdr:cxnSp macro="">
      <xdr:nvCxnSpPr>
        <xdr:cNvPr id="43" name="Straight Arrow Connector 42"/>
        <xdr:cNvCxnSpPr/>
      </xdr:nvCxnSpPr>
      <xdr:spPr>
        <a:xfrm>
          <a:off x="3343275" y="752478"/>
          <a:ext cx="742950" cy="323847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32</xdr:row>
      <xdr:rowOff>85725</xdr:rowOff>
    </xdr:from>
    <xdr:to>
      <xdr:col>6</xdr:col>
      <xdr:colOff>9525</xdr:colOff>
      <xdr:row>34</xdr:row>
      <xdr:rowOff>95253</xdr:rowOff>
    </xdr:to>
    <xdr:cxnSp macro="">
      <xdr:nvCxnSpPr>
        <xdr:cNvPr id="46" name="Straight Arrow Connector 45"/>
        <xdr:cNvCxnSpPr/>
      </xdr:nvCxnSpPr>
      <xdr:spPr>
        <a:xfrm flipV="1">
          <a:off x="3343275" y="2514600"/>
          <a:ext cx="714375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34</xdr:row>
      <xdr:rowOff>104778</xdr:rowOff>
    </xdr:from>
    <xdr:to>
      <xdr:col>6</xdr:col>
      <xdr:colOff>38100</xdr:colOff>
      <xdr:row>36</xdr:row>
      <xdr:rowOff>104775</xdr:rowOff>
    </xdr:to>
    <xdr:cxnSp macro="">
      <xdr:nvCxnSpPr>
        <xdr:cNvPr id="47" name="Straight Arrow Connector 46"/>
        <xdr:cNvCxnSpPr/>
      </xdr:nvCxnSpPr>
      <xdr:spPr>
        <a:xfrm>
          <a:off x="3343275" y="2857503"/>
          <a:ext cx="742950" cy="323847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12</xdr:row>
      <xdr:rowOff>95253</xdr:rowOff>
    </xdr:from>
    <xdr:to>
      <xdr:col>8</xdr:col>
      <xdr:colOff>38100</xdr:colOff>
      <xdr:row>14</xdr:row>
      <xdr:rowOff>123825</xdr:rowOff>
    </xdr:to>
    <xdr:cxnSp macro="">
      <xdr:nvCxnSpPr>
        <xdr:cNvPr id="53" name="Straight Arrow Connector 52"/>
        <xdr:cNvCxnSpPr/>
      </xdr:nvCxnSpPr>
      <xdr:spPr>
        <a:xfrm>
          <a:off x="4191000" y="419103"/>
          <a:ext cx="781050" cy="3524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10</xdr:row>
      <xdr:rowOff>76200</xdr:rowOff>
    </xdr:from>
    <xdr:to>
      <xdr:col>8</xdr:col>
      <xdr:colOff>9525</xdr:colOff>
      <xdr:row>12</xdr:row>
      <xdr:rowOff>66678</xdr:rowOff>
    </xdr:to>
    <xdr:cxnSp macro="">
      <xdr:nvCxnSpPr>
        <xdr:cNvPr id="54" name="Straight Arrow Connector 53"/>
        <xdr:cNvCxnSpPr/>
      </xdr:nvCxnSpPr>
      <xdr:spPr>
        <a:xfrm flipV="1">
          <a:off x="6162675" y="1733550"/>
          <a:ext cx="1295400" cy="3143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22</xdr:row>
      <xdr:rowOff>95253</xdr:rowOff>
    </xdr:from>
    <xdr:to>
      <xdr:col>8</xdr:col>
      <xdr:colOff>38100</xdr:colOff>
      <xdr:row>24</xdr:row>
      <xdr:rowOff>123825</xdr:rowOff>
    </xdr:to>
    <xdr:cxnSp macro="">
      <xdr:nvCxnSpPr>
        <xdr:cNvPr id="59" name="Straight Arrow Connector 58"/>
        <xdr:cNvCxnSpPr/>
      </xdr:nvCxnSpPr>
      <xdr:spPr>
        <a:xfrm>
          <a:off x="4191000" y="419103"/>
          <a:ext cx="781050" cy="3524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20</xdr:row>
      <xdr:rowOff>95250</xdr:rowOff>
    </xdr:from>
    <xdr:to>
      <xdr:col>8</xdr:col>
      <xdr:colOff>9525</xdr:colOff>
      <xdr:row>22</xdr:row>
      <xdr:rowOff>85728</xdr:rowOff>
    </xdr:to>
    <xdr:cxnSp macro="">
      <xdr:nvCxnSpPr>
        <xdr:cNvPr id="60" name="Straight Arrow Connector 59"/>
        <xdr:cNvCxnSpPr/>
      </xdr:nvCxnSpPr>
      <xdr:spPr>
        <a:xfrm flipV="1">
          <a:off x="4181475" y="257175"/>
          <a:ext cx="762000" cy="15240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32</xdr:row>
      <xdr:rowOff>95253</xdr:rowOff>
    </xdr:from>
    <xdr:to>
      <xdr:col>8</xdr:col>
      <xdr:colOff>38100</xdr:colOff>
      <xdr:row>34</xdr:row>
      <xdr:rowOff>123825</xdr:rowOff>
    </xdr:to>
    <xdr:cxnSp macro="">
      <xdr:nvCxnSpPr>
        <xdr:cNvPr id="61" name="Straight Arrow Connector 60"/>
        <xdr:cNvCxnSpPr/>
      </xdr:nvCxnSpPr>
      <xdr:spPr>
        <a:xfrm>
          <a:off x="4191000" y="419103"/>
          <a:ext cx="781050" cy="3524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30</xdr:row>
      <xdr:rowOff>95250</xdr:rowOff>
    </xdr:from>
    <xdr:to>
      <xdr:col>8</xdr:col>
      <xdr:colOff>9525</xdr:colOff>
      <xdr:row>32</xdr:row>
      <xdr:rowOff>85728</xdr:rowOff>
    </xdr:to>
    <xdr:cxnSp macro="">
      <xdr:nvCxnSpPr>
        <xdr:cNvPr id="62" name="Straight Arrow Connector 61"/>
        <xdr:cNvCxnSpPr/>
      </xdr:nvCxnSpPr>
      <xdr:spPr>
        <a:xfrm flipV="1">
          <a:off x="4181475" y="257175"/>
          <a:ext cx="762000" cy="15240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12</xdr:row>
      <xdr:rowOff>85725</xdr:rowOff>
    </xdr:from>
    <xdr:to>
      <xdr:col>6</xdr:col>
      <xdr:colOff>9525</xdr:colOff>
      <xdr:row>14</xdr:row>
      <xdr:rowOff>95253</xdr:rowOff>
    </xdr:to>
    <xdr:cxnSp macro="">
      <xdr:nvCxnSpPr>
        <xdr:cNvPr id="64" name="Straight Arrow Connector 63"/>
        <xdr:cNvCxnSpPr/>
      </xdr:nvCxnSpPr>
      <xdr:spPr>
        <a:xfrm flipV="1">
          <a:off x="4381500" y="419100"/>
          <a:ext cx="1123950" cy="34290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22</xdr:row>
      <xdr:rowOff>85725</xdr:rowOff>
    </xdr:from>
    <xdr:to>
      <xdr:col>6</xdr:col>
      <xdr:colOff>9525</xdr:colOff>
      <xdr:row>24</xdr:row>
      <xdr:rowOff>95253</xdr:rowOff>
    </xdr:to>
    <xdr:cxnSp macro="">
      <xdr:nvCxnSpPr>
        <xdr:cNvPr id="65" name="Straight Arrow Connector 64"/>
        <xdr:cNvCxnSpPr/>
      </xdr:nvCxnSpPr>
      <xdr:spPr>
        <a:xfrm flipV="1">
          <a:off x="4381500" y="419100"/>
          <a:ext cx="1123950" cy="34290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32</xdr:row>
      <xdr:rowOff>85725</xdr:rowOff>
    </xdr:from>
    <xdr:to>
      <xdr:col>6</xdr:col>
      <xdr:colOff>9525</xdr:colOff>
      <xdr:row>34</xdr:row>
      <xdr:rowOff>95253</xdr:rowOff>
    </xdr:to>
    <xdr:cxnSp macro="">
      <xdr:nvCxnSpPr>
        <xdr:cNvPr id="66" name="Straight Arrow Connector 65"/>
        <xdr:cNvCxnSpPr/>
      </xdr:nvCxnSpPr>
      <xdr:spPr>
        <a:xfrm flipV="1">
          <a:off x="4381500" y="419100"/>
          <a:ext cx="1123950" cy="34290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1104900</xdr:colOff>
      <xdr:row>20</xdr:row>
      <xdr:rowOff>129540</xdr:rowOff>
    </xdr:from>
    <xdr:to>
      <xdr:col>1</xdr:col>
      <xdr:colOff>91440</xdr:colOff>
      <xdr:row>21</xdr:row>
      <xdr:rowOff>64770</xdr:rowOff>
    </xdr:to>
    <xdr:sp macro="" textlink="">
      <xdr:nvSpPr>
        <xdr:cNvPr id="2" name="Rectangle 1"/>
        <xdr:cNvSpPr/>
      </xdr:nvSpPr>
      <xdr:spPr>
        <a:xfrm>
          <a:off x="1104900" y="3528060"/>
          <a:ext cx="129540" cy="12573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6</xdr:row>
      <xdr:rowOff>133350</xdr:rowOff>
    </xdr:from>
    <xdr:to>
      <xdr:col>2</xdr:col>
      <xdr:colOff>0</xdr:colOff>
      <xdr:row>16</xdr:row>
      <xdr:rowOff>200026</xdr:rowOff>
    </xdr:to>
    <xdr:cxnSp macro="">
      <xdr:nvCxnSpPr>
        <xdr:cNvPr id="2" name="Straight Arrow Connector 1"/>
        <xdr:cNvCxnSpPr/>
      </xdr:nvCxnSpPr>
      <xdr:spPr>
        <a:xfrm flipV="1">
          <a:off x="1133475" y="1133475"/>
          <a:ext cx="657225" cy="1219201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16</xdr:row>
      <xdr:rowOff>190501</xdr:rowOff>
    </xdr:from>
    <xdr:to>
      <xdr:col>2</xdr:col>
      <xdr:colOff>9525</xdr:colOff>
      <xdr:row>25</xdr:row>
      <xdr:rowOff>123825</xdr:rowOff>
    </xdr:to>
    <xdr:cxnSp macro="">
      <xdr:nvCxnSpPr>
        <xdr:cNvPr id="3" name="Straight Arrow Connector 2"/>
        <xdr:cNvCxnSpPr/>
      </xdr:nvCxnSpPr>
      <xdr:spPr>
        <a:xfrm>
          <a:off x="1133475" y="2352676"/>
          <a:ext cx="666750" cy="781049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4</xdr:row>
      <xdr:rowOff>47625</xdr:rowOff>
    </xdr:from>
    <xdr:to>
      <xdr:col>4</xdr:col>
      <xdr:colOff>38100</xdr:colOff>
      <xdr:row>6</xdr:row>
      <xdr:rowOff>95252</xdr:rowOff>
    </xdr:to>
    <xdr:cxnSp macro="">
      <xdr:nvCxnSpPr>
        <xdr:cNvPr id="4" name="Straight Arrow Connector 3"/>
        <xdr:cNvCxnSpPr/>
      </xdr:nvCxnSpPr>
      <xdr:spPr>
        <a:xfrm flipV="1">
          <a:off x="2533650" y="714375"/>
          <a:ext cx="1200150" cy="38100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6</xdr:row>
      <xdr:rowOff>95252</xdr:rowOff>
    </xdr:from>
    <xdr:to>
      <xdr:col>4</xdr:col>
      <xdr:colOff>19050</xdr:colOff>
      <xdr:row>13</xdr:row>
      <xdr:rowOff>95250</xdr:rowOff>
    </xdr:to>
    <xdr:cxnSp macro="">
      <xdr:nvCxnSpPr>
        <xdr:cNvPr id="5" name="Straight Arrow Connector 4"/>
        <xdr:cNvCxnSpPr/>
      </xdr:nvCxnSpPr>
      <xdr:spPr>
        <a:xfrm>
          <a:off x="2533650" y="1095377"/>
          <a:ext cx="1181100" cy="65722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23</xdr:row>
      <xdr:rowOff>47625</xdr:rowOff>
    </xdr:from>
    <xdr:to>
      <xdr:col>4</xdr:col>
      <xdr:colOff>38100</xdr:colOff>
      <xdr:row>25</xdr:row>
      <xdr:rowOff>95252</xdr:rowOff>
    </xdr:to>
    <xdr:cxnSp macro="">
      <xdr:nvCxnSpPr>
        <xdr:cNvPr id="6" name="Straight Arrow Connector 5"/>
        <xdr:cNvCxnSpPr/>
      </xdr:nvCxnSpPr>
      <xdr:spPr>
        <a:xfrm flipV="1">
          <a:off x="2533650" y="2724150"/>
          <a:ext cx="1200150" cy="38100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25</xdr:row>
      <xdr:rowOff>95252</xdr:rowOff>
    </xdr:from>
    <xdr:to>
      <xdr:col>4</xdr:col>
      <xdr:colOff>9525</xdr:colOff>
      <xdr:row>32</xdr:row>
      <xdr:rowOff>76200</xdr:rowOff>
    </xdr:to>
    <xdr:cxnSp macro="">
      <xdr:nvCxnSpPr>
        <xdr:cNvPr id="7" name="Straight Arrow Connector 6"/>
        <xdr:cNvCxnSpPr/>
      </xdr:nvCxnSpPr>
      <xdr:spPr>
        <a:xfrm>
          <a:off x="2533650" y="3105152"/>
          <a:ext cx="1171575" cy="63817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</xdr:row>
      <xdr:rowOff>85725</xdr:rowOff>
    </xdr:from>
    <xdr:to>
      <xdr:col>6</xdr:col>
      <xdr:colOff>9525</xdr:colOff>
      <xdr:row>4</xdr:row>
      <xdr:rowOff>95253</xdr:rowOff>
    </xdr:to>
    <xdr:cxnSp macro="">
      <xdr:nvCxnSpPr>
        <xdr:cNvPr id="8" name="Straight Arrow Connector 7"/>
        <xdr:cNvCxnSpPr/>
      </xdr:nvCxnSpPr>
      <xdr:spPr>
        <a:xfrm flipV="1">
          <a:off x="4381500" y="419100"/>
          <a:ext cx="1123950" cy="34290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4</xdr:row>
      <xdr:rowOff>104778</xdr:rowOff>
    </xdr:from>
    <xdr:to>
      <xdr:col>6</xdr:col>
      <xdr:colOff>38100</xdr:colOff>
      <xdr:row>6</xdr:row>
      <xdr:rowOff>104775</xdr:rowOff>
    </xdr:to>
    <xdr:cxnSp macro="">
      <xdr:nvCxnSpPr>
        <xdr:cNvPr id="9" name="Straight Arrow Connector 8"/>
        <xdr:cNvCxnSpPr/>
      </xdr:nvCxnSpPr>
      <xdr:spPr>
        <a:xfrm>
          <a:off x="4381500" y="771528"/>
          <a:ext cx="1152525" cy="3333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95253</xdr:rowOff>
    </xdr:from>
    <xdr:to>
      <xdr:col>8</xdr:col>
      <xdr:colOff>38100</xdr:colOff>
      <xdr:row>4</xdr:row>
      <xdr:rowOff>123825</xdr:rowOff>
    </xdr:to>
    <xdr:cxnSp macro="">
      <xdr:nvCxnSpPr>
        <xdr:cNvPr id="10" name="Straight Arrow Connector 9"/>
        <xdr:cNvCxnSpPr/>
      </xdr:nvCxnSpPr>
      <xdr:spPr>
        <a:xfrm>
          <a:off x="6960870" y="880113"/>
          <a:ext cx="1352550" cy="40195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</xdr:row>
      <xdr:rowOff>95250</xdr:rowOff>
    </xdr:from>
    <xdr:to>
      <xdr:col>8</xdr:col>
      <xdr:colOff>9525</xdr:colOff>
      <xdr:row>2</xdr:row>
      <xdr:rowOff>85728</xdr:rowOff>
    </xdr:to>
    <xdr:cxnSp macro="">
      <xdr:nvCxnSpPr>
        <xdr:cNvPr id="11" name="Straight Arrow Connector 10"/>
        <xdr:cNvCxnSpPr/>
      </xdr:nvCxnSpPr>
      <xdr:spPr>
        <a:xfrm flipV="1">
          <a:off x="6162675" y="257175"/>
          <a:ext cx="1295400" cy="1619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</xdr:row>
      <xdr:rowOff>85725</xdr:rowOff>
    </xdr:from>
    <xdr:to>
      <xdr:col>6</xdr:col>
      <xdr:colOff>9525</xdr:colOff>
      <xdr:row>23</xdr:row>
      <xdr:rowOff>95253</xdr:rowOff>
    </xdr:to>
    <xdr:cxnSp macro="">
      <xdr:nvCxnSpPr>
        <xdr:cNvPr id="12" name="Straight Arrow Connector 11"/>
        <xdr:cNvCxnSpPr/>
      </xdr:nvCxnSpPr>
      <xdr:spPr>
        <a:xfrm flipV="1">
          <a:off x="4381500" y="2438400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23</xdr:row>
      <xdr:rowOff>104778</xdr:rowOff>
    </xdr:from>
    <xdr:to>
      <xdr:col>6</xdr:col>
      <xdr:colOff>38100</xdr:colOff>
      <xdr:row>25</xdr:row>
      <xdr:rowOff>104775</xdr:rowOff>
    </xdr:to>
    <xdr:cxnSp macro="">
      <xdr:nvCxnSpPr>
        <xdr:cNvPr id="13" name="Straight Arrow Connector 12"/>
        <xdr:cNvCxnSpPr/>
      </xdr:nvCxnSpPr>
      <xdr:spPr>
        <a:xfrm>
          <a:off x="4381500" y="2781303"/>
          <a:ext cx="1152525" cy="3333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11</xdr:row>
      <xdr:rowOff>85725</xdr:rowOff>
    </xdr:from>
    <xdr:to>
      <xdr:col>6</xdr:col>
      <xdr:colOff>9525</xdr:colOff>
      <xdr:row>13</xdr:row>
      <xdr:rowOff>95253</xdr:rowOff>
    </xdr:to>
    <xdr:cxnSp macro="">
      <xdr:nvCxnSpPr>
        <xdr:cNvPr id="14" name="Straight Arrow Connector 13"/>
        <xdr:cNvCxnSpPr/>
      </xdr:nvCxnSpPr>
      <xdr:spPr>
        <a:xfrm flipV="1">
          <a:off x="4381500" y="1419225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13</xdr:row>
      <xdr:rowOff>104778</xdr:rowOff>
    </xdr:from>
    <xdr:to>
      <xdr:col>6</xdr:col>
      <xdr:colOff>38100</xdr:colOff>
      <xdr:row>15</xdr:row>
      <xdr:rowOff>104775</xdr:rowOff>
    </xdr:to>
    <xdr:cxnSp macro="">
      <xdr:nvCxnSpPr>
        <xdr:cNvPr id="15" name="Straight Arrow Connector 14"/>
        <xdr:cNvCxnSpPr/>
      </xdr:nvCxnSpPr>
      <xdr:spPr>
        <a:xfrm>
          <a:off x="4381500" y="1762128"/>
          <a:ext cx="1152525" cy="3333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30</xdr:row>
      <xdr:rowOff>85725</xdr:rowOff>
    </xdr:from>
    <xdr:to>
      <xdr:col>6</xdr:col>
      <xdr:colOff>9525</xdr:colOff>
      <xdr:row>32</xdr:row>
      <xdr:rowOff>95253</xdr:rowOff>
    </xdr:to>
    <xdr:cxnSp macro="">
      <xdr:nvCxnSpPr>
        <xdr:cNvPr id="16" name="Straight Arrow Connector 15"/>
        <xdr:cNvCxnSpPr/>
      </xdr:nvCxnSpPr>
      <xdr:spPr>
        <a:xfrm flipV="1">
          <a:off x="4381500" y="3429000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32</xdr:row>
      <xdr:rowOff>104778</xdr:rowOff>
    </xdr:from>
    <xdr:to>
      <xdr:col>6</xdr:col>
      <xdr:colOff>38100</xdr:colOff>
      <xdr:row>34</xdr:row>
      <xdr:rowOff>104775</xdr:rowOff>
    </xdr:to>
    <xdr:cxnSp macro="">
      <xdr:nvCxnSpPr>
        <xdr:cNvPr id="17" name="Straight Arrow Connector 16"/>
        <xdr:cNvCxnSpPr/>
      </xdr:nvCxnSpPr>
      <xdr:spPr>
        <a:xfrm>
          <a:off x="4381500" y="3771903"/>
          <a:ext cx="1152525" cy="3333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11</xdr:row>
      <xdr:rowOff>95253</xdr:rowOff>
    </xdr:from>
    <xdr:to>
      <xdr:col>8</xdr:col>
      <xdr:colOff>38100</xdr:colOff>
      <xdr:row>13</xdr:row>
      <xdr:rowOff>123825</xdr:rowOff>
    </xdr:to>
    <xdr:cxnSp macro="">
      <xdr:nvCxnSpPr>
        <xdr:cNvPr id="18" name="Straight Arrow Connector 17"/>
        <xdr:cNvCxnSpPr/>
      </xdr:nvCxnSpPr>
      <xdr:spPr>
        <a:xfrm>
          <a:off x="6172200" y="1428753"/>
          <a:ext cx="1314450" cy="3524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10</xdr:row>
      <xdr:rowOff>76200</xdr:rowOff>
    </xdr:from>
    <xdr:to>
      <xdr:col>8</xdr:col>
      <xdr:colOff>0</xdr:colOff>
      <xdr:row>11</xdr:row>
      <xdr:rowOff>85729</xdr:rowOff>
    </xdr:to>
    <xdr:cxnSp macro="">
      <xdr:nvCxnSpPr>
        <xdr:cNvPr id="19" name="Straight Arrow Connector 18"/>
        <xdr:cNvCxnSpPr/>
      </xdr:nvCxnSpPr>
      <xdr:spPr>
        <a:xfrm flipV="1">
          <a:off x="6162675" y="1571625"/>
          <a:ext cx="1285875" cy="171454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21</xdr:row>
      <xdr:rowOff>95253</xdr:rowOff>
    </xdr:from>
    <xdr:to>
      <xdr:col>8</xdr:col>
      <xdr:colOff>38100</xdr:colOff>
      <xdr:row>23</xdr:row>
      <xdr:rowOff>123825</xdr:rowOff>
    </xdr:to>
    <xdr:cxnSp macro="">
      <xdr:nvCxnSpPr>
        <xdr:cNvPr id="20" name="Straight Arrow Connector 19"/>
        <xdr:cNvCxnSpPr/>
      </xdr:nvCxnSpPr>
      <xdr:spPr>
        <a:xfrm>
          <a:off x="6172200" y="2447928"/>
          <a:ext cx="1314450" cy="3524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19</xdr:row>
      <xdr:rowOff>66675</xdr:rowOff>
    </xdr:from>
    <xdr:to>
      <xdr:col>7</xdr:col>
      <xdr:colOff>1276350</xdr:colOff>
      <xdr:row>21</xdr:row>
      <xdr:rowOff>85728</xdr:rowOff>
    </xdr:to>
    <xdr:cxnSp macro="">
      <xdr:nvCxnSpPr>
        <xdr:cNvPr id="21" name="Straight Arrow Connector 20"/>
        <xdr:cNvCxnSpPr/>
      </xdr:nvCxnSpPr>
      <xdr:spPr>
        <a:xfrm flipV="1">
          <a:off x="6162675" y="3124200"/>
          <a:ext cx="1266825" cy="40005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30</xdr:row>
      <xdr:rowOff>95253</xdr:rowOff>
    </xdr:from>
    <xdr:to>
      <xdr:col>8</xdr:col>
      <xdr:colOff>38100</xdr:colOff>
      <xdr:row>32</xdr:row>
      <xdr:rowOff>123825</xdr:rowOff>
    </xdr:to>
    <xdr:cxnSp macro="">
      <xdr:nvCxnSpPr>
        <xdr:cNvPr id="22" name="Straight Arrow Connector 21"/>
        <xdr:cNvCxnSpPr/>
      </xdr:nvCxnSpPr>
      <xdr:spPr>
        <a:xfrm>
          <a:off x="6172200" y="3438528"/>
          <a:ext cx="1314450" cy="3524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29</xdr:row>
      <xdr:rowOff>95250</xdr:rowOff>
    </xdr:from>
    <xdr:to>
      <xdr:col>8</xdr:col>
      <xdr:colOff>9525</xdr:colOff>
      <xdr:row>30</xdr:row>
      <xdr:rowOff>85729</xdr:rowOff>
    </xdr:to>
    <xdr:cxnSp macro="">
      <xdr:nvCxnSpPr>
        <xdr:cNvPr id="23" name="Straight Arrow Connector 22"/>
        <xdr:cNvCxnSpPr/>
      </xdr:nvCxnSpPr>
      <xdr:spPr>
        <a:xfrm flipV="1">
          <a:off x="6162675" y="4686300"/>
          <a:ext cx="1295400" cy="152404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11</xdr:row>
      <xdr:rowOff>85725</xdr:rowOff>
    </xdr:from>
    <xdr:to>
      <xdr:col>6</xdr:col>
      <xdr:colOff>9525</xdr:colOff>
      <xdr:row>13</xdr:row>
      <xdr:rowOff>95253</xdr:rowOff>
    </xdr:to>
    <xdr:cxnSp macro="">
      <xdr:nvCxnSpPr>
        <xdr:cNvPr id="24" name="Straight Arrow Connector 23"/>
        <xdr:cNvCxnSpPr/>
      </xdr:nvCxnSpPr>
      <xdr:spPr>
        <a:xfrm flipV="1">
          <a:off x="4381500" y="1419225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</xdr:row>
      <xdr:rowOff>85725</xdr:rowOff>
    </xdr:from>
    <xdr:to>
      <xdr:col>6</xdr:col>
      <xdr:colOff>9525</xdr:colOff>
      <xdr:row>23</xdr:row>
      <xdr:rowOff>95253</xdr:rowOff>
    </xdr:to>
    <xdr:cxnSp macro="">
      <xdr:nvCxnSpPr>
        <xdr:cNvPr id="25" name="Straight Arrow Connector 24"/>
        <xdr:cNvCxnSpPr/>
      </xdr:nvCxnSpPr>
      <xdr:spPr>
        <a:xfrm flipV="1">
          <a:off x="4381500" y="2438400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30</xdr:row>
      <xdr:rowOff>85725</xdr:rowOff>
    </xdr:from>
    <xdr:to>
      <xdr:col>6</xdr:col>
      <xdr:colOff>9525</xdr:colOff>
      <xdr:row>32</xdr:row>
      <xdr:rowOff>95253</xdr:rowOff>
    </xdr:to>
    <xdr:cxnSp macro="">
      <xdr:nvCxnSpPr>
        <xdr:cNvPr id="26" name="Straight Arrow Connector 25"/>
        <xdr:cNvCxnSpPr/>
      </xdr:nvCxnSpPr>
      <xdr:spPr>
        <a:xfrm flipV="1">
          <a:off x="4381500" y="3429000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6</xdr:row>
      <xdr:rowOff>133350</xdr:rowOff>
    </xdr:from>
    <xdr:to>
      <xdr:col>2</xdr:col>
      <xdr:colOff>0</xdr:colOff>
      <xdr:row>20</xdr:row>
      <xdr:rowOff>200026</xdr:rowOff>
    </xdr:to>
    <xdr:cxnSp macro="">
      <xdr:nvCxnSpPr>
        <xdr:cNvPr id="2" name="Straight Arrow Connector 1"/>
        <xdr:cNvCxnSpPr/>
      </xdr:nvCxnSpPr>
      <xdr:spPr>
        <a:xfrm flipV="1">
          <a:off x="1133475" y="1133475"/>
          <a:ext cx="657225" cy="1219201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20</xdr:row>
      <xdr:rowOff>190501</xdr:rowOff>
    </xdr:from>
    <xdr:to>
      <xdr:col>2</xdr:col>
      <xdr:colOff>9525</xdr:colOff>
      <xdr:row>25</xdr:row>
      <xdr:rowOff>123825</xdr:rowOff>
    </xdr:to>
    <xdr:cxnSp macro="">
      <xdr:nvCxnSpPr>
        <xdr:cNvPr id="3" name="Straight Arrow Connector 2"/>
        <xdr:cNvCxnSpPr/>
      </xdr:nvCxnSpPr>
      <xdr:spPr>
        <a:xfrm>
          <a:off x="1133475" y="2352676"/>
          <a:ext cx="666750" cy="781049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4</xdr:row>
      <xdr:rowOff>47625</xdr:rowOff>
    </xdr:from>
    <xdr:to>
      <xdr:col>4</xdr:col>
      <xdr:colOff>38100</xdr:colOff>
      <xdr:row>6</xdr:row>
      <xdr:rowOff>95252</xdr:rowOff>
    </xdr:to>
    <xdr:cxnSp macro="">
      <xdr:nvCxnSpPr>
        <xdr:cNvPr id="4" name="Straight Arrow Connector 3"/>
        <xdr:cNvCxnSpPr/>
      </xdr:nvCxnSpPr>
      <xdr:spPr>
        <a:xfrm flipV="1">
          <a:off x="2533650" y="714375"/>
          <a:ext cx="1200150" cy="38100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6</xdr:row>
      <xdr:rowOff>95252</xdr:rowOff>
    </xdr:from>
    <xdr:to>
      <xdr:col>4</xdr:col>
      <xdr:colOff>19050</xdr:colOff>
      <xdr:row>14</xdr:row>
      <xdr:rowOff>95250</xdr:rowOff>
    </xdr:to>
    <xdr:cxnSp macro="">
      <xdr:nvCxnSpPr>
        <xdr:cNvPr id="5" name="Straight Arrow Connector 4"/>
        <xdr:cNvCxnSpPr/>
      </xdr:nvCxnSpPr>
      <xdr:spPr>
        <a:xfrm>
          <a:off x="2533650" y="1095377"/>
          <a:ext cx="1181100" cy="65722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23</xdr:row>
      <xdr:rowOff>47625</xdr:rowOff>
    </xdr:from>
    <xdr:to>
      <xdr:col>4</xdr:col>
      <xdr:colOff>38100</xdr:colOff>
      <xdr:row>25</xdr:row>
      <xdr:rowOff>95252</xdr:rowOff>
    </xdr:to>
    <xdr:cxnSp macro="">
      <xdr:nvCxnSpPr>
        <xdr:cNvPr id="6" name="Straight Arrow Connector 5"/>
        <xdr:cNvCxnSpPr/>
      </xdr:nvCxnSpPr>
      <xdr:spPr>
        <a:xfrm flipV="1">
          <a:off x="2533650" y="2724150"/>
          <a:ext cx="1200150" cy="38100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25</xdr:row>
      <xdr:rowOff>95252</xdr:rowOff>
    </xdr:from>
    <xdr:to>
      <xdr:col>4</xdr:col>
      <xdr:colOff>9525</xdr:colOff>
      <xdr:row>33</xdr:row>
      <xdr:rowOff>76200</xdr:rowOff>
    </xdr:to>
    <xdr:cxnSp macro="">
      <xdr:nvCxnSpPr>
        <xdr:cNvPr id="7" name="Straight Arrow Connector 6"/>
        <xdr:cNvCxnSpPr/>
      </xdr:nvCxnSpPr>
      <xdr:spPr>
        <a:xfrm>
          <a:off x="2533650" y="3105152"/>
          <a:ext cx="1171575" cy="63817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</xdr:row>
      <xdr:rowOff>85725</xdr:rowOff>
    </xdr:from>
    <xdr:to>
      <xdr:col>6</xdr:col>
      <xdr:colOff>9525</xdr:colOff>
      <xdr:row>4</xdr:row>
      <xdr:rowOff>95253</xdr:rowOff>
    </xdr:to>
    <xdr:cxnSp macro="">
      <xdr:nvCxnSpPr>
        <xdr:cNvPr id="8" name="Straight Arrow Connector 7"/>
        <xdr:cNvCxnSpPr/>
      </xdr:nvCxnSpPr>
      <xdr:spPr>
        <a:xfrm flipV="1">
          <a:off x="4381500" y="419100"/>
          <a:ext cx="1123950" cy="34290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4</xdr:row>
      <xdr:rowOff>104778</xdr:rowOff>
    </xdr:from>
    <xdr:to>
      <xdr:col>6</xdr:col>
      <xdr:colOff>38100</xdr:colOff>
      <xdr:row>6</xdr:row>
      <xdr:rowOff>104775</xdr:rowOff>
    </xdr:to>
    <xdr:cxnSp macro="">
      <xdr:nvCxnSpPr>
        <xdr:cNvPr id="9" name="Straight Arrow Connector 8"/>
        <xdr:cNvCxnSpPr/>
      </xdr:nvCxnSpPr>
      <xdr:spPr>
        <a:xfrm>
          <a:off x="4381500" y="771528"/>
          <a:ext cx="1152525" cy="3333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95253</xdr:rowOff>
    </xdr:from>
    <xdr:to>
      <xdr:col>8</xdr:col>
      <xdr:colOff>38100</xdr:colOff>
      <xdr:row>4</xdr:row>
      <xdr:rowOff>123825</xdr:rowOff>
    </xdr:to>
    <xdr:cxnSp macro="">
      <xdr:nvCxnSpPr>
        <xdr:cNvPr id="10" name="Straight Arrow Connector 9"/>
        <xdr:cNvCxnSpPr/>
      </xdr:nvCxnSpPr>
      <xdr:spPr>
        <a:xfrm>
          <a:off x="6172200" y="428628"/>
          <a:ext cx="1314450" cy="361947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</xdr:row>
      <xdr:rowOff>95250</xdr:rowOff>
    </xdr:from>
    <xdr:to>
      <xdr:col>8</xdr:col>
      <xdr:colOff>9525</xdr:colOff>
      <xdr:row>2</xdr:row>
      <xdr:rowOff>85728</xdr:rowOff>
    </xdr:to>
    <xdr:cxnSp macro="">
      <xdr:nvCxnSpPr>
        <xdr:cNvPr id="11" name="Straight Arrow Connector 10"/>
        <xdr:cNvCxnSpPr/>
      </xdr:nvCxnSpPr>
      <xdr:spPr>
        <a:xfrm flipV="1">
          <a:off x="6162675" y="257175"/>
          <a:ext cx="1295400" cy="1619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</xdr:row>
      <xdr:rowOff>85725</xdr:rowOff>
    </xdr:from>
    <xdr:to>
      <xdr:col>6</xdr:col>
      <xdr:colOff>9525</xdr:colOff>
      <xdr:row>23</xdr:row>
      <xdr:rowOff>95253</xdr:rowOff>
    </xdr:to>
    <xdr:cxnSp macro="">
      <xdr:nvCxnSpPr>
        <xdr:cNvPr id="12" name="Straight Arrow Connector 11"/>
        <xdr:cNvCxnSpPr/>
      </xdr:nvCxnSpPr>
      <xdr:spPr>
        <a:xfrm flipV="1">
          <a:off x="4381500" y="2438400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23</xdr:row>
      <xdr:rowOff>104778</xdr:rowOff>
    </xdr:from>
    <xdr:to>
      <xdr:col>6</xdr:col>
      <xdr:colOff>38100</xdr:colOff>
      <xdr:row>25</xdr:row>
      <xdr:rowOff>104775</xdr:rowOff>
    </xdr:to>
    <xdr:cxnSp macro="">
      <xdr:nvCxnSpPr>
        <xdr:cNvPr id="13" name="Straight Arrow Connector 12"/>
        <xdr:cNvCxnSpPr/>
      </xdr:nvCxnSpPr>
      <xdr:spPr>
        <a:xfrm>
          <a:off x="4381500" y="2781303"/>
          <a:ext cx="1152525" cy="3333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12</xdr:row>
      <xdr:rowOff>85725</xdr:rowOff>
    </xdr:from>
    <xdr:to>
      <xdr:col>6</xdr:col>
      <xdr:colOff>9525</xdr:colOff>
      <xdr:row>14</xdr:row>
      <xdr:rowOff>95253</xdr:rowOff>
    </xdr:to>
    <xdr:cxnSp macro="">
      <xdr:nvCxnSpPr>
        <xdr:cNvPr id="14" name="Straight Arrow Connector 13"/>
        <xdr:cNvCxnSpPr/>
      </xdr:nvCxnSpPr>
      <xdr:spPr>
        <a:xfrm flipV="1">
          <a:off x="4381500" y="1419225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14</xdr:row>
      <xdr:rowOff>173358</xdr:rowOff>
    </xdr:from>
    <xdr:to>
      <xdr:col>5</xdr:col>
      <xdr:colOff>1057275</xdr:colOff>
      <xdr:row>16</xdr:row>
      <xdr:rowOff>173355</xdr:rowOff>
    </xdr:to>
    <xdr:cxnSp macro="">
      <xdr:nvCxnSpPr>
        <xdr:cNvPr id="15" name="Straight Arrow Connector 14"/>
        <xdr:cNvCxnSpPr/>
      </xdr:nvCxnSpPr>
      <xdr:spPr>
        <a:xfrm>
          <a:off x="4709160" y="3175638"/>
          <a:ext cx="1057275" cy="373377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30</xdr:row>
      <xdr:rowOff>85725</xdr:rowOff>
    </xdr:from>
    <xdr:to>
      <xdr:col>6</xdr:col>
      <xdr:colOff>9525</xdr:colOff>
      <xdr:row>33</xdr:row>
      <xdr:rowOff>95253</xdr:rowOff>
    </xdr:to>
    <xdr:cxnSp macro="">
      <xdr:nvCxnSpPr>
        <xdr:cNvPr id="16" name="Straight Arrow Connector 15"/>
        <xdr:cNvCxnSpPr/>
      </xdr:nvCxnSpPr>
      <xdr:spPr>
        <a:xfrm flipV="1">
          <a:off x="4381500" y="3429000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33</xdr:row>
      <xdr:rowOff>104778</xdr:rowOff>
    </xdr:from>
    <xdr:to>
      <xdr:col>6</xdr:col>
      <xdr:colOff>38100</xdr:colOff>
      <xdr:row>35</xdr:row>
      <xdr:rowOff>104775</xdr:rowOff>
    </xdr:to>
    <xdr:cxnSp macro="">
      <xdr:nvCxnSpPr>
        <xdr:cNvPr id="17" name="Straight Arrow Connector 16"/>
        <xdr:cNvCxnSpPr/>
      </xdr:nvCxnSpPr>
      <xdr:spPr>
        <a:xfrm>
          <a:off x="4381500" y="3771903"/>
          <a:ext cx="1152525" cy="3333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21</xdr:row>
      <xdr:rowOff>95253</xdr:rowOff>
    </xdr:from>
    <xdr:to>
      <xdr:col>8</xdr:col>
      <xdr:colOff>38100</xdr:colOff>
      <xdr:row>23</xdr:row>
      <xdr:rowOff>123825</xdr:rowOff>
    </xdr:to>
    <xdr:cxnSp macro="">
      <xdr:nvCxnSpPr>
        <xdr:cNvPr id="20" name="Straight Arrow Connector 19"/>
        <xdr:cNvCxnSpPr/>
      </xdr:nvCxnSpPr>
      <xdr:spPr>
        <a:xfrm>
          <a:off x="6172200" y="2447928"/>
          <a:ext cx="1314450" cy="3524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20</xdr:row>
      <xdr:rowOff>95250</xdr:rowOff>
    </xdr:from>
    <xdr:to>
      <xdr:col>8</xdr:col>
      <xdr:colOff>9525</xdr:colOff>
      <xdr:row>21</xdr:row>
      <xdr:rowOff>85728</xdr:rowOff>
    </xdr:to>
    <xdr:cxnSp macro="">
      <xdr:nvCxnSpPr>
        <xdr:cNvPr id="21" name="Straight Arrow Connector 20"/>
        <xdr:cNvCxnSpPr/>
      </xdr:nvCxnSpPr>
      <xdr:spPr>
        <a:xfrm flipV="1">
          <a:off x="6162675" y="2257425"/>
          <a:ext cx="1295400" cy="1809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30</xdr:row>
      <xdr:rowOff>95253</xdr:rowOff>
    </xdr:from>
    <xdr:to>
      <xdr:col>8</xdr:col>
      <xdr:colOff>38100</xdr:colOff>
      <xdr:row>33</xdr:row>
      <xdr:rowOff>123825</xdr:rowOff>
    </xdr:to>
    <xdr:cxnSp macro="">
      <xdr:nvCxnSpPr>
        <xdr:cNvPr id="22" name="Straight Arrow Connector 21"/>
        <xdr:cNvCxnSpPr/>
      </xdr:nvCxnSpPr>
      <xdr:spPr>
        <a:xfrm>
          <a:off x="6172200" y="3438528"/>
          <a:ext cx="1314450" cy="3524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29</xdr:row>
      <xdr:rowOff>95250</xdr:rowOff>
    </xdr:from>
    <xdr:to>
      <xdr:col>8</xdr:col>
      <xdr:colOff>9525</xdr:colOff>
      <xdr:row>30</xdr:row>
      <xdr:rowOff>85728</xdr:rowOff>
    </xdr:to>
    <xdr:cxnSp macro="">
      <xdr:nvCxnSpPr>
        <xdr:cNvPr id="23" name="Straight Arrow Connector 22"/>
        <xdr:cNvCxnSpPr/>
      </xdr:nvCxnSpPr>
      <xdr:spPr>
        <a:xfrm flipV="1">
          <a:off x="6162675" y="3276600"/>
          <a:ext cx="1295400" cy="15240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12</xdr:row>
      <xdr:rowOff>85725</xdr:rowOff>
    </xdr:from>
    <xdr:to>
      <xdr:col>6</xdr:col>
      <xdr:colOff>9525</xdr:colOff>
      <xdr:row>14</xdr:row>
      <xdr:rowOff>95253</xdr:rowOff>
    </xdr:to>
    <xdr:cxnSp macro="">
      <xdr:nvCxnSpPr>
        <xdr:cNvPr id="24" name="Straight Arrow Connector 23"/>
        <xdr:cNvCxnSpPr/>
      </xdr:nvCxnSpPr>
      <xdr:spPr>
        <a:xfrm flipV="1">
          <a:off x="4381500" y="1419225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</xdr:row>
      <xdr:rowOff>85725</xdr:rowOff>
    </xdr:from>
    <xdr:to>
      <xdr:col>6</xdr:col>
      <xdr:colOff>9525</xdr:colOff>
      <xdr:row>23</xdr:row>
      <xdr:rowOff>95253</xdr:rowOff>
    </xdr:to>
    <xdr:cxnSp macro="">
      <xdr:nvCxnSpPr>
        <xdr:cNvPr id="25" name="Straight Arrow Connector 24"/>
        <xdr:cNvCxnSpPr/>
      </xdr:nvCxnSpPr>
      <xdr:spPr>
        <a:xfrm flipV="1">
          <a:off x="4381500" y="2438400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30</xdr:row>
      <xdr:rowOff>85725</xdr:rowOff>
    </xdr:from>
    <xdr:to>
      <xdr:col>6</xdr:col>
      <xdr:colOff>9525</xdr:colOff>
      <xdr:row>33</xdr:row>
      <xdr:rowOff>95253</xdr:rowOff>
    </xdr:to>
    <xdr:cxnSp macro="">
      <xdr:nvCxnSpPr>
        <xdr:cNvPr id="26" name="Straight Arrow Connector 25"/>
        <xdr:cNvCxnSpPr/>
      </xdr:nvCxnSpPr>
      <xdr:spPr>
        <a:xfrm flipV="1">
          <a:off x="4381500" y="3429000"/>
          <a:ext cx="1123950" cy="3333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6</xdr:row>
      <xdr:rowOff>133350</xdr:rowOff>
    </xdr:from>
    <xdr:to>
      <xdr:col>2</xdr:col>
      <xdr:colOff>0</xdr:colOff>
      <xdr:row>20</xdr:row>
      <xdr:rowOff>200026</xdr:rowOff>
    </xdr:to>
    <xdr:cxnSp macro="">
      <xdr:nvCxnSpPr>
        <xdr:cNvPr id="2" name="Straight Arrow Connector 1"/>
        <xdr:cNvCxnSpPr/>
      </xdr:nvCxnSpPr>
      <xdr:spPr>
        <a:xfrm flipV="1">
          <a:off x="1133475" y="1733550"/>
          <a:ext cx="657225" cy="2752726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20</xdr:row>
      <xdr:rowOff>190501</xdr:rowOff>
    </xdr:from>
    <xdr:to>
      <xdr:col>2</xdr:col>
      <xdr:colOff>9525</xdr:colOff>
      <xdr:row>26</xdr:row>
      <xdr:rowOff>123825</xdr:rowOff>
    </xdr:to>
    <xdr:cxnSp macro="">
      <xdr:nvCxnSpPr>
        <xdr:cNvPr id="3" name="Straight Arrow Connector 2"/>
        <xdr:cNvCxnSpPr/>
      </xdr:nvCxnSpPr>
      <xdr:spPr>
        <a:xfrm>
          <a:off x="1133475" y="4486276"/>
          <a:ext cx="666750" cy="1085849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4</xdr:row>
      <xdr:rowOff>47625</xdr:rowOff>
    </xdr:from>
    <xdr:to>
      <xdr:col>4</xdr:col>
      <xdr:colOff>38100</xdr:colOff>
      <xdr:row>6</xdr:row>
      <xdr:rowOff>95252</xdr:rowOff>
    </xdr:to>
    <xdr:cxnSp macro="">
      <xdr:nvCxnSpPr>
        <xdr:cNvPr id="4" name="Straight Arrow Connector 3"/>
        <xdr:cNvCxnSpPr/>
      </xdr:nvCxnSpPr>
      <xdr:spPr>
        <a:xfrm flipV="1">
          <a:off x="2714625" y="1257300"/>
          <a:ext cx="1200150" cy="43815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6</xdr:row>
      <xdr:rowOff>102872</xdr:rowOff>
    </xdr:from>
    <xdr:to>
      <xdr:col>4</xdr:col>
      <xdr:colOff>19050</xdr:colOff>
      <xdr:row>14</xdr:row>
      <xdr:rowOff>102870</xdr:rowOff>
    </xdr:to>
    <xdr:cxnSp macro="">
      <xdr:nvCxnSpPr>
        <xdr:cNvPr id="5" name="Straight Arrow Connector 4"/>
        <xdr:cNvCxnSpPr/>
      </xdr:nvCxnSpPr>
      <xdr:spPr>
        <a:xfrm>
          <a:off x="2714625" y="1703072"/>
          <a:ext cx="1181100" cy="153352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24</xdr:row>
      <xdr:rowOff>62865</xdr:rowOff>
    </xdr:from>
    <xdr:to>
      <xdr:col>4</xdr:col>
      <xdr:colOff>38100</xdr:colOff>
      <xdr:row>26</xdr:row>
      <xdr:rowOff>110492</xdr:rowOff>
    </xdr:to>
    <xdr:cxnSp macro="">
      <xdr:nvCxnSpPr>
        <xdr:cNvPr id="6" name="Straight Arrow Connector 5"/>
        <xdr:cNvCxnSpPr/>
      </xdr:nvCxnSpPr>
      <xdr:spPr>
        <a:xfrm flipV="1">
          <a:off x="2714625" y="5120640"/>
          <a:ext cx="1200150" cy="43815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26</xdr:row>
      <xdr:rowOff>95252</xdr:rowOff>
    </xdr:from>
    <xdr:to>
      <xdr:col>4</xdr:col>
      <xdr:colOff>9525</xdr:colOff>
      <xdr:row>34</xdr:row>
      <xdr:rowOff>76200</xdr:rowOff>
    </xdr:to>
    <xdr:cxnSp macro="">
      <xdr:nvCxnSpPr>
        <xdr:cNvPr id="7" name="Straight Arrow Connector 6"/>
        <xdr:cNvCxnSpPr/>
      </xdr:nvCxnSpPr>
      <xdr:spPr>
        <a:xfrm>
          <a:off x="2714625" y="5543552"/>
          <a:ext cx="1171575" cy="151447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</xdr:row>
      <xdr:rowOff>85725</xdr:rowOff>
    </xdr:from>
    <xdr:to>
      <xdr:col>6</xdr:col>
      <xdr:colOff>9525</xdr:colOff>
      <xdr:row>4</xdr:row>
      <xdr:rowOff>95253</xdr:rowOff>
    </xdr:to>
    <xdr:cxnSp macro="">
      <xdr:nvCxnSpPr>
        <xdr:cNvPr id="8" name="Straight Arrow Connector 7"/>
        <xdr:cNvCxnSpPr/>
      </xdr:nvCxnSpPr>
      <xdr:spPr>
        <a:xfrm flipV="1">
          <a:off x="4562475" y="904875"/>
          <a:ext cx="1123950" cy="40005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4</xdr:row>
      <xdr:rowOff>104778</xdr:rowOff>
    </xdr:from>
    <xdr:to>
      <xdr:col>6</xdr:col>
      <xdr:colOff>38100</xdr:colOff>
      <xdr:row>6</xdr:row>
      <xdr:rowOff>104775</xdr:rowOff>
    </xdr:to>
    <xdr:cxnSp macro="">
      <xdr:nvCxnSpPr>
        <xdr:cNvPr id="9" name="Straight Arrow Connector 8"/>
        <xdr:cNvCxnSpPr/>
      </xdr:nvCxnSpPr>
      <xdr:spPr>
        <a:xfrm>
          <a:off x="4562475" y="1314453"/>
          <a:ext cx="115252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95253</xdr:rowOff>
    </xdr:from>
    <xdr:to>
      <xdr:col>8</xdr:col>
      <xdr:colOff>38100</xdr:colOff>
      <xdr:row>4</xdr:row>
      <xdr:rowOff>123825</xdr:rowOff>
    </xdr:to>
    <xdr:cxnSp macro="">
      <xdr:nvCxnSpPr>
        <xdr:cNvPr id="10" name="Straight Arrow Connector 9"/>
        <xdr:cNvCxnSpPr/>
      </xdr:nvCxnSpPr>
      <xdr:spPr>
        <a:xfrm>
          <a:off x="6353175" y="914403"/>
          <a:ext cx="1314450" cy="419097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</xdr:row>
      <xdr:rowOff>95250</xdr:rowOff>
    </xdr:from>
    <xdr:to>
      <xdr:col>8</xdr:col>
      <xdr:colOff>9525</xdr:colOff>
      <xdr:row>2</xdr:row>
      <xdr:rowOff>85728</xdr:rowOff>
    </xdr:to>
    <xdr:cxnSp macro="">
      <xdr:nvCxnSpPr>
        <xdr:cNvPr id="11" name="Straight Arrow Connector 10"/>
        <xdr:cNvCxnSpPr/>
      </xdr:nvCxnSpPr>
      <xdr:spPr>
        <a:xfrm flipV="1">
          <a:off x="6343650" y="666750"/>
          <a:ext cx="1295400" cy="2381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22</xdr:row>
      <xdr:rowOff>85725</xdr:rowOff>
    </xdr:from>
    <xdr:to>
      <xdr:col>6</xdr:col>
      <xdr:colOff>9525</xdr:colOff>
      <xdr:row>24</xdr:row>
      <xdr:rowOff>95253</xdr:rowOff>
    </xdr:to>
    <xdr:cxnSp macro="">
      <xdr:nvCxnSpPr>
        <xdr:cNvPr id="12" name="Straight Arrow Connector 11"/>
        <xdr:cNvCxnSpPr/>
      </xdr:nvCxnSpPr>
      <xdr:spPr>
        <a:xfrm flipV="1">
          <a:off x="4562475" y="476250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24</xdr:row>
      <xdr:rowOff>104778</xdr:rowOff>
    </xdr:from>
    <xdr:to>
      <xdr:col>6</xdr:col>
      <xdr:colOff>38100</xdr:colOff>
      <xdr:row>26</xdr:row>
      <xdr:rowOff>104775</xdr:rowOff>
    </xdr:to>
    <xdr:cxnSp macro="">
      <xdr:nvCxnSpPr>
        <xdr:cNvPr id="13" name="Straight Arrow Connector 12"/>
        <xdr:cNvCxnSpPr/>
      </xdr:nvCxnSpPr>
      <xdr:spPr>
        <a:xfrm>
          <a:off x="4562475" y="5162553"/>
          <a:ext cx="115252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12</xdr:row>
      <xdr:rowOff>85725</xdr:rowOff>
    </xdr:from>
    <xdr:to>
      <xdr:col>6</xdr:col>
      <xdr:colOff>9525</xdr:colOff>
      <xdr:row>14</xdr:row>
      <xdr:rowOff>95253</xdr:rowOff>
    </xdr:to>
    <xdr:cxnSp macro="">
      <xdr:nvCxnSpPr>
        <xdr:cNvPr id="14" name="Straight Arrow Connector 13"/>
        <xdr:cNvCxnSpPr/>
      </xdr:nvCxnSpPr>
      <xdr:spPr>
        <a:xfrm flipV="1">
          <a:off x="4562475" y="283845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14</xdr:row>
      <xdr:rowOff>104778</xdr:rowOff>
    </xdr:from>
    <xdr:to>
      <xdr:col>6</xdr:col>
      <xdr:colOff>38100</xdr:colOff>
      <xdr:row>16</xdr:row>
      <xdr:rowOff>104775</xdr:rowOff>
    </xdr:to>
    <xdr:cxnSp macro="">
      <xdr:nvCxnSpPr>
        <xdr:cNvPr id="15" name="Straight Arrow Connector 14"/>
        <xdr:cNvCxnSpPr/>
      </xdr:nvCxnSpPr>
      <xdr:spPr>
        <a:xfrm>
          <a:off x="4562475" y="3238503"/>
          <a:ext cx="115252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32</xdr:row>
      <xdr:rowOff>85725</xdr:rowOff>
    </xdr:from>
    <xdr:to>
      <xdr:col>6</xdr:col>
      <xdr:colOff>9525</xdr:colOff>
      <xdr:row>34</xdr:row>
      <xdr:rowOff>95253</xdr:rowOff>
    </xdr:to>
    <xdr:cxnSp macro="">
      <xdr:nvCxnSpPr>
        <xdr:cNvPr id="16" name="Straight Arrow Connector 15"/>
        <xdr:cNvCxnSpPr/>
      </xdr:nvCxnSpPr>
      <xdr:spPr>
        <a:xfrm flipV="1">
          <a:off x="4562475" y="668655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34</xdr:row>
      <xdr:rowOff>104778</xdr:rowOff>
    </xdr:from>
    <xdr:to>
      <xdr:col>6</xdr:col>
      <xdr:colOff>38100</xdr:colOff>
      <xdr:row>36</xdr:row>
      <xdr:rowOff>104775</xdr:rowOff>
    </xdr:to>
    <xdr:cxnSp macro="">
      <xdr:nvCxnSpPr>
        <xdr:cNvPr id="17" name="Straight Arrow Connector 16"/>
        <xdr:cNvCxnSpPr/>
      </xdr:nvCxnSpPr>
      <xdr:spPr>
        <a:xfrm>
          <a:off x="4562475" y="7086603"/>
          <a:ext cx="115252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12</xdr:row>
      <xdr:rowOff>95253</xdr:rowOff>
    </xdr:from>
    <xdr:to>
      <xdr:col>8</xdr:col>
      <xdr:colOff>38100</xdr:colOff>
      <xdr:row>14</xdr:row>
      <xdr:rowOff>123825</xdr:rowOff>
    </xdr:to>
    <xdr:cxnSp macro="">
      <xdr:nvCxnSpPr>
        <xdr:cNvPr id="18" name="Straight Arrow Connector 17"/>
        <xdr:cNvCxnSpPr/>
      </xdr:nvCxnSpPr>
      <xdr:spPr>
        <a:xfrm>
          <a:off x="6353175" y="2847978"/>
          <a:ext cx="1314450" cy="4095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10</xdr:row>
      <xdr:rowOff>76200</xdr:rowOff>
    </xdr:from>
    <xdr:to>
      <xdr:col>8</xdr:col>
      <xdr:colOff>9525</xdr:colOff>
      <xdr:row>12</xdr:row>
      <xdr:rowOff>66678</xdr:rowOff>
    </xdr:to>
    <xdr:cxnSp macro="">
      <xdr:nvCxnSpPr>
        <xdr:cNvPr id="19" name="Straight Arrow Connector 18"/>
        <xdr:cNvCxnSpPr/>
      </xdr:nvCxnSpPr>
      <xdr:spPr>
        <a:xfrm flipV="1">
          <a:off x="6343650" y="2447925"/>
          <a:ext cx="1295400" cy="3714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22</xdr:row>
      <xdr:rowOff>95253</xdr:rowOff>
    </xdr:from>
    <xdr:to>
      <xdr:col>8</xdr:col>
      <xdr:colOff>38100</xdr:colOff>
      <xdr:row>24</xdr:row>
      <xdr:rowOff>123825</xdr:rowOff>
    </xdr:to>
    <xdr:cxnSp macro="">
      <xdr:nvCxnSpPr>
        <xdr:cNvPr id="20" name="Straight Arrow Connector 19"/>
        <xdr:cNvCxnSpPr/>
      </xdr:nvCxnSpPr>
      <xdr:spPr>
        <a:xfrm>
          <a:off x="6353175" y="4772028"/>
          <a:ext cx="1314450" cy="4095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20</xdr:row>
      <xdr:rowOff>95250</xdr:rowOff>
    </xdr:from>
    <xdr:to>
      <xdr:col>8</xdr:col>
      <xdr:colOff>9525</xdr:colOff>
      <xdr:row>22</xdr:row>
      <xdr:rowOff>85728</xdr:rowOff>
    </xdr:to>
    <xdr:cxnSp macro="">
      <xdr:nvCxnSpPr>
        <xdr:cNvPr id="21" name="Straight Arrow Connector 20"/>
        <xdr:cNvCxnSpPr/>
      </xdr:nvCxnSpPr>
      <xdr:spPr>
        <a:xfrm flipV="1">
          <a:off x="6343650" y="4391025"/>
          <a:ext cx="1295400" cy="3714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32</xdr:row>
      <xdr:rowOff>95253</xdr:rowOff>
    </xdr:from>
    <xdr:to>
      <xdr:col>8</xdr:col>
      <xdr:colOff>38100</xdr:colOff>
      <xdr:row>34</xdr:row>
      <xdr:rowOff>123825</xdr:rowOff>
    </xdr:to>
    <xdr:cxnSp macro="">
      <xdr:nvCxnSpPr>
        <xdr:cNvPr id="22" name="Straight Arrow Connector 21"/>
        <xdr:cNvCxnSpPr/>
      </xdr:nvCxnSpPr>
      <xdr:spPr>
        <a:xfrm>
          <a:off x="6353175" y="6696078"/>
          <a:ext cx="1314450" cy="4095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30</xdr:row>
      <xdr:rowOff>95250</xdr:rowOff>
    </xdr:from>
    <xdr:to>
      <xdr:col>8</xdr:col>
      <xdr:colOff>9525</xdr:colOff>
      <xdr:row>32</xdr:row>
      <xdr:rowOff>85728</xdr:rowOff>
    </xdr:to>
    <xdr:cxnSp macro="">
      <xdr:nvCxnSpPr>
        <xdr:cNvPr id="23" name="Straight Arrow Connector 22"/>
        <xdr:cNvCxnSpPr/>
      </xdr:nvCxnSpPr>
      <xdr:spPr>
        <a:xfrm flipV="1">
          <a:off x="6343650" y="6315075"/>
          <a:ext cx="1295400" cy="3714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12</xdr:row>
      <xdr:rowOff>85725</xdr:rowOff>
    </xdr:from>
    <xdr:to>
      <xdr:col>6</xdr:col>
      <xdr:colOff>9525</xdr:colOff>
      <xdr:row>14</xdr:row>
      <xdr:rowOff>95253</xdr:rowOff>
    </xdr:to>
    <xdr:cxnSp macro="">
      <xdr:nvCxnSpPr>
        <xdr:cNvPr id="24" name="Straight Arrow Connector 23"/>
        <xdr:cNvCxnSpPr/>
      </xdr:nvCxnSpPr>
      <xdr:spPr>
        <a:xfrm flipV="1">
          <a:off x="4562475" y="283845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22</xdr:row>
      <xdr:rowOff>85725</xdr:rowOff>
    </xdr:from>
    <xdr:to>
      <xdr:col>6</xdr:col>
      <xdr:colOff>9525</xdr:colOff>
      <xdr:row>24</xdr:row>
      <xdr:rowOff>95253</xdr:rowOff>
    </xdr:to>
    <xdr:cxnSp macro="">
      <xdr:nvCxnSpPr>
        <xdr:cNvPr id="25" name="Straight Arrow Connector 24"/>
        <xdr:cNvCxnSpPr/>
      </xdr:nvCxnSpPr>
      <xdr:spPr>
        <a:xfrm flipV="1">
          <a:off x="4562475" y="476250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32</xdr:row>
      <xdr:rowOff>85725</xdr:rowOff>
    </xdr:from>
    <xdr:to>
      <xdr:col>6</xdr:col>
      <xdr:colOff>9525</xdr:colOff>
      <xdr:row>34</xdr:row>
      <xdr:rowOff>95253</xdr:rowOff>
    </xdr:to>
    <xdr:cxnSp macro="">
      <xdr:nvCxnSpPr>
        <xdr:cNvPr id="26" name="Straight Arrow Connector 25"/>
        <xdr:cNvCxnSpPr/>
      </xdr:nvCxnSpPr>
      <xdr:spPr>
        <a:xfrm flipV="1">
          <a:off x="4562475" y="668655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1104900</xdr:colOff>
      <xdr:row>20</xdr:row>
      <xdr:rowOff>129540</xdr:rowOff>
    </xdr:from>
    <xdr:to>
      <xdr:col>1</xdr:col>
      <xdr:colOff>91440</xdr:colOff>
      <xdr:row>21</xdr:row>
      <xdr:rowOff>64770</xdr:rowOff>
    </xdr:to>
    <xdr:sp macro="" textlink="">
      <xdr:nvSpPr>
        <xdr:cNvPr id="27" name="Rectangle 26"/>
        <xdr:cNvSpPr/>
      </xdr:nvSpPr>
      <xdr:spPr>
        <a:xfrm>
          <a:off x="1104900" y="4425315"/>
          <a:ext cx="100965" cy="12573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6</xdr:row>
      <xdr:rowOff>133350</xdr:rowOff>
    </xdr:from>
    <xdr:to>
      <xdr:col>2</xdr:col>
      <xdr:colOff>0</xdr:colOff>
      <xdr:row>16</xdr:row>
      <xdr:rowOff>200026</xdr:rowOff>
    </xdr:to>
    <xdr:cxnSp macro="">
      <xdr:nvCxnSpPr>
        <xdr:cNvPr id="2" name="Straight Arrow Connector 1"/>
        <xdr:cNvCxnSpPr/>
      </xdr:nvCxnSpPr>
      <xdr:spPr>
        <a:xfrm flipV="1">
          <a:off x="1133475" y="1733550"/>
          <a:ext cx="657225" cy="1990726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16</xdr:row>
      <xdr:rowOff>190501</xdr:rowOff>
    </xdr:from>
    <xdr:to>
      <xdr:col>2</xdr:col>
      <xdr:colOff>9525</xdr:colOff>
      <xdr:row>25</xdr:row>
      <xdr:rowOff>123825</xdr:rowOff>
    </xdr:to>
    <xdr:cxnSp macro="">
      <xdr:nvCxnSpPr>
        <xdr:cNvPr id="3" name="Straight Arrow Connector 2"/>
        <xdr:cNvCxnSpPr/>
      </xdr:nvCxnSpPr>
      <xdr:spPr>
        <a:xfrm>
          <a:off x="1133475" y="3724276"/>
          <a:ext cx="666750" cy="1657349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4</xdr:row>
      <xdr:rowOff>47625</xdr:rowOff>
    </xdr:from>
    <xdr:to>
      <xdr:col>4</xdr:col>
      <xdr:colOff>38100</xdr:colOff>
      <xdr:row>6</xdr:row>
      <xdr:rowOff>95252</xdr:rowOff>
    </xdr:to>
    <xdr:cxnSp macro="">
      <xdr:nvCxnSpPr>
        <xdr:cNvPr id="4" name="Straight Arrow Connector 3"/>
        <xdr:cNvCxnSpPr/>
      </xdr:nvCxnSpPr>
      <xdr:spPr>
        <a:xfrm flipV="1">
          <a:off x="2895600" y="1257300"/>
          <a:ext cx="1438275" cy="43815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6</xdr:row>
      <xdr:rowOff>95252</xdr:rowOff>
    </xdr:from>
    <xdr:to>
      <xdr:col>4</xdr:col>
      <xdr:colOff>19050</xdr:colOff>
      <xdr:row>13</xdr:row>
      <xdr:rowOff>95250</xdr:rowOff>
    </xdr:to>
    <xdr:cxnSp macro="">
      <xdr:nvCxnSpPr>
        <xdr:cNvPr id="5" name="Straight Arrow Connector 4"/>
        <xdr:cNvCxnSpPr/>
      </xdr:nvCxnSpPr>
      <xdr:spPr>
        <a:xfrm>
          <a:off x="2895600" y="1695452"/>
          <a:ext cx="1419225" cy="134302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23</xdr:row>
      <xdr:rowOff>47625</xdr:rowOff>
    </xdr:from>
    <xdr:to>
      <xdr:col>4</xdr:col>
      <xdr:colOff>38100</xdr:colOff>
      <xdr:row>25</xdr:row>
      <xdr:rowOff>95252</xdr:rowOff>
    </xdr:to>
    <xdr:cxnSp macro="">
      <xdr:nvCxnSpPr>
        <xdr:cNvPr id="6" name="Straight Arrow Connector 5"/>
        <xdr:cNvCxnSpPr/>
      </xdr:nvCxnSpPr>
      <xdr:spPr>
        <a:xfrm flipV="1">
          <a:off x="2895600" y="4914900"/>
          <a:ext cx="1438275" cy="43815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25</xdr:row>
      <xdr:rowOff>95252</xdr:rowOff>
    </xdr:from>
    <xdr:to>
      <xdr:col>4</xdr:col>
      <xdr:colOff>9525</xdr:colOff>
      <xdr:row>32</xdr:row>
      <xdr:rowOff>76200</xdr:rowOff>
    </xdr:to>
    <xdr:cxnSp macro="">
      <xdr:nvCxnSpPr>
        <xdr:cNvPr id="7" name="Straight Arrow Connector 6"/>
        <xdr:cNvCxnSpPr/>
      </xdr:nvCxnSpPr>
      <xdr:spPr>
        <a:xfrm>
          <a:off x="2895600" y="5353052"/>
          <a:ext cx="1409700" cy="132397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</xdr:row>
      <xdr:rowOff>85725</xdr:rowOff>
    </xdr:from>
    <xdr:to>
      <xdr:col>6</xdr:col>
      <xdr:colOff>9525</xdr:colOff>
      <xdr:row>4</xdr:row>
      <xdr:rowOff>95253</xdr:rowOff>
    </xdr:to>
    <xdr:cxnSp macro="">
      <xdr:nvCxnSpPr>
        <xdr:cNvPr id="8" name="Straight Arrow Connector 7"/>
        <xdr:cNvCxnSpPr/>
      </xdr:nvCxnSpPr>
      <xdr:spPr>
        <a:xfrm flipV="1">
          <a:off x="4981575" y="904875"/>
          <a:ext cx="1123950" cy="40005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4</xdr:row>
      <xdr:rowOff>104778</xdr:rowOff>
    </xdr:from>
    <xdr:to>
      <xdr:col>6</xdr:col>
      <xdr:colOff>38100</xdr:colOff>
      <xdr:row>6</xdr:row>
      <xdr:rowOff>104775</xdr:rowOff>
    </xdr:to>
    <xdr:cxnSp macro="">
      <xdr:nvCxnSpPr>
        <xdr:cNvPr id="9" name="Straight Arrow Connector 8"/>
        <xdr:cNvCxnSpPr/>
      </xdr:nvCxnSpPr>
      <xdr:spPr>
        <a:xfrm>
          <a:off x="4981575" y="1314453"/>
          <a:ext cx="115252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95253</xdr:rowOff>
    </xdr:from>
    <xdr:to>
      <xdr:col>8</xdr:col>
      <xdr:colOff>38100</xdr:colOff>
      <xdr:row>4</xdr:row>
      <xdr:rowOff>123825</xdr:rowOff>
    </xdr:to>
    <xdr:cxnSp macro="">
      <xdr:nvCxnSpPr>
        <xdr:cNvPr id="10" name="Straight Arrow Connector 9"/>
        <xdr:cNvCxnSpPr/>
      </xdr:nvCxnSpPr>
      <xdr:spPr>
        <a:xfrm>
          <a:off x="6772275" y="914403"/>
          <a:ext cx="1314450" cy="419097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</xdr:row>
      <xdr:rowOff>95250</xdr:rowOff>
    </xdr:from>
    <xdr:to>
      <xdr:col>8</xdr:col>
      <xdr:colOff>9525</xdr:colOff>
      <xdr:row>2</xdr:row>
      <xdr:rowOff>85728</xdr:rowOff>
    </xdr:to>
    <xdr:cxnSp macro="">
      <xdr:nvCxnSpPr>
        <xdr:cNvPr id="11" name="Straight Arrow Connector 10"/>
        <xdr:cNvCxnSpPr/>
      </xdr:nvCxnSpPr>
      <xdr:spPr>
        <a:xfrm flipV="1">
          <a:off x="6762750" y="666750"/>
          <a:ext cx="1295400" cy="2381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</xdr:row>
      <xdr:rowOff>85725</xdr:rowOff>
    </xdr:from>
    <xdr:to>
      <xdr:col>6</xdr:col>
      <xdr:colOff>9525</xdr:colOff>
      <xdr:row>23</xdr:row>
      <xdr:rowOff>95253</xdr:rowOff>
    </xdr:to>
    <xdr:cxnSp macro="">
      <xdr:nvCxnSpPr>
        <xdr:cNvPr id="12" name="Straight Arrow Connector 11"/>
        <xdr:cNvCxnSpPr/>
      </xdr:nvCxnSpPr>
      <xdr:spPr>
        <a:xfrm flipV="1">
          <a:off x="4981575" y="457200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23</xdr:row>
      <xdr:rowOff>104778</xdr:rowOff>
    </xdr:from>
    <xdr:to>
      <xdr:col>6</xdr:col>
      <xdr:colOff>38100</xdr:colOff>
      <xdr:row>25</xdr:row>
      <xdr:rowOff>104775</xdr:rowOff>
    </xdr:to>
    <xdr:cxnSp macro="">
      <xdr:nvCxnSpPr>
        <xdr:cNvPr id="13" name="Straight Arrow Connector 12"/>
        <xdr:cNvCxnSpPr/>
      </xdr:nvCxnSpPr>
      <xdr:spPr>
        <a:xfrm>
          <a:off x="4981575" y="4972053"/>
          <a:ext cx="115252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11</xdr:row>
      <xdr:rowOff>85725</xdr:rowOff>
    </xdr:from>
    <xdr:to>
      <xdr:col>6</xdr:col>
      <xdr:colOff>9525</xdr:colOff>
      <xdr:row>13</xdr:row>
      <xdr:rowOff>95253</xdr:rowOff>
    </xdr:to>
    <xdr:cxnSp macro="">
      <xdr:nvCxnSpPr>
        <xdr:cNvPr id="14" name="Straight Arrow Connector 13"/>
        <xdr:cNvCxnSpPr/>
      </xdr:nvCxnSpPr>
      <xdr:spPr>
        <a:xfrm flipV="1">
          <a:off x="4981575" y="264795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13</xdr:row>
      <xdr:rowOff>104778</xdr:rowOff>
    </xdr:from>
    <xdr:to>
      <xdr:col>6</xdr:col>
      <xdr:colOff>38100</xdr:colOff>
      <xdr:row>15</xdr:row>
      <xdr:rowOff>104775</xdr:rowOff>
    </xdr:to>
    <xdr:cxnSp macro="">
      <xdr:nvCxnSpPr>
        <xdr:cNvPr id="15" name="Straight Arrow Connector 14"/>
        <xdr:cNvCxnSpPr/>
      </xdr:nvCxnSpPr>
      <xdr:spPr>
        <a:xfrm>
          <a:off x="4981575" y="3048003"/>
          <a:ext cx="115252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30</xdr:row>
      <xdr:rowOff>85725</xdr:rowOff>
    </xdr:from>
    <xdr:to>
      <xdr:col>6</xdr:col>
      <xdr:colOff>9525</xdr:colOff>
      <xdr:row>32</xdr:row>
      <xdr:rowOff>95253</xdr:rowOff>
    </xdr:to>
    <xdr:cxnSp macro="">
      <xdr:nvCxnSpPr>
        <xdr:cNvPr id="16" name="Straight Arrow Connector 15"/>
        <xdr:cNvCxnSpPr/>
      </xdr:nvCxnSpPr>
      <xdr:spPr>
        <a:xfrm flipV="1">
          <a:off x="4981575" y="630555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32</xdr:row>
      <xdr:rowOff>104778</xdr:rowOff>
    </xdr:from>
    <xdr:to>
      <xdr:col>6</xdr:col>
      <xdr:colOff>38100</xdr:colOff>
      <xdr:row>34</xdr:row>
      <xdr:rowOff>104775</xdr:rowOff>
    </xdr:to>
    <xdr:cxnSp macro="">
      <xdr:nvCxnSpPr>
        <xdr:cNvPr id="17" name="Straight Arrow Connector 16"/>
        <xdr:cNvCxnSpPr/>
      </xdr:nvCxnSpPr>
      <xdr:spPr>
        <a:xfrm>
          <a:off x="4981575" y="6705603"/>
          <a:ext cx="115252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11</xdr:row>
      <xdr:rowOff>95253</xdr:rowOff>
    </xdr:from>
    <xdr:to>
      <xdr:col>8</xdr:col>
      <xdr:colOff>38100</xdr:colOff>
      <xdr:row>13</xdr:row>
      <xdr:rowOff>123825</xdr:rowOff>
    </xdr:to>
    <xdr:cxnSp macro="">
      <xdr:nvCxnSpPr>
        <xdr:cNvPr id="18" name="Straight Arrow Connector 17"/>
        <xdr:cNvCxnSpPr/>
      </xdr:nvCxnSpPr>
      <xdr:spPr>
        <a:xfrm>
          <a:off x="6772275" y="2657478"/>
          <a:ext cx="1314450" cy="4095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10</xdr:row>
      <xdr:rowOff>76200</xdr:rowOff>
    </xdr:from>
    <xdr:to>
      <xdr:col>8</xdr:col>
      <xdr:colOff>0</xdr:colOff>
      <xdr:row>11</xdr:row>
      <xdr:rowOff>85729</xdr:rowOff>
    </xdr:to>
    <xdr:cxnSp macro="">
      <xdr:nvCxnSpPr>
        <xdr:cNvPr id="19" name="Straight Arrow Connector 18"/>
        <xdr:cNvCxnSpPr/>
      </xdr:nvCxnSpPr>
      <xdr:spPr>
        <a:xfrm flipV="1">
          <a:off x="6762750" y="2447925"/>
          <a:ext cx="1285875" cy="200029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21</xdr:row>
      <xdr:rowOff>95253</xdr:rowOff>
    </xdr:from>
    <xdr:to>
      <xdr:col>8</xdr:col>
      <xdr:colOff>38100</xdr:colOff>
      <xdr:row>23</xdr:row>
      <xdr:rowOff>123825</xdr:rowOff>
    </xdr:to>
    <xdr:cxnSp macro="">
      <xdr:nvCxnSpPr>
        <xdr:cNvPr id="20" name="Straight Arrow Connector 19"/>
        <xdr:cNvCxnSpPr/>
      </xdr:nvCxnSpPr>
      <xdr:spPr>
        <a:xfrm>
          <a:off x="6772275" y="4581528"/>
          <a:ext cx="1314450" cy="4095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19</xdr:row>
      <xdr:rowOff>66675</xdr:rowOff>
    </xdr:from>
    <xdr:to>
      <xdr:col>7</xdr:col>
      <xdr:colOff>1276350</xdr:colOff>
      <xdr:row>21</xdr:row>
      <xdr:rowOff>85728</xdr:rowOff>
    </xdr:to>
    <xdr:cxnSp macro="">
      <xdr:nvCxnSpPr>
        <xdr:cNvPr id="21" name="Straight Arrow Connector 20"/>
        <xdr:cNvCxnSpPr/>
      </xdr:nvCxnSpPr>
      <xdr:spPr>
        <a:xfrm flipV="1">
          <a:off x="6762750" y="4171950"/>
          <a:ext cx="1266825" cy="40005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30</xdr:row>
      <xdr:rowOff>95253</xdr:rowOff>
    </xdr:from>
    <xdr:to>
      <xdr:col>8</xdr:col>
      <xdr:colOff>38100</xdr:colOff>
      <xdr:row>32</xdr:row>
      <xdr:rowOff>123825</xdr:rowOff>
    </xdr:to>
    <xdr:cxnSp macro="">
      <xdr:nvCxnSpPr>
        <xdr:cNvPr id="22" name="Straight Arrow Connector 21"/>
        <xdr:cNvCxnSpPr/>
      </xdr:nvCxnSpPr>
      <xdr:spPr>
        <a:xfrm>
          <a:off x="6772275" y="6315078"/>
          <a:ext cx="1314450" cy="4095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29</xdr:row>
      <xdr:rowOff>95250</xdr:rowOff>
    </xdr:from>
    <xdr:to>
      <xdr:col>8</xdr:col>
      <xdr:colOff>9525</xdr:colOff>
      <xdr:row>30</xdr:row>
      <xdr:rowOff>85729</xdr:rowOff>
    </xdr:to>
    <xdr:cxnSp macro="">
      <xdr:nvCxnSpPr>
        <xdr:cNvPr id="23" name="Straight Arrow Connector 22"/>
        <xdr:cNvCxnSpPr/>
      </xdr:nvCxnSpPr>
      <xdr:spPr>
        <a:xfrm flipV="1">
          <a:off x="6762750" y="6124575"/>
          <a:ext cx="1295400" cy="180979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11</xdr:row>
      <xdr:rowOff>85725</xdr:rowOff>
    </xdr:from>
    <xdr:to>
      <xdr:col>6</xdr:col>
      <xdr:colOff>9525</xdr:colOff>
      <xdr:row>13</xdr:row>
      <xdr:rowOff>95253</xdr:rowOff>
    </xdr:to>
    <xdr:cxnSp macro="">
      <xdr:nvCxnSpPr>
        <xdr:cNvPr id="24" name="Straight Arrow Connector 23"/>
        <xdr:cNvCxnSpPr/>
      </xdr:nvCxnSpPr>
      <xdr:spPr>
        <a:xfrm flipV="1">
          <a:off x="4981575" y="264795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</xdr:row>
      <xdr:rowOff>85725</xdr:rowOff>
    </xdr:from>
    <xdr:to>
      <xdr:col>6</xdr:col>
      <xdr:colOff>9525</xdr:colOff>
      <xdr:row>23</xdr:row>
      <xdr:rowOff>95253</xdr:rowOff>
    </xdr:to>
    <xdr:cxnSp macro="">
      <xdr:nvCxnSpPr>
        <xdr:cNvPr id="25" name="Straight Arrow Connector 24"/>
        <xdr:cNvCxnSpPr/>
      </xdr:nvCxnSpPr>
      <xdr:spPr>
        <a:xfrm flipV="1">
          <a:off x="4981575" y="457200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30</xdr:row>
      <xdr:rowOff>85725</xdr:rowOff>
    </xdr:from>
    <xdr:to>
      <xdr:col>6</xdr:col>
      <xdr:colOff>9525</xdr:colOff>
      <xdr:row>32</xdr:row>
      <xdr:rowOff>95253</xdr:rowOff>
    </xdr:to>
    <xdr:cxnSp macro="">
      <xdr:nvCxnSpPr>
        <xdr:cNvPr id="26" name="Straight Arrow Connector 25"/>
        <xdr:cNvCxnSpPr/>
      </xdr:nvCxnSpPr>
      <xdr:spPr>
        <a:xfrm flipV="1">
          <a:off x="4981575" y="630555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6</xdr:row>
      <xdr:rowOff>133350</xdr:rowOff>
    </xdr:from>
    <xdr:to>
      <xdr:col>2</xdr:col>
      <xdr:colOff>0</xdr:colOff>
      <xdr:row>20</xdr:row>
      <xdr:rowOff>200026</xdr:rowOff>
    </xdr:to>
    <xdr:cxnSp macro="">
      <xdr:nvCxnSpPr>
        <xdr:cNvPr id="2" name="Straight Arrow Connector 1"/>
        <xdr:cNvCxnSpPr/>
      </xdr:nvCxnSpPr>
      <xdr:spPr>
        <a:xfrm flipV="1">
          <a:off x="1133475" y="1733550"/>
          <a:ext cx="762000" cy="2752726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20</xdr:row>
      <xdr:rowOff>190501</xdr:rowOff>
    </xdr:from>
    <xdr:to>
      <xdr:col>2</xdr:col>
      <xdr:colOff>9525</xdr:colOff>
      <xdr:row>25</xdr:row>
      <xdr:rowOff>123825</xdr:rowOff>
    </xdr:to>
    <xdr:cxnSp macro="">
      <xdr:nvCxnSpPr>
        <xdr:cNvPr id="3" name="Straight Arrow Connector 2"/>
        <xdr:cNvCxnSpPr/>
      </xdr:nvCxnSpPr>
      <xdr:spPr>
        <a:xfrm>
          <a:off x="1133475" y="4486276"/>
          <a:ext cx="771525" cy="895349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4</xdr:row>
      <xdr:rowOff>47625</xdr:rowOff>
    </xdr:from>
    <xdr:to>
      <xdr:col>4</xdr:col>
      <xdr:colOff>38100</xdr:colOff>
      <xdr:row>6</xdr:row>
      <xdr:rowOff>95252</xdr:rowOff>
    </xdr:to>
    <xdr:cxnSp macro="">
      <xdr:nvCxnSpPr>
        <xdr:cNvPr id="4" name="Straight Arrow Connector 3"/>
        <xdr:cNvCxnSpPr/>
      </xdr:nvCxnSpPr>
      <xdr:spPr>
        <a:xfrm flipV="1">
          <a:off x="2733675" y="1257300"/>
          <a:ext cx="1200150" cy="43815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6</xdr:row>
      <xdr:rowOff>95252</xdr:rowOff>
    </xdr:from>
    <xdr:to>
      <xdr:col>4</xdr:col>
      <xdr:colOff>19050</xdr:colOff>
      <xdr:row>14</xdr:row>
      <xdr:rowOff>95250</xdr:rowOff>
    </xdr:to>
    <xdr:cxnSp macro="">
      <xdr:nvCxnSpPr>
        <xdr:cNvPr id="5" name="Straight Arrow Connector 4"/>
        <xdr:cNvCxnSpPr/>
      </xdr:nvCxnSpPr>
      <xdr:spPr>
        <a:xfrm>
          <a:off x="2733675" y="1695452"/>
          <a:ext cx="1181100" cy="153352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23</xdr:row>
      <xdr:rowOff>47625</xdr:rowOff>
    </xdr:from>
    <xdr:to>
      <xdr:col>4</xdr:col>
      <xdr:colOff>38100</xdr:colOff>
      <xdr:row>25</xdr:row>
      <xdr:rowOff>95252</xdr:rowOff>
    </xdr:to>
    <xdr:cxnSp macro="">
      <xdr:nvCxnSpPr>
        <xdr:cNvPr id="6" name="Straight Arrow Connector 5"/>
        <xdr:cNvCxnSpPr/>
      </xdr:nvCxnSpPr>
      <xdr:spPr>
        <a:xfrm flipV="1">
          <a:off x="2733675" y="4914900"/>
          <a:ext cx="1200150" cy="43815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25</xdr:row>
      <xdr:rowOff>95252</xdr:rowOff>
    </xdr:from>
    <xdr:to>
      <xdr:col>4</xdr:col>
      <xdr:colOff>9525</xdr:colOff>
      <xdr:row>33</xdr:row>
      <xdr:rowOff>76200</xdr:rowOff>
    </xdr:to>
    <xdr:cxnSp macro="">
      <xdr:nvCxnSpPr>
        <xdr:cNvPr id="7" name="Straight Arrow Connector 6"/>
        <xdr:cNvCxnSpPr/>
      </xdr:nvCxnSpPr>
      <xdr:spPr>
        <a:xfrm>
          <a:off x="2733675" y="5353052"/>
          <a:ext cx="1171575" cy="151447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</xdr:row>
      <xdr:rowOff>85725</xdr:rowOff>
    </xdr:from>
    <xdr:to>
      <xdr:col>6</xdr:col>
      <xdr:colOff>9525</xdr:colOff>
      <xdr:row>4</xdr:row>
      <xdr:rowOff>95253</xdr:rowOff>
    </xdr:to>
    <xdr:cxnSp macro="">
      <xdr:nvCxnSpPr>
        <xdr:cNvPr id="8" name="Straight Arrow Connector 7"/>
        <xdr:cNvCxnSpPr/>
      </xdr:nvCxnSpPr>
      <xdr:spPr>
        <a:xfrm flipV="1">
          <a:off x="4581525" y="904875"/>
          <a:ext cx="1123950" cy="400053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4</xdr:row>
      <xdr:rowOff>104778</xdr:rowOff>
    </xdr:from>
    <xdr:to>
      <xdr:col>6</xdr:col>
      <xdr:colOff>38100</xdr:colOff>
      <xdr:row>6</xdr:row>
      <xdr:rowOff>104775</xdr:rowOff>
    </xdr:to>
    <xdr:cxnSp macro="">
      <xdr:nvCxnSpPr>
        <xdr:cNvPr id="9" name="Straight Arrow Connector 8"/>
        <xdr:cNvCxnSpPr/>
      </xdr:nvCxnSpPr>
      <xdr:spPr>
        <a:xfrm>
          <a:off x="4581525" y="1314453"/>
          <a:ext cx="115252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95253</xdr:rowOff>
    </xdr:from>
    <xdr:to>
      <xdr:col>8</xdr:col>
      <xdr:colOff>38100</xdr:colOff>
      <xdr:row>4</xdr:row>
      <xdr:rowOff>123825</xdr:rowOff>
    </xdr:to>
    <xdr:cxnSp macro="">
      <xdr:nvCxnSpPr>
        <xdr:cNvPr id="10" name="Straight Arrow Connector 9"/>
        <xdr:cNvCxnSpPr/>
      </xdr:nvCxnSpPr>
      <xdr:spPr>
        <a:xfrm>
          <a:off x="6372225" y="914403"/>
          <a:ext cx="1314450" cy="419097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</xdr:row>
      <xdr:rowOff>95250</xdr:rowOff>
    </xdr:from>
    <xdr:to>
      <xdr:col>8</xdr:col>
      <xdr:colOff>9525</xdr:colOff>
      <xdr:row>2</xdr:row>
      <xdr:rowOff>85728</xdr:rowOff>
    </xdr:to>
    <xdr:cxnSp macro="">
      <xdr:nvCxnSpPr>
        <xdr:cNvPr id="11" name="Straight Arrow Connector 10"/>
        <xdr:cNvCxnSpPr/>
      </xdr:nvCxnSpPr>
      <xdr:spPr>
        <a:xfrm flipV="1">
          <a:off x="6362700" y="666750"/>
          <a:ext cx="1295400" cy="2381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</xdr:row>
      <xdr:rowOff>85725</xdr:rowOff>
    </xdr:from>
    <xdr:to>
      <xdr:col>6</xdr:col>
      <xdr:colOff>9525</xdr:colOff>
      <xdr:row>23</xdr:row>
      <xdr:rowOff>95253</xdr:rowOff>
    </xdr:to>
    <xdr:cxnSp macro="">
      <xdr:nvCxnSpPr>
        <xdr:cNvPr id="12" name="Straight Arrow Connector 11"/>
        <xdr:cNvCxnSpPr/>
      </xdr:nvCxnSpPr>
      <xdr:spPr>
        <a:xfrm flipV="1">
          <a:off x="4581525" y="457200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23</xdr:row>
      <xdr:rowOff>104778</xdr:rowOff>
    </xdr:from>
    <xdr:to>
      <xdr:col>6</xdr:col>
      <xdr:colOff>38100</xdr:colOff>
      <xdr:row>25</xdr:row>
      <xdr:rowOff>104775</xdr:rowOff>
    </xdr:to>
    <xdr:cxnSp macro="">
      <xdr:nvCxnSpPr>
        <xdr:cNvPr id="13" name="Straight Arrow Connector 12"/>
        <xdr:cNvCxnSpPr/>
      </xdr:nvCxnSpPr>
      <xdr:spPr>
        <a:xfrm>
          <a:off x="4581525" y="4972053"/>
          <a:ext cx="115252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12</xdr:row>
      <xdr:rowOff>85725</xdr:rowOff>
    </xdr:from>
    <xdr:to>
      <xdr:col>6</xdr:col>
      <xdr:colOff>9525</xdr:colOff>
      <xdr:row>14</xdr:row>
      <xdr:rowOff>95253</xdr:rowOff>
    </xdr:to>
    <xdr:cxnSp macro="">
      <xdr:nvCxnSpPr>
        <xdr:cNvPr id="14" name="Straight Arrow Connector 13"/>
        <xdr:cNvCxnSpPr/>
      </xdr:nvCxnSpPr>
      <xdr:spPr>
        <a:xfrm flipV="1">
          <a:off x="4581525" y="283845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14</xdr:row>
      <xdr:rowOff>104778</xdr:rowOff>
    </xdr:from>
    <xdr:to>
      <xdr:col>5</xdr:col>
      <xdr:colOff>1057275</xdr:colOff>
      <xdr:row>16</xdr:row>
      <xdr:rowOff>104775</xdr:rowOff>
    </xdr:to>
    <xdr:cxnSp macro="">
      <xdr:nvCxnSpPr>
        <xdr:cNvPr id="15" name="Straight Arrow Connector 14"/>
        <xdr:cNvCxnSpPr/>
      </xdr:nvCxnSpPr>
      <xdr:spPr>
        <a:xfrm>
          <a:off x="4581525" y="3238503"/>
          <a:ext cx="105727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30</xdr:row>
      <xdr:rowOff>85725</xdr:rowOff>
    </xdr:from>
    <xdr:to>
      <xdr:col>6</xdr:col>
      <xdr:colOff>9525</xdr:colOff>
      <xdr:row>33</xdr:row>
      <xdr:rowOff>95253</xdr:rowOff>
    </xdr:to>
    <xdr:cxnSp macro="">
      <xdr:nvCxnSpPr>
        <xdr:cNvPr id="16" name="Straight Arrow Connector 15"/>
        <xdr:cNvCxnSpPr/>
      </xdr:nvCxnSpPr>
      <xdr:spPr>
        <a:xfrm flipV="1">
          <a:off x="4581525" y="6305550"/>
          <a:ext cx="1123950" cy="5810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33</xdr:row>
      <xdr:rowOff>104778</xdr:rowOff>
    </xdr:from>
    <xdr:to>
      <xdr:col>6</xdr:col>
      <xdr:colOff>38100</xdr:colOff>
      <xdr:row>35</xdr:row>
      <xdr:rowOff>104775</xdr:rowOff>
    </xdr:to>
    <xdr:cxnSp macro="">
      <xdr:nvCxnSpPr>
        <xdr:cNvPr id="17" name="Straight Arrow Connector 16"/>
        <xdr:cNvCxnSpPr/>
      </xdr:nvCxnSpPr>
      <xdr:spPr>
        <a:xfrm>
          <a:off x="4581525" y="6896103"/>
          <a:ext cx="1152525" cy="390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21</xdr:row>
      <xdr:rowOff>95253</xdr:rowOff>
    </xdr:from>
    <xdr:to>
      <xdr:col>8</xdr:col>
      <xdr:colOff>38100</xdr:colOff>
      <xdr:row>23</xdr:row>
      <xdr:rowOff>123825</xdr:rowOff>
    </xdr:to>
    <xdr:cxnSp macro="">
      <xdr:nvCxnSpPr>
        <xdr:cNvPr id="18" name="Straight Arrow Connector 17"/>
        <xdr:cNvCxnSpPr/>
      </xdr:nvCxnSpPr>
      <xdr:spPr>
        <a:xfrm>
          <a:off x="6372225" y="4581528"/>
          <a:ext cx="1314450" cy="4095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20</xdr:row>
      <xdr:rowOff>95250</xdr:rowOff>
    </xdr:from>
    <xdr:to>
      <xdr:col>8</xdr:col>
      <xdr:colOff>9525</xdr:colOff>
      <xdr:row>21</xdr:row>
      <xdr:rowOff>85728</xdr:rowOff>
    </xdr:to>
    <xdr:cxnSp macro="">
      <xdr:nvCxnSpPr>
        <xdr:cNvPr id="19" name="Straight Arrow Connector 18"/>
        <xdr:cNvCxnSpPr/>
      </xdr:nvCxnSpPr>
      <xdr:spPr>
        <a:xfrm flipV="1">
          <a:off x="6362700" y="4391025"/>
          <a:ext cx="1295400" cy="1809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30</xdr:row>
      <xdr:rowOff>95253</xdr:rowOff>
    </xdr:from>
    <xdr:to>
      <xdr:col>8</xdr:col>
      <xdr:colOff>38100</xdr:colOff>
      <xdr:row>33</xdr:row>
      <xdr:rowOff>123825</xdr:rowOff>
    </xdr:to>
    <xdr:cxnSp macro="">
      <xdr:nvCxnSpPr>
        <xdr:cNvPr id="20" name="Straight Arrow Connector 19"/>
        <xdr:cNvCxnSpPr/>
      </xdr:nvCxnSpPr>
      <xdr:spPr>
        <a:xfrm>
          <a:off x="6372225" y="6315078"/>
          <a:ext cx="1314450" cy="600072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29</xdr:row>
      <xdr:rowOff>95250</xdr:rowOff>
    </xdr:from>
    <xdr:to>
      <xdr:col>8</xdr:col>
      <xdr:colOff>9525</xdr:colOff>
      <xdr:row>30</xdr:row>
      <xdr:rowOff>85728</xdr:rowOff>
    </xdr:to>
    <xdr:cxnSp macro="">
      <xdr:nvCxnSpPr>
        <xdr:cNvPr id="21" name="Straight Arrow Connector 20"/>
        <xdr:cNvCxnSpPr/>
      </xdr:nvCxnSpPr>
      <xdr:spPr>
        <a:xfrm flipV="1">
          <a:off x="6362700" y="6124575"/>
          <a:ext cx="1295400" cy="18097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12</xdr:row>
      <xdr:rowOff>85725</xdr:rowOff>
    </xdr:from>
    <xdr:to>
      <xdr:col>6</xdr:col>
      <xdr:colOff>9525</xdr:colOff>
      <xdr:row>14</xdr:row>
      <xdr:rowOff>95253</xdr:rowOff>
    </xdr:to>
    <xdr:cxnSp macro="">
      <xdr:nvCxnSpPr>
        <xdr:cNvPr id="22" name="Straight Arrow Connector 21"/>
        <xdr:cNvCxnSpPr/>
      </xdr:nvCxnSpPr>
      <xdr:spPr>
        <a:xfrm flipV="1">
          <a:off x="4581525" y="283845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</xdr:row>
      <xdr:rowOff>85725</xdr:rowOff>
    </xdr:from>
    <xdr:to>
      <xdr:col>6</xdr:col>
      <xdr:colOff>9525</xdr:colOff>
      <xdr:row>23</xdr:row>
      <xdr:rowOff>95253</xdr:rowOff>
    </xdr:to>
    <xdr:cxnSp macro="">
      <xdr:nvCxnSpPr>
        <xdr:cNvPr id="23" name="Straight Arrow Connector 22"/>
        <xdr:cNvCxnSpPr/>
      </xdr:nvCxnSpPr>
      <xdr:spPr>
        <a:xfrm flipV="1">
          <a:off x="4581525" y="4572000"/>
          <a:ext cx="1123950" cy="3905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30</xdr:row>
      <xdr:rowOff>85725</xdr:rowOff>
    </xdr:from>
    <xdr:to>
      <xdr:col>6</xdr:col>
      <xdr:colOff>9525</xdr:colOff>
      <xdr:row>33</xdr:row>
      <xdr:rowOff>95253</xdr:rowOff>
    </xdr:to>
    <xdr:cxnSp macro="">
      <xdr:nvCxnSpPr>
        <xdr:cNvPr id="24" name="Straight Arrow Connector 23"/>
        <xdr:cNvCxnSpPr/>
      </xdr:nvCxnSpPr>
      <xdr:spPr>
        <a:xfrm flipV="1">
          <a:off x="4581525" y="6305550"/>
          <a:ext cx="1123950" cy="581028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0</xdr:row>
      <xdr:rowOff>452436</xdr:rowOff>
    </xdr:from>
    <xdr:to>
      <xdr:col>15</xdr:col>
      <xdr:colOff>561975</xdr:colOff>
      <xdr:row>19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96"/>
  <sheetViews>
    <sheetView tabSelected="1" workbookViewId="0">
      <selection activeCell="A7" sqref="A7"/>
    </sheetView>
  </sheetViews>
  <sheetFormatPr defaultColWidth="9.08984375" defaultRowHeight="14.5" x14ac:dyDescent="0.35"/>
  <cols>
    <col min="1" max="1" width="16.6328125" style="1" customWidth="1"/>
    <col min="2" max="2" width="10.08984375" style="1" customWidth="1"/>
    <col min="3" max="3" width="13.6328125" style="2" customWidth="1"/>
    <col min="4" max="4" width="17.54296875" style="1" customWidth="1"/>
    <col min="5" max="5" width="13.81640625" style="2" customWidth="1"/>
    <col min="6" max="6" width="16.6328125" style="1" customWidth="1"/>
    <col min="7" max="7" width="9.90625" style="1" customWidth="1"/>
    <col min="8" max="8" width="19.453125" style="1" customWidth="1"/>
    <col min="9" max="9" width="15.54296875" style="92" bestFit="1" customWidth="1"/>
    <col min="10" max="10" width="15.54296875" style="91" customWidth="1"/>
    <col min="11" max="11" width="17.90625" style="92" customWidth="1"/>
    <col min="12" max="14" width="14.54296875" style="2" customWidth="1"/>
    <col min="15" max="15" width="11.90625" style="91" customWidth="1"/>
    <col min="16" max="16" width="8.6328125" style="69" customWidth="1"/>
    <col min="17" max="17" width="18.6328125" style="2" customWidth="1"/>
    <col min="18" max="18" width="22.36328125" style="2" customWidth="1"/>
    <col min="19" max="19" width="12.90625" style="2" customWidth="1"/>
    <col min="20" max="20" width="21.453125" style="2" hidden="1" customWidth="1"/>
    <col min="21" max="25" width="14.54296875" style="2" hidden="1" customWidth="1"/>
    <col min="26" max="26" width="19.453125" style="2" hidden="1" customWidth="1"/>
    <col min="27" max="28" width="0" style="2" hidden="1" customWidth="1"/>
    <col min="29" max="30" width="0" style="1" hidden="1" customWidth="1"/>
    <col min="31" max="31" width="14" style="1" hidden="1" customWidth="1"/>
    <col min="32" max="16384" width="9.08984375" style="1"/>
  </cols>
  <sheetData>
    <row r="1" spans="1:31" ht="43.5" x14ac:dyDescent="0.35">
      <c r="A1" s="1" t="s">
        <v>0</v>
      </c>
      <c r="B1" s="1" t="s">
        <v>19</v>
      </c>
      <c r="H1" s="9">
        <f>SUM(I2/$G$3)</f>
        <v>0.875</v>
      </c>
      <c r="I1" s="92" t="s">
        <v>131</v>
      </c>
      <c r="J1" s="24" t="s">
        <v>216</v>
      </c>
      <c r="K1" s="109" t="s">
        <v>127</v>
      </c>
      <c r="L1" s="83" t="s">
        <v>128</v>
      </c>
      <c r="M1" s="83" t="s">
        <v>129</v>
      </c>
      <c r="N1" s="93" t="s">
        <v>130</v>
      </c>
      <c r="O1" s="88" t="s">
        <v>15</v>
      </c>
      <c r="P1" s="72" t="s">
        <v>119</v>
      </c>
      <c r="Q1" s="72" t="s">
        <v>122</v>
      </c>
      <c r="R1" s="72" t="s">
        <v>123</v>
      </c>
      <c r="S1" s="72" t="s">
        <v>25</v>
      </c>
      <c r="T1" s="67" t="s">
        <v>124</v>
      </c>
      <c r="U1" s="4" t="s">
        <v>125</v>
      </c>
      <c r="V1" s="3" t="s">
        <v>126</v>
      </c>
      <c r="W1" s="4" t="s">
        <v>269</v>
      </c>
      <c r="X1" s="4" t="s">
        <v>270</v>
      </c>
      <c r="Y1" s="4" t="s">
        <v>272</v>
      </c>
      <c r="Z1" s="97" t="s">
        <v>134</v>
      </c>
      <c r="AA1" s="4" t="s">
        <v>16</v>
      </c>
      <c r="AB1" s="3" t="s">
        <v>17</v>
      </c>
    </row>
    <row r="2" spans="1:31" ht="19" thickBot="1" x14ac:dyDescent="0.4">
      <c r="A2" s="1" t="s">
        <v>274</v>
      </c>
      <c r="B2" s="52">
        <v>2</v>
      </c>
      <c r="C2" s="2" t="s">
        <v>138</v>
      </c>
      <c r="F2" s="2" t="s">
        <v>21</v>
      </c>
      <c r="H2" s="2" t="s">
        <v>6</v>
      </c>
      <c r="I2" s="94">
        <v>7</v>
      </c>
      <c r="J2" s="181">
        <f>H1*F3*D6*B12</f>
        <v>8.3825756129629631E-3</v>
      </c>
      <c r="K2" s="110">
        <f>(L2*(T2+N2)+(M2*(T2+N2+N2)))</f>
        <v>944.55</v>
      </c>
      <c r="L2" s="84">
        <v>0.55000000000000004</v>
      </c>
      <c r="M2" s="84">
        <v>0.45</v>
      </c>
      <c r="N2" s="86">
        <f>$B$4</f>
        <v>139</v>
      </c>
      <c r="O2" s="89">
        <f>(S2*Q2)+(S7*R2)</f>
        <v>0.86487671232876717</v>
      </c>
      <c r="P2" s="74">
        <v>8.5</v>
      </c>
      <c r="Q2" s="75">
        <f>P2/365</f>
        <v>2.3287671232876714E-2</v>
      </c>
      <c r="R2" s="75">
        <f>1-Q2</f>
        <v>0.97671232876712333</v>
      </c>
      <c r="S2" s="76">
        <f>IF(B2=1, C45, IF(B2=2, C46, IF(B2=3, C47, IF(B2=6, C50, IF(B2=7, C51, IF(B2=8, C52, IF(B2=9, C53, 0)))))))</f>
        <v>0.65</v>
      </c>
      <c r="T2" s="32">
        <v>743</v>
      </c>
      <c r="U2" s="8">
        <v>602</v>
      </c>
      <c r="V2" s="7">
        <v>1022</v>
      </c>
      <c r="W2" s="250">
        <f>798/31.06</f>
        <v>25.692208628461046</v>
      </c>
      <c r="X2" s="250">
        <v>0</v>
      </c>
      <c r="Y2" s="250">
        <v>0</v>
      </c>
      <c r="Z2" s="6">
        <v>828</v>
      </c>
      <c r="AA2" s="8">
        <f>Z2-AC2</f>
        <v>496.40137130955986</v>
      </c>
      <c r="AB2" s="7">
        <f>Z2+AC2</f>
        <v>1159.5986286904401</v>
      </c>
      <c r="AC2" s="1">
        <f>CONFIDENCE(0.05, 447.6243, 7)</f>
        <v>331.59862869044014</v>
      </c>
    </row>
    <row r="3" spans="1:31" ht="15" thickBot="1" x14ac:dyDescent="0.4">
      <c r="F3" s="9">
        <f>SUM(G3/E5)</f>
        <v>4.9382716049382713E-2</v>
      </c>
      <c r="G3" s="5">
        <v>8</v>
      </c>
      <c r="J3" s="24"/>
      <c r="K3" s="110"/>
      <c r="L3" s="84"/>
      <c r="M3" s="84"/>
      <c r="N3" s="86"/>
      <c r="O3" s="89"/>
      <c r="P3" s="74"/>
      <c r="Q3" s="75"/>
      <c r="R3" s="75"/>
      <c r="S3" s="76"/>
      <c r="T3" s="6"/>
      <c r="U3" s="8"/>
      <c r="V3" s="7"/>
      <c r="W3" s="250"/>
      <c r="X3" s="250"/>
      <c r="Y3" s="250"/>
      <c r="Z3" s="6"/>
      <c r="AA3" s="8"/>
      <c r="AB3" s="7"/>
      <c r="AD3" s="11"/>
      <c r="AE3" s="1" t="s">
        <v>10</v>
      </c>
    </row>
    <row r="4" spans="1:31" x14ac:dyDescent="0.35">
      <c r="A4" s="1" t="s">
        <v>258</v>
      </c>
      <c r="B4" s="1">
        <f>139*C4</f>
        <v>139</v>
      </c>
      <c r="C4" s="2">
        <v>1</v>
      </c>
      <c r="G4" s="12">
        <f>(H1*K2+H5*K5)</f>
        <v>1964.0500000000002</v>
      </c>
      <c r="H4" s="2" t="s">
        <v>7</v>
      </c>
      <c r="J4" s="24"/>
      <c r="K4" s="110"/>
      <c r="L4" s="84"/>
      <c r="M4" s="84"/>
      <c r="N4" s="86"/>
      <c r="O4" s="89"/>
      <c r="P4" s="74"/>
      <c r="Q4" s="75"/>
      <c r="R4" s="75"/>
      <c r="S4" s="76"/>
      <c r="T4" s="6"/>
      <c r="U4" s="8"/>
      <c r="V4" s="7"/>
      <c r="W4" s="250"/>
      <c r="X4" s="250"/>
      <c r="Y4" s="250"/>
      <c r="Z4" s="6"/>
      <c r="AA4" s="8"/>
      <c r="AB4" s="7"/>
      <c r="AD4" s="13"/>
      <c r="AE4" s="1" t="s">
        <v>11</v>
      </c>
    </row>
    <row r="5" spans="1:31" x14ac:dyDescent="0.35">
      <c r="D5" s="2" t="s">
        <v>23</v>
      </c>
      <c r="E5" s="14">
        <v>162</v>
      </c>
      <c r="G5" s="15">
        <f>(H1*O2)+(H5*O5)</f>
        <v>0.86437671232876712</v>
      </c>
      <c r="H5" s="2">
        <f>SUM(I5/$G$3)</f>
        <v>0.125</v>
      </c>
      <c r="I5" s="94">
        <v>1</v>
      </c>
      <c r="J5" s="181">
        <f>H5*F3*D6*B12</f>
        <v>1.1975108018518518E-3</v>
      </c>
      <c r="K5" s="110">
        <f>(L5*(T5+N5)+(M5*(T5+N5+N5)))</f>
        <v>9100.5500000000011</v>
      </c>
      <c r="L5" s="84">
        <v>0.55000000000000004</v>
      </c>
      <c r="M5" s="84">
        <v>0.45</v>
      </c>
      <c r="N5" s="86">
        <f>$B$4</f>
        <v>139</v>
      </c>
      <c r="O5" s="89">
        <f>(Q5*S5)+(R5*S7)</f>
        <v>0.86087671232876717</v>
      </c>
      <c r="P5" s="74">
        <v>9</v>
      </c>
      <c r="Q5" s="75">
        <f>P5/365</f>
        <v>2.4657534246575342E-2</v>
      </c>
      <c r="R5" s="75">
        <f>1-Q5</f>
        <v>0.97534246575342465</v>
      </c>
      <c r="S5" s="76">
        <f>IF(B2=1, D45, IF(B2=2, D46, IF(B2=3, D47, IF(B2=6, D50, IF(B2=7, D51, IF(B2=8, D52, IF(B2=9, D53, 0)))))))</f>
        <v>0.5</v>
      </c>
      <c r="T5" s="32">
        <v>8899</v>
      </c>
      <c r="U5" s="8">
        <v>8899</v>
      </c>
      <c r="V5" s="7">
        <v>8899</v>
      </c>
      <c r="W5" s="250">
        <f>8899/31.06</f>
        <v>286.50998068254989</v>
      </c>
      <c r="X5" s="250">
        <v>0</v>
      </c>
      <c r="Y5" s="250">
        <v>0</v>
      </c>
      <c r="Z5" s="6">
        <v>8899</v>
      </c>
      <c r="AA5" s="8"/>
      <c r="AB5" s="7"/>
      <c r="AD5" s="5"/>
      <c r="AE5" s="1" t="s">
        <v>12</v>
      </c>
    </row>
    <row r="6" spans="1:31" ht="15" thickBot="1" x14ac:dyDescent="0.4">
      <c r="D6" s="9">
        <f>1-D13</f>
        <v>0.66700000000000004</v>
      </c>
      <c r="E6" s="16">
        <f>(F3*G4+F6*G8)</f>
        <v>288.58703703703708</v>
      </c>
      <c r="F6" s="9">
        <f>SUM(G7/E5)</f>
        <v>0.95061728395061729</v>
      </c>
      <c r="J6" s="24"/>
      <c r="K6" s="110"/>
      <c r="L6" s="84"/>
      <c r="M6" s="84"/>
      <c r="N6" s="86"/>
      <c r="O6" s="89"/>
      <c r="P6" s="74"/>
      <c r="Q6" s="75"/>
      <c r="R6" s="75"/>
      <c r="S6" s="76"/>
      <c r="T6" s="6"/>
      <c r="U6" s="8"/>
      <c r="V6" s="7"/>
      <c r="W6" s="250"/>
      <c r="X6" s="250"/>
      <c r="Y6" s="250"/>
      <c r="Z6" s="6"/>
      <c r="AA6" s="8"/>
      <c r="AB6" s="7"/>
      <c r="AD6" s="15"/>
      <c r="AE6" s="1" t="s">
        <v>15</v>
      </c>
    </row>
    <row r="7" spans="1:31" ht="15" thickBot="1" x14ac:dyDescent="0.4">
      <c r="C7" s="14">
        <v>267</v>
      </c>
      <c r="E7" s="17">
        <f>(F3*G5)+(F6*G9)</f>
        <v>0.86972230678166751</v>
      </c>
      <c r="F7" s="2" t="s">
        <v>22</v>
      </c>
      <c r="G7" s="18">
        <v>154</v>
      </c>
      <c r="H7" s="2">
        <f>SUM(I11/$G$13)</f>
        <v>1</v>
      </c>
      <c r="I7" s="92">
        <v>154</v>
      </c>
      <c r="J7" s="24">
        <f>H7*F6*D6*B12</f>
        <v>0.18441666348518521</v>
      </c>
      <c r="K7" s="110">
        <f>(L7*(T7+N7)+(M7*(T7+N7+N7)))</f>
        <v>201.55</v>
      </c>
      <c r="L7" s="84">
        <v>0.55000000000000004</v>
      </c>
      <c r="M7" s="84">
        <v>0.45</v>
      </c>
      <c r="N7" s="86">
        <f>$B$4</f>
        <v>139</v>
      </c>
      <c r="O7" s="89">
        <f>(R7*S7)</f>
        <v>0.87</v>
      </c>
      <c r="P7" s="74">
        <v>0</v>
      </c>
      <c r="Q7" s="75">
        <f>P7/365</f>
        <v>0</v>
      </c>
      <c r="R7" s="75">
        <f>1-Q7</f>
        <v>1</v>
      </c>
      <c r="S7" s="76">
        <f>IF(B2=1, B45, IF(B2=2, B46, IF(B2=3, B47, IF(B2=6, B50, IF(B2=7, B51, IF(B2=8, B52, IF(B2=9, B53, 0)))))))</f>
        <v>0.87</v>
      </c>
      <c r="T7" s="32">
        <v>0</v>
      </c>
      <c r="U7" s="8"/>
      <c r="V7" s="7"/>
      <c r="W7" s="250"/>
      <c r="X7" s="250"/>
      <c r="Y7" s="250"/>
      <c r="Z7" s="6"/>
      <c r="AA7" s="8"/>
      <c r="AB7" s="7"/>
    </row>
    <row r="8" spans="1:31" x14ac:dyDescent="0.35">
      <c r="B8" s="256">
        <f>C8/31.1</f>
        <v>8.6767658517497761</v>
      </c>
      <c r="C8" s="16">
        <f>(D6*E6+D13*E16)</f>
        <v>269.84741798941803</v>
      </c>
      <c r="D8" s="1" t="s">
        <v>120</v>
      </c>
      <c r="E8" s="19"/>
      <c r="G8" s="20">
        <f>K7</f>
        <v>201.55</v>
      </c>
      <c r="H8" s="2"/>
      <c r="J8" s="24"/>
      <c r="K8" s="110"/>
      <c r="L8" s="84"/>
      <c r="M8" s="84"/>
      <c r="N8" s="86"/>
      <c r="O8" s="89"/>
      <c r="P8" s="74"/>
      <c r="Q8" s="75"/>
      <c r="R8" s="75"/>
      <c r="S8" s="76"/>
      <c r="T8" s="32"/>
      <c r="U8" s="8"/>
      <c r="V8" s="7"/>
      <c r="W8" s="250"/>
      <c r="X8" s="250"/>
      <c r="Y8" s="250"/>
      <c r="Z8" s="6"/>
      <c r="AA8" s="8"/>
      <c r="AB8" s="7"/>
    </row>
    <row r="9" spans="1:31" x14ac:dyDescent="0.35">
      <c r="C9" s="253">
        <f>(D6*E7)+(D13*E17)</f>
        <v>0.86978228234157196</v>
      </c>
      <c r="D9" s="1" t="s">
        <v>121</v>
      </c>
      <c r="E9" s="19"/>
      <c r="G9" s="70">
        <f>O7</f>
        <v>0.87</v>
      </c>
      <c r="H9" s="2"/>
      <c r="J9" s="24"/>
      <c r="K9" s="110"/>
      <c r="L9" s="84"/>
      <c r="M9" s="84"/>
      <c r="N9" s="86"/>
      <c r="O9" s="89"/>
      <c r="P9" s="74"/>
      <c r="Q9" s="75"/>
      <c r="R9" s="75"/>
      <c r="S9" s="76"/>
      <c r="T9" s="32"/>
      <c r="U9" s="8"/>
      <c r="V9" s="7"/>
      <c r="W9" s="250"/>
      <c r="X9" s="250"/>
      <c r="Y9" s="250"/>
      <c r="Z9" s="6"/>
      <c r="AA9" s="8"/>
      <c r="AB9" s="7"/>
    </row>
    <row r="10" spans="1:31" x14ac:dyDescent="0.35">
      <c r="E10" s="19"/>
      <c r="G10" s="21"/>
      <c r="H10" s="2" t="s">
        <v>6</v>
      </c>
      <c r="J10" s="24"/>
      <c r="K10" s="110"/>
      <c r="L10" s="84"/>
      <c r="M10" s="84"/>
      <c r="N10" s="86"/>
      <c r="O10" s="89"/>
      <c r="P10" s="74"/>
      <c r="Q10" s="75"/>
      <c r="R10" s="75"/>
      <c r="S10" s="76"/>
      <c r="T10" s="32"/>
      <c r="U10" s="8"/>
      <c r="V10" s="7"/>
      <c r="W10" s="250"/>
      <c r="X10" s="250"/>
      <c r="Y10" s="250"/>
      <c r="Z10" s="6"/>
      <c r="AA10" s="8"/>
      <c r="AB10" s="7"/>
    </row>
    <row r="11" spans="1:31" x14ac:dyDescent="0.35">
      <c r="B11" s="1" t="s">
        <v>264</v>
      </c>
      <c r="C11" s="27"/>
      <c r="H11" s="2">
        <f>I11/G13</f>
        <v>1</v>
      </c>
      <c r="I11" s="94">
        <v>2</v>
      </c>
      <c r="J11" s="181">
        <f>H11*F13*D13*B12</f>
        <v>1.8448180971428574E-3</v>
      </c>
      <c r="K11" s="110">
        <f>(L11*(T11+N11)+(M11*(T11+N11+N11)))</f>
        <v>1816.5500000000002</v>
      </c>
      <c r="L11" s="84">
        <v>0.55000000000000004</v>
      </c>
      <c r="M11" s="84">
        <v>0.45</v>
      </c>
      <c r="N11" s="86">
        <f>$B$4</f>
        <v>139</v>
      </c>
      <c r="O11" s="89">
        <f>(Q11*S11)+(R11*S7)</f>
        <v>0.86487671232876717</v>
      </c>
      <c r="P11" s="74">
        <v>8.5</v>
      </c>
      <c r="Q11" s="75">
        <f>P11/365</f>
        <v>2.3287671232876714E-2</v>
      </c>
      <c r="R11" s="75">
        <f>1-Q11</f>
        <v>0.97671232876712333</v>
      </c>
      <c r="S11" s="76">
        <f>IF(B2=1, C45, IF(B2=2, C46, IF(B2=3, C47, IF(B2=6, C50, IF(B2=7, C51, IF(B2=8, C52, IF(B2=9, C53, 0)))))))</f>
        <v>0.65</v>
      </c>
      <c r="T11" s="32">
        <v>1615</v>
      </c>
      <c r="U11" s="8">
        <v>490</v>
      </c>
      <c r="V11" s="7">
        <v>2740</v>
      </c>
      <c r="W11" s="250">
        <f>490/31.06</f>
        <v>15.775917578879589</v>
      </c>
      <c r="X11" s="250">
        <f>520/31.06</f>
        <v>16.741790083708953</v>
      </c>
      <c r="Y11" s="250">
        <v>0</v>
      </c>
      <c r="Z11" s="6">
        <v>1615</v>
      </c>
      <c r="AA11" s="8">
        <f>Z11-AC11</f>
        <v>-589.95912550209323</v>
      </c>
      <c r="AB11" s="7">
        <f>Z11+AC11</f>
        <v>3819.9591255020932</v>
      </c>
      <c r="AC11" s="1">
        <f>CONFIDENCE(0.05, 1590.99, 2)</f>
        <v>2204.9591255020932</v>
      </c>
    </row>
    <row r="12" spans="1:31" x14ac:dyDescent="0.35">
      <c r="B12" s="1">
        <v>0.29084969999999999</v>
      </c>
      <c r="C12" s="1"/>
      <c r="D12" s="1" t="s">
        <v>243</v>
      </c>
      <c r="G12" s="22"/>
      <c r="I12" s="95"/>
      <c r="J12" s="129"/>
      <c r="K12" s="110"/>
      <c r="L12" s="84"/>
      <c r="M12" s="84"/>
      <c r="N12" s="86"/>
      <c r="O12" s="89"/>
      <c r="P12" s="74"/>
      <c r="Q12" s="75"/>
      <c r="R12" s="75"/>
      <c r="S12" s="76"/>
      <c r="T12" s="32"/>
      <c r="U12" s="8"/>
      <c r="V12" s="7"/>
      <c r="W12" s="250"/>
      <c r="X12" s="250"/>
      <c r="Y12" s="250"/>
      <c r="Z12" s="6"/>
      <c r="AA12" s="8"/>
      <c r="AB12" s="7"/>
    </row>
    <row r="13" spans="1:31" x14ac:dyDescent="0.35">
      <c r="C13" s="1"/>
      <c r="D13" s="9">
        <v>0.33300000000000002</v>
      </c>
      <c r="F13" s="9">
        <f>SUM(G13/E15)</f>
        <v>1.9047619047619049E-2</v>
      </c>
      <c r="G13" s="5">
        <v>2</v>
      </c>
      <c r="J13" s="24"/>
      <c r="K13" s="110"/>
      <c r="L13" s="84"/>
      <c r="M13" s="84"/>
      <c r="N13" s="86"/>
      <c r="O13" s="89"/>
      <c r="P13" s="74"/>
      <c r="Q13" s="75"/>
      <c r="R13" s="75"/>
      <c r="S13" s="76"/>
      <c r="T13" s="6"/>
      <c r="U13" s="8"/>
      <c r="V13" s="7"/>
      <c r="W13" s="250"/>
      <c r="X13" s="250"/>
      <c r="Y13" s="250"/>
      <c r="Z13" s="6"/>
      <c r="AA13" s="8"/>
      <c r="AB13" s="7"/>
    </row>
    <row r="14" spans="1:31" x14ac:dyDescent="0.35">
      <c r="D14" s="2" t="s">
        <v>24</v>
      </c>
      <c r="F14" s="2" t="s">
        <v>21</v>
      </c>
      <c r="G14" s="12">
        <f>(H11*K11+H15*K15)</f>
        <v>1816.5500000000002</v>
      </c>
      <c r="H14" s="2" t="s">
        <v>7</v>
      </c>
      <c r="J14" s="24"/>
      <c r="K14" s="110"/>
      <c r="L14" s="84"/>
      <c r="M14" s="84"/>
      <c r="N14" s="86"/>
      <c r="O14" s="89"/>
      <c r="P14" s="74"/>
      <c r="Q14" s="75"/>
      <c r="R14" s="75"/>
      <c r="S14" s="76"/>
      <c r="T14" s="6"/>
      <c r="U14" s="8"/>
      <c r="V14" s="7"/>
      <c r="W14" s="250"/>
      <c r="X14" s="250"/>
      <c r="Y14" s="250"/>
      <c r="Z14" s="6"/>
      <c r="AA14" s="8"/>
      <c r="AB14" s="7"/>
    </row>
    <row r="15" spans="1:31" x14ac:dyDescent="0.35">
      <c r="B15" s="1" t="s">
        <v>1</v>
      </c>
      <c r="C15" s="25"/>
      <c r="E15" s="14">
        <v>105</v>
      </c>
      <c r="G15" s="15">
        <f>(H11*O11)+(H15*O15)</f>
        <v>0.86487671232876717</v>
      </c>
      <c r="H15" s="2">
        <f>SUM(I15/$G$13)</f>
        <v>0</v>
      </c>
      <c r="I15" s="94">
        <v>0</v>
      </c>
      <c r="J15" s="181">
        <f>H15*F13*D13*B12</f>
        <v>0</v>
      </c>
      <c r="K15" s="110">
        <f>(L15*(T15+N15)+(M15*(T15+N15+N15)))</f>
        <v>201.55</v>
      </c>
      <c r="L15" s="84">
        <v>0.55000000000000004</v>
      </c>
      <c r="M15" s="84">
        <v>0.45</v>
      </c>
      <c r="N15" s="86">
        <f>$B$4</f>
        <v>139</v>
      </c>
      <c r="O15" s="89">
        <f>(Q15*S15)+(R15*S7)</f>
        <v>0.87</v>
      </c>
      <c r="P15" s="74">
        <v>0</v>
      </c>
      <c r="Q15" s="75">
        <f>P15/365</f>
        <v>0</v>
      </c>
      <c r="R15" s="75">
        <f>1-Q15</f>
        <v>1</v>
      </c>
      <c r="S15" s="76">
        <f>IF($B$2=1, D45, IF(B2=2, D46, IF(B2=3, D47, IF(B2=6, D50, IF(B2=7, D51, IF(B2=8, D51, IF(B2=9, D53, 0)))))))</f>
        <v>0.5</v>
      </c>
      <c r="T15" s="32">
        <v>0</v>
      </c>
      <c r="U15" s="8"/>
      <c r="V15" s="7"/>
      <c r="W15" s="250"/>
      <c r="X15" s="250"/>
      <c r="Y15" s="250"/>
      <c r="Z15" s="6"/>
      <c r="AA15" s="8"/>
      <c r="AB15" s="7"/>
    </row>
    <row r="16" spans="1:31" ht="15" thickBot="1" x14ac:dyDescent="0.4">
      <c r="E16" s="16">
        <f>(F13*G14+F16*G18)</f>
        <v>232.31190476190477</v>
      </c>
      <c r="F16" s="9">
        <f>SUM(G17/E15)</f>
        <v>0.98095238095238091</v>
      </c>
      <c r="J16" s="24"/>
      <c r="K16" s="110"/>
      <c r="L16" s="84"/>
      <c r="M16" s="84"/>
      <c r="N16" s="86"/>
      <c r="O16" s="89"/>
      <c r="P16" s="74"/>
      <c r="Q16" s="75"/>
      <c r="R16" s="75"/>
      <c r="S16" s="76"/>
      <c r="T16" s="6"/>
      <c r="U16" s="8"/>
      <c r="V16" s="7"/>
      <c r="W16" s="250"/>
      <c r="X16" s="250"/>
      <c r="Y16" s="250"/>
      <c r="Z16" s="6"/>
      <c r="AA16" s="8"/>
      <c r="AB16" s="7"/>
    </row>
    <row r="17" spans="1:29" ht="15" thickBot="1" x14ac:dyDescent="0.4">
      <c r="E17" s="17">
        <f>(F13*G15)+(F16*G19)</f>
        <v>0.869902413568167</v>
      </c>
      <c r="F17" s="2" t="s">
        <v>22</v>
      </c>
      <c r="G17" s="18">
        <v>103</v>
      </c>
      <c r="H17" s="24">
        <f>SUM(I21/$G$23)</f>
        <v>0.87878787878787878</v>
      </c>
      <c r="I17" s="92">
        <v>103</v>
      </c>
      <c r="J17" s="24">
        <f>F16*D13*B12</f>
        <v>9.500813200285714E-2</v>
      </c>
      <c r="K17" s="110">
        <f>(L17*(T17+N17)+(M17*(T17+N17+N17)))</f>
        <v>201.55</v>
      </c>
      <c r="L17" s="84">
        <v>0.55000000000000004</v>
      </c>
      <c r="M17" s="84">
        <v>0.45</v>
      </c>
      <c r="N17" s="86">
        <f>$B$4</f>
        <v>139</v>
      </c>
      <c r="O17" s="89">
        <f>(R17*S17)</f>
        <v>0.87</v>
      </c>
      <c r="P17" s="74">
        <v>0</v>
      </c>
      <c r="Q17" s="75">
        <f>P17/365</f>
        <v>0</v>
      </c>
      <c r="R17" s="75">
        <f>1-Q17</f>
        <v>1</v>
      </c>
      <c r="S17" s="76">
        <f>IF($B$2=1, B45, IF(B2=2, B46, IF(B2=3, B47, IF(B2=6, B50, IF(B2=7, B51, IF(B2=8, B52, IF(B2=9, B53, 0)))))))</f>
        <v>0.87</v>
      </c>
      <c r="T17" s="32">
        <v>0</v>
      </c>
      <c r="U17" s="8"/>
      <c r="V17" s="7"/>
      <c r="W17" s="250"/>
      <c r="X17" s="250"/>
      <c r="Y17" s="250"/>
      <c r="Z17" s="6"/>
      <c r="AA17" s="8"/>
      <c r="AB17" s="7"/>
    </row>
    <row r="18" spans="1:29" x14ac:dyDescent="0.35">
      <c r="C18" s="244">
        <f>B8-B28</f>
        <v>4.8780817472885278</v>
      </c>
      <c r="E18" s="26"/>
      <c r="G18" s="20">
        <f>K17</f>
        <v>201.55</v>
      </c>
      <c r="H18" s="24"/>
      <c r="J18" s="24"/>
      <c r="K18" s="121"/>
      <c r="L18" s="84"/>
      <c r="M18" s="84"/>
      <c r="N18" s="86"/>
      <c r="O18" s="89"/>
      <c r="P18" s="74"/>
      <c r="Q18" s="75"/>
      <c r="R18" s="75"/>
      <c r="S18" s="76"/>
      <c r="T18" s="32"/>
      <c r="U18" s="8"/>
      <c r="V18" s="7"/>
      <c r="W18" s="250"/>
      <c r="X18" s="250"/>
      <c r="Y18" s="250"/>
      <c r="Z18" s="6"/>
      <c r="AA18" s="8"/>
      <c r="AB18" s="7"/>
    </row>
    <row r="19" spans="1:29" x14ac:dyDescent="0.35">
      <c r="C19" s="254">
        <f>C9-C29</f>
        <v>2.2923269864283391E-4</v>
      </c>
      <c r="E19" s="26"/>
      <c r="G19" s="70">
        <f>O17</f>
        <v>0.87</v>
      </c>
      <c r="H19" s="24"/>
      <c r="J19" s="24"/>
      <c r="K19" s="121"/>
      <c r="L19" s="84"/>
      <c r="M19" s="84"/>
      <c r="N19" s="86"/>
      <c r="O19" s="89"/>
      <c r="P19" s="74"/>
      <c r="Q19" s="75"/>
      <c r="R19" s="75"/>
      <c r="S19" s="76"/>
      <c r="T19" s="32"/>
      <c r="U19" s="8"/>
      <c r="V19" s="7"/>
      <c r="W19" s="250"/>
      <c r="X19" s="250"/>
      <c r="Y19" s="250"/>
      <c r="Z19" s="6"/>
      <c r="AA19" s="8"/>
      <c r="AB19" s="7"/>
    </row>
    <row r="20" spans="1:29" x14ac:dyDescent="0.35">
      <c r="C20" s="245">
        <f>C18/C19</f>
        <v>21280.043275540884</v>
      </c>
      <c r="E20" s="26"/>
      <c r="G20" s="21"/>
      <c r="H20" s="24"/>
      <c r="J20" s="24"/>
      <c r="K20" s="121"/>
      <c r="L20" s="84"/>
      <c r="M20" s="84"/>
      <c r="N20" s="86"/>
      <c r="O20" s="89"/>
      <c r="P20" s="74"/>
      <c r="Q20" s="75"/>
      <c r="R20" s="75"/>
      <c r="S20" s="76"/>
      <c r="T20" s="32"/>
      <c r="U20" s="8"/>
      <c r="V20" s="7"/>
      <c r="W20" s="250"/>
      <c r="X20" s="250"/>
      <c r="Y20" s="250"/>
      <c r="Z20" s="6"/>
      <c r="AA20" s="8"/>
      <c r="AB20" s="7"/>
    </row>
    <row r="21" spans="1:29" ht="15" customHeight="1" x14ac:dyDescent="0.35">
      <c r="A21" s="1" t="s">
        <v>8</v>
      </c>
      <c r="C21" s="127" t="s">
        <v>275</v>
      </c>
      <c r="H21" s="2" t="s">
        <v>6</v>
      </c>
      <c r="I21" s="94">
        <v>29</v>
      </c>
      <c r="J21" s="181">
        <f>H22*F23*D26*B24</f>
        <v>3.1592837527243248E-2</v>
      </c>
      <c r="K21" s="110">
        <f>T21</f>
        <v>870</v>
      </c>
      <c r="L21" s="84">
        <v>0</v>
      </c>
      <c r="M21" s="84">
        <v>0</v>
      </c>
      <c r="N21" s="86">
        <f>$B$4</f>
        <v>139</v>
      </c>
      <c r="O21" s="89">
        <f>(Q21*S21)+(R21*S7)</f>
        <v>0.86457534246575352</v>
      </c>
      <c r="P21" s="74">
        <v>9</v>
      </c>
      <c r="Q21" s="75">
        <f>P21/365</f>
        <v>2.4657534246575342E-2</v>
      </c>
      <c r="R21" s="75">
        <f>1-Q21</f>
        <v>0.97534246575342465</v>
      </c>
      <c r="S21" s="76">
        <f>IF(B2=1, C45, IF(B2=2, C46, IF(B2=3, C47, IF(B2=6, C50, IF(B2=7, C51, IF(B2=8, C52, IF(B2=9, C53, 0)))))))</f>
        <v>0.65</v>
      </c>
      <c r="T21" s="32">
        <v>870</v>
      </c>
      <c r="U21" s="80">
        <v>430</v>
      </c>
      <c r="V21" s="81">
        <v>1025</v>
      </c>
      <c r="W21" s="251">
        <f>456/31.06</f>
        <v>14.681262073406311</v>
      </c>
      <c r="X21" s="251">
        <v>0</v>
      </c>
      <c r="Y21" s="251">
        <v>0</v>
      </c>
      <c r="Z21" s="6">
        <v>1195</v>
      </c>
      <c r="AA21" s="8">
        <f>Z21-AC21</f>
        <v>666.83516994230376</v>
      </c>
      <c r="AB21" s="7">
        <f>Z21+AC21</f>
        <v>1723.1648300576962</v>
      </c>
      <c r="AC21" s="1">
        <f>CONFIDENCE(0.05, 1451.177, 29)</f>
        <v>528.16483005769624</v>
      </c>
    </row>
    <row r="22" spans="1:29" ht="15" customHeight="1" x14ac:dyDescent="0.35">
      <c r="A22" s="1" t="s">
        <v>9</v>
      </c>
      <c r="F22" s="2" t="s">
        <v>21</v>
      </c>
      <c r="G22" s="22"/>
      <c r="H22" s="24">
        <f>I21/G23</f>
        <v>0.87878787878787878</v>
      </c>
      <c r="I22" s="95"/>
      <c r="J22" s="129"/>
      <c r="K22" s="121"/>
      <c r="L22" s="84"/>
      <c r="M22" s="84"/>
      <c r="N22" s="86"/>
      <c r="O22" s="89"/>
      <c r="P22" s="74"/>
      <c r="Q22" s="75"/>
      <c r="R22" s="75"/>
      <c r="S22" s="76"/>
      <c r="T22" s="32"/>
      <c r="U22" s="8"/>
      <c r="V22" s="7"/>
      <c r="W22" s="250"/>
      <c r="X22" s="250"/>
      <c r="Y22" s="250"/>
      <c r="Z22" s="6"/>
      <c r="AA22" s="8"/>
      <c r="AB22" s="7"/>
    </row>
    <row r="23" spans="1:29" x14ac:dyDescent="0.35">
      <c r="A23" s="14">
        <v>918</v>
      </c>
      <c r="B23" s="1" t="s">
        <v>265</v>
      </c>
      <c r="F23" s="9">
        <f>SUM(G23/E25)</f>
        <v>8.9189189189189194E-2</v>
      </c>
      <c r="G23" s="5">
        <v>33</v>
      </c>
      <c r="J23" s="24"/>
      <c r="K23" s="121"/>
      <c r="L23" s="84"/>
      <c r="M23" s="84"/>
      <c r="N23" s="86"/>
      <c r="O23" s="89"/>
      <c r="P23" s="74"/>
      <c r="Q23" s="75"/>
      <c r="R23" s="75"/>
      <c r="S23" s="76"/>
      <c r="T23" s="6"/>
      <c r="U23" s="8"/>
      <c r="V23" s="7"/>
      <c r="W23" s="250"/>
      <c r="X23" s="250"/>
      <c r="Y23" s="250"/>
      <c r="Z23" s="6"/>
      <c r="AA23" s="8"/>
      <c r="AB23" s="7"/>
    </row>
    <row r="24" spans="1:29" x14ac:dyDescent="0.35">
      <c r="B24" s="1">
        <f>1-B12</f>
        <v>0.70915030000000001</v>
      </c>
      <c r="G24" s="12">
        <f>(H22*K21+H25*K25)</f>
        <v>1416.3030303030303</v>
      </c>
      <c r="H24" s="2" t="s">
        <v>7</v>
      </c>
      <c r="J24" s="24"/>
      <c r="K24" s="121"/>
      <c r="L24" s="84"/>
      <c r="M24" s="84"/>
      <c r="N24" s="86"/>
      <c r="O24" s="89"/>
      <c r="P24" s="74"/>
      <c r="Q24" s="75"/>
      <c r="R24" s="75"/>
      <c r="S24" s="76"/>
      <c r="T24" s="6"/>
      <c r="U24" s="8"/>
      <c r="V24" s="7"/>
      <c r="W24" s="250"/>
      <c r="X24" s="250"/>
      <c r="Y24" s="250"/>
      <c r="Z24" s="6"/>
      <c r="AA24" s="8"/>
      <c r="AB24" s="7"/>
    </row>
    <row r="25" spans="1:29" x14ac:dyDescent="0.35">
      <c r="B25" s="1" t="s">
        <v>2</v>
      </c>
      <c r="D25" s="2" t="s">
        <v>23</v>
      </c>
      <c r="E25" s="14">
        <v>370</v>
      </c>
      <c r="G25" s="15">
        <f>(H22*O21)+(H25*O25)</f>
        <v>0.86400415110004158</v>
      </c>
      <c r="H25" s="24">
        <f>SUM(I25/$G$23)</f>
        <v>0.12121212121212122</v>
      </c>
      <c r="I25" s="94">
        <v>4</v>
      </c>
      <c r="J25" s="181">
        <f>H25*F23*D26*B24</f>
        <v>4.3576327623783785E-3</v>
      </c>
      <c r="K25" s="110">
        <f>T25</f>
        <v>5377</v>
      </c>
      <c r="L25" s="84">
        <v>0</v>
      </c>
      <c r="M25" s="84">
        <v>0</v>
      </c>
      <c r="N25" s="86">
        <f>$B$4</f>
        <v>139</v>
      </c>
      <c r="O25" s="89">
        <f>(Q25*S25)+(R25*S7)</f>
        <v>0.85986301369863005</v>
      </c>
      <c r="P25" s="74">
        <v>10</v>
      </c>
      <c r="Q25" s="75">
        <f>P25/365</f>
        <v>2.7397260273972601E-2</v>
      </c>
      <c r="R25" s="75">
        <f>1-Q25</f>
        <v>0.9726027397260274</v>
      </c>
      <c r="S25" s="76">
        <f>IF(B2=1, D45, IF(B2=2, D46, IF(B2=3, D47, IF(B2=6, D50, IF(B2=7, D51, IF(B2=8, D52, IF(B2=9, B53, 0)))))))</f>
        <v>0.5</v>
      </c>
      <c r="T25" s="32">
        <v>5377</v>
      </c>
      <c r="U25" s="8">
        <v>4489</v>
      </c>
      <c r="V25" s="7">
        <v>6059</v>
      </c>
      <c r="W25" s="250">
        <f>5548/31.06</f>
        <v>178.62202189311012</v>
      </c>
      <c r="X25" s="250">
        <v>0</v>
      </c>
      <c r="Y25" s="250">
        <v>0</v>
      </c>
      <c r="Z25" s="6">
        <v>5274</v>
      </c>
      <c r="AA25" s="8">
        <f>Z25-AC25</f>
        <v>4170.9910684203942</v>
      </c>
      <c r="AB25" s="7">
        <f>Z25+AC25</f>
        <v>6377.0089315796058</v>
      </c>
      <c r="AC25" s="1">
        <f>CONFIDENCE(0.05, 1125.54, 4)</f>
        <v>1103.008931579606</v>
      </c>
    </row>
    <row r="26" spans="1:29" ht="15" thickBot="1" x14ac:dyDescent="0.4">
      <c r="D26" s="9">
        <f>1-D32</f>
        <v>0.56840000000000002</v>
      </c>
      <c r="E26" s="16">
        <f>(F23*G24+F26*G28)</f>
        <v>126.31891891891892</v>
      </c>
      <c r="F26" s="9">
        <f>SUM(G27/E25)</f>
        <v>0.91081081081081083</v>
      </c>
      <c r="J26" s="24"/>
      <c r="K26" s="121"/>
      <c r="L26" s="84"/>
      <c r="M26" s="84"/>
      <c r="N26" s="86"/>
      <c r="O26" s="89"/>
      <c r="P26" s="74"/>
      <c r="Q26" s="75"/>
      <c r="R26" s="75"/>
      <c r="S26" s="76"/>
      <c r="T26" s="6"/>
      <c r="U26" s="8"/>
      <c r="V26" s="7"/>
      <c r="W26" s="250"/>
      <c r="X26" s="250"/>
      <c r="Y26" s="250"/>
      <c r="Z26" s="6"/>
      <c r="AA26" s="8"/>
      <c r="AB26" s="7"/>
    </row>
    <row r="27" spans="1:29" ht="15" thickBot="1" x14ac:dyDescent="0.4">
      <c r="C27" s="14">
        <v>651</v>
      </c>
      <c r="E27" s="17">
        <f>(F23*G25)+(F26*G29)</f>
        <v>0.8694652350981118</v>
      </c>
      <c r="F27" s="2" t="s">
        <v>22</v>
      </c>
      <c r="G27" s="18">
        <v>337</v>
      </c>
      <c r="H27" s="2">
        <f>SUM(I31/$G$33)</f>
        <v>0.8125</v>
      </c>
      <c r="I27" s="92">
        <v>337</v>
      </c>
      <c r="J27" s="24">
        <f>F26*D26*B24</f>
        <v>0.36713056023037838</v>
      </c>
      <c r="K27" s="110">
        <f>T27</f>
        <v>0</v>
      </c>
      <c r="L27" s="84">
        <v>0</v>
      </c>
      <c r="M27" s="84">
        <v>0</v>
      </c>
      <c r="N27" s="86">
        <f>$B$4</f>
        <v>139</v>
      </c>
      <c r="O27" s="89">
        <f>(R27*S27)</f>
        <v>0.87</v>
      </c>
      <c r="P27" s="74">
        <v>0</v>
      </c>
      <c r="Q27" s="75">
        <f>P27/365</f>
        <v>0</v>
      </c>
      <c r="R27" s="75">
        <f>1-Q27</f>
        <v>1</v>
      </c>
      <c r="S27" s="76">
        <f>IF(B2=1, B45, IF(B2=2, B46, IF(B2=3, B47, IF(B2=6, B50, IF(B2=7, B51, IF(B2=8, B52, IF(B2=9, B53, 0)))))))</f>
        <v>0.87</v>
      </c>
      <c r="T27" s="32">
        <v>0</v>
      </c>
      <c r="U27" s="8"/>
      <c r="V27" s="7"/>
      <c r="W27" s="250"/>
      <c r="X27" s="250"/>
      <c r="Y27" s="250"/>
      <c r="Z27" s="6"/>
      <c r="AA27" s="8"/>
      <c r="AB27" s="7"/>
    </row>
    <row r="28" spans="1:29" x14ac:dyDescent="0.35">
      <c r="B28" s="256">
        <f>C28/31.1</f>
        <v>3.7986841044612487</v>
      </c>
      <c r="C28" s="16">
        <f>(D26*E26+D32*E36)</f>
        <v>118.13907564874484</v>
      </c>
      <c r="D28" s="1" t="s">
        <v>133</v>
      </c>
      <c r="E28" s="26"/>
      <c r="G28" s="43">
        <f>K27</f>
        <v>0</v>
      </c>
      <c r="H28" s="2"/>
      <c r="J28" s="24"/>
      <c r="K28" s="121"/>
      <c r="L28" s="84"/>
      <c r="M28" s="84"/>
      <c r="N28" s="86"/>
      <c r="O28" s="89"/>
      <c r="P28" s="74"/>
      <c r="Q28" s="75"/>
      <c r="R28" s="75"/>
      <c r="S28" s="76"/>
      <c r="T28" s="32"/>
      <c r="U28" s="8"/>
      <c r="V28" s="7"/>
      <c r="W28" s="250"/>
      <c r="X28" s="250"/>
      <c r="Y28" s="250"/>
      <c r="Z28" s="6"/>
      <c r="AA28" s="8"/>
      <c r="AB28" s="7"/>
    </row>
    <row r="29" spans="1:29" x14ac:dyDescent="0.35">
      <c r="C29" s="253">
        <f>(D26*E27)+(D32*E37)</f>
        <v>0.86955304964292912</v>
      </c>
      <c r="D29" s="1" t="s">
        <v>132</v>
      </c>
      <c r="E29" s="26"/>
      <c r="G29" s="70">
        <f>O27</f>
        <v>0.87</v>
      </c>
      <c r="H29" s="2"/>
      <c r="J29" s="24"/>
      <c r="K29" s="121"/>
      <c r="L29" s="84"/>
      <c r="M29" s="84"/>
      <c r="N29" s="86"/>
      <c r="O29" s="89"/>
      <c r="P29" s="74"/>
      <c r="Q29" s="75"/>
      <c r="R29" s="75"/>
      <c r="S29" s="76"/>
      <c r="T29" s="32"/>
      <c r="U29" s="8"/>
      <c r="V29" s="7"/>
      <c r="W29" s="250"/>
      <c r="X29" s="250"/>
      <c r="Y29" s="250"/>
      <c r="Z29" s="6"/>
      <c r="AA29" s="8"/>
      <c r="AB29" s="7"/>
    </row>
    <row r="30" spans="1:29" x14ac:dyDescent="0.35">
      <c r="C30" s="27"/>
      <c r="E30" s="26"/>
      <c r="G30" s="21"/>
      <c r="H30" s="2"/>
      <c r="J30" s="24"/>
      <c r="K30" s="121"/>
      <c r="L30" s="84"/>
      <c r="M30" s="84"/>
      <c r="N30" s="86"/>
      <c r="O30" s="89"/>
      <c r="P30" s="74"/>
      <c r="Q30" s="75"/>
      <c r="R30" s="75"/>
      <c r="S30" s="76"/>
      <c r="T30" s="32"/>
      <c r="U30" s="8"/>
      <c r="V30" s="7"/>
      <c r="W30" s="250"/>
      <c r="X30" s="250"/>
      <c r="Y30" s="250"/>
      <c r="Z30" s="6"/>
      <c r="AA30" s="8"/>
      <c r="AB30" s="7"/>
    </row>
    <row r="31" spans="1:29" x14ac:dyDescent="0.35">
      <c r="C31" s="1"/>
      <c r="D31" s="1" t="s">
        <v>244</v>
      </c>
      <c r="H31" s="2" t="s">
        <v>6</v>
      </c>
      <c r="I31" s="94">
        <v>13</v>
      </c>
      <c r="J31" s="181">
        <f>H32*F33*D32*B24</f>
        <v>1.4159788267758006E-2</v>
      </c>
      <c r="K31" s="110">
        <f>T31</f>
        <v>590</v>
      </c>
      <c r="L31" s="84">
        <v>0</v>
      </c>
      <c r="M31" s="84">
        <v>0</v>
      </c>
      <c r="N31" s="86">
        <f>$B$4</f>
        <v>139</v>
      </c>
      <c r="O31" s="89">
        <f>(Q31*S31)+(R31*S7)</f>
        <v>0.86517808219178083</v>
      </c>
      <c r="P31" s="74">
        <v>8</v>
      </c>
      <c r="Q31" s="75">
        <f>P31/365</f>
        <v>2.1917808219178082E-2</v>
      </c>
      <c r="R31" s="75">
        <f>1-Q31</f>
        <v>0.9780821917808219</v>
      </c>
      <c r="S31" s="76">
        <f>IF(B2=1, C45, IF(B2=2, C46, IF(B2=3, C47, IF(B2=6, C50, IF(B2=7, C51, IF(B2=8, C52, IF(B2=9, C53, 0)))))))</f>
        <v>0.65</v>
      </c>
      <c r="T31" s="32">
        <v>590</v>
      </c>
      <c r="U31" s="8">
        <v>490</v>
      </c>
      <c r="V31" s="7">
        <v>1201</v>
      </c>
      <c r="W31" s="250">
        <f>533/31.06</f>
        <v>17.160334835801674</v>
      </c>
      <c r="X31" s="250">
        <v>0</v>
      </c>
      <c r="Y31" s="250">
        <f>150/31.06</f>
        <v>4.8293625241468128</v>
      </c>
      <c r="Z31" s="6">
        <v>881</v>
      </c>
      <c r="AA31" s="8"/>
      <c r="AB31" s="7"/>
      <c r="AC31" s="1">
        <f>CONFIDENCE(0.05, 489.0285, 13)</f>
        <v>265.83403595898147</v>
      </c>
    </row>
    <row r="32" spans="1:29" x14ac:dyDescent="0.35">
      <c r="C32" s="26"/>
      <c r="D32" s="9">
        <v>0.43159999999999998</v>
      </c>
      <c r="F32" s="2" t="s">
        <v>21</v>
      </c>
      <c r="G32" s="23"/>
      <c r="H32" s="2">
        <f>I31/G33</f>
        <v>0.8125</v>
      </c>
      <c r="I32" s="95"/>
      <c r="J32" s="129"/>
      <c r="K32" s="121"/>
      <c r="L32" s="84"/>
      <c r="M32" s="84"/>
      <c r="N32" s="86"/>
      <c r="O32" s="89"/>
      <c r="P32" s="74"/>
      <c r="Q32" s="75"/>
      <c r="R32" s="75"/>
      <c r="S32" s="76"/>
      <c r="T32" s="32"/>
      <c r="U32" s="8"/>
      <c r="V32" s="7"/>
      <c r="W32" s="250"/>
      <c r="X32" s="250"/>
      <c r="Y32" s="250"/>
      <c r="Z32" s="6"/>
      <c r="AA32" s="8"/>
      <c r="AB32" s="7"/>
    </row>
    <row r="33" spans="1:29" x14ac:dyDescent="0.35">
      <c r="C33" s="1"/>
      <c r="D33" s="2" t="s">
        <v>24</v>
      </c>
      <c r="E33" s="2" t="s">
        <v>5</v>
      </c>
      <c r="F33" s="9">
        <f>SUM(G33/E35)</f>
        <v>5.6939501779359428E-2</v>
      </c>
      <c r="G33" s="5">
        <v>16</v>
      </c>
      <c r="J33" s="24"/>
      <c r="K33" s="121"/>
      <c r="L33" s="84"/>
      <c r="M33" s="84"/>
      <c r="N33" s="86"/>
      <c r="O33" s="89"/>
      <c r="P33" s="74"/>
      <c r="Q33" s="75"/>
      <c r="R33" s="75"/>
      <c r="S33" s="76"/>
      <c r="T33" s="6"/>
      <c r="U33" s="8"/>
      <c r="V33" s="7"/>
      <c r="W33" s="250"/>
      <c r="X33" s="250"/>
      <c r="Y33" s="250"/>
      <c r="Z33" s="6"/>
      <c r="AA33" s="8"/>
      <c r="AB33" s="7"/>
    </row>
    <row r="34" spans="1:29" x14ac:dyDescent="0.35">
      <c r="G34" s="12">
        <f>(H32*K31+H35*K35)</f>
        <v>1885.625</v>
      </c>
      <c r="H34" s="2" t="s">
        <v>7</v>
      </c>
      <c r="J34" s="24"/>
      <c r="K34" s="121"/>
      <c r="L34" s="84"/>
      <c r="M34" s="84"/>
      <c r="N34" s="86"/>
      <c r="O34" s="89"/>
      <c r="P34" s="74"/>
      <c r="Q34" s="75"/>
      <c r="R34" s="75"/>
      <c r="S34" s="76"/>
      <c r="T34" s="6"/>
      <c r="U34" s="8"/>
      <c r="V34" s="7"/>
      <c r="W34" s="250"/>
      <c r="X34" s="250"/>
      <c r="Y34" s="250"/>
      <c r="Z34" s="6"/>
      <c r="AA34" s="8"/>
      <c r="AB34" s="7"/>
    </row>
    <row r="35" spans="1:29" x14ac:dyDescent="0.35">
      <c r="E35" s="14">
        <v>281</v>
      </c>
      <c r="G35" s="15">
        <f>(H32*O31)+(H35*O35)</f>
        <v>0.86418150684931505</v>
      </c>
      <c r="H35" s="2">
        <f>SUM(I35/$G$33)</f>
        <v>0.1875</v>
      </c>
      <c r="I35" s="94">
        <v>3</v>
      </c>
      <c r="J35" s="181">
        <f>H35*F33*D32*B24</f>
        <v>3.2676434464056943E-3</v>
      </c>
      <c r="K35" s="110">
        <f>T35</f>
        <v>7500</v>
      </c>
      <c r="L35" s="84">
        <v>0</v>
      </c>
      <c r="M35" s="84">
        <v>0</v>
      </c>
      <c r="N35" s="86">
        <f>$B$4</f>
        <v>139</v>
      </c>
      <c r="O35" s="89">
        <f>(Q35*S35)+(R35*S7)</f>
        <v>0.85986301369863005</v>
      </c>
      <c r="P35" s="74">
        <v>10</v>
      </c>
      <c r="Q35" s="75">
        <f>P35/365</f>
        <v>2.7397260273972601E-2</v>
      </c>
      <c r="R35" s="75">
        <f>1-Q35</f>
        <v>0.9726027397260274</v>
      </c>
      <c r="S35" s="76">
        <f>IF(B2=1, D45, IF(B2=2, D46, IF(B2=3, D47, IF(B2=6, D50, IF(B2=7, D51, IF(B2=8, D52, IF(B2=9, D53, 0)))))))</f>
        <v>0.5</v>
      </c>
      <c r="T35" s="32">
        <v>7500</v>
      </c>
      <c r="U35" s="8">
        <v>6809</v>
      </c>
      <c r="V35" s="7">
        <v>9856</v>
      </c>
      <c r="W35" s="250">
        <f>8195/31.06</f>
        <v>263.84417256922086</v>
      </c>
      <c r="X35" s="250">
        <v>0</v>
      </c>
      <c r="Y35" s="250">
        <v>0</v>
      </c>
      <c r="Z35" s="6">
        <v>8055</v>
      </c>
      <c r="AA35" s="8">
        <f>Z35-AC35</f>
        <v>6247.2691580986348</v>
      </c>
      <c r="AB35" s="7">
        <f>Z35+AC35</f>
        <v>9862.7308419013661</v>
      </c>
      <c r="AC35" s="1">
        <f>CONFIDENCE(0.05, 1597.52, 3)</f>
        <v>1807.7308419013655</v>
      </c>
    </row>
    <row r="36" spans="1:29" ht="15" thickBot="1" x14ac:dyDescent="0.4">
      <c r="E36" s="177">
        <f>(F33*G34+F36*T37)</f>
        <v>107.36654804270462</v>
      </c>
      <c r="F36" s="9">
        <f>1-F33</f>
        <v>0.94306049822064053</v>
      </c>
      <c r="J36" s="24"/>
      <c r="K36" s="121"/>
      <c r="L36" s="84"/>
      <c r="M36" s="84"/>
      <c r="N36" s="86"/>
      <c r="O36" s="89"/>
      <c r="P36" s="74"/>
      <c r="Q36" s="75"/>
      <c r="R36" s="75"/>
      <c r="S36" s="76"/>
      <c r="T36" s="6"/>
      <c r="U36" s="8"/>
      <c r="V36" s="7"/>
      <c r="W36" s="250"/>
      <c r="X36" s="250"/>
      <c r="Y36" s="250"/>
      <c r="Z36" s="6"/>
      <c r="AA36" s="8"/>
      <c r="AB36" s="7"/>
    </row>
    <row r="37" spans="1:29" ht="15" thickBot="1" x14ac:dyDescent="0.4">
      <c r="A37" s="23"/>
      <c r="B37" s="100"/>
      <c r="C37" s="27"/>
      <c r="E37" s="17">
        <f>(F33*G35)+(F36*G39)</f>
        <v>0.86966869789889334</v>
      </c>
      <c r="F37" s="2" t="s">
        <v>22</v>
      </c>
      <c r="G37" s="18">
        <v>265</v>
      </c>
      <c r="I37" s="92">
        <v>265</v>
      </c>
      <c r="J37" s="24">
        <f>F36*D32*B24</f>
        <v>0.2886418377658363</v>
      </c>
      <c r="K37" s="110">
        <f>T37</f>
        <v>0</v>
      </c>
      <c r="L37" s="84">
        <v>0</v>
      </c>
      <c r="M37" s="84">
        <v>0</v>
      </c>
      <c r="N37" s="86">
        <f>$B$4</f>
        <v>139</v>
      </c>
      <c r="O37" s="89">
        <f>(R37*S37)</f>
        <v>0.87</v>
      </c>
      <c r="P37" s="74">
        <v>0</v>
      </c>
      <c r="Q37" s="75">
        <f>P37/365</f>
        <v>0</v>
      </c>
      <c r="R37" s="75">
        <f>1-Q37</f>
        <v>1</v>
      </c>
      <c r="S37" s="76">
        <f>IF(B2=1, B45, IF(B2=2, B46, IF(B2=3, B47, IF(B2=6, B50, IF(B2=7, B51, IF(B2=8, B52, IF(B2=9, B53, 0)))))))</f>
        <v>0.87</v>
      </c>
      <c r="T37" s="32">
        <v>0</v>
      </c>
      <c r="U37" s="8"/>
      <c r="V37" s="7"/>
      <c r="W37" s="250"/>
      <c r="X37" s="250"/>
      <c r="Y37" s="250"/>
      <c r="Z37" s="6"/>
      <c r="AA37" s="8"/>
      <c r="AB37" s="7"/>
    </row>
    <row r="38" spans="1:29" x14ac:dyDescent="0.35">
      <c r="A38" s="23"/>
      <c r="B38" s="100"/>
      <c r="C38" s="26"/>
      <c r="E38" s="26"/>
      <c r="G38" s="43">
        <f>K37</f>
        <v>0</v>
      </c>
      <c r="J38" s="24"/>
      <c r="K38" s="121"/>
      <c r="L38" s="84"/>
      <c r="M38" s="84"/>
      <c r="N38" s="86"/>
      <c r="O38" s="89"/>
      <c r="P38" s="74"/>
      <c r="Q38" s="75"/>
      <c r="R38" s="75"/>
      <c r="S38" s="76"/>
      <c r="T38" s="32"/>
      <c r="U38" s="8"/>
      <c r="V38" s="7"/>
      <c r="W38" s="250"/>
      <c r="X38" s="250"/>
      <c r="Y38" s="250"/>
      <c r="Z38" s="6"/>
      <c r="AA38" s="8"/>
      <c r="AB38" s="7"/>
    </row>
    <row r="39" spans="1:29" ht="15" thickBot="1" x14ac:dyDescent="0.4">
      <c r="A39" s="23"/>
      <c r="B39" s="23"/>
      <c r="C39" s="101"/>
      <c r="G39" s="70">
        <f>O37</f>
        <v>0.87</v>
      </c>
      <c r="J39" s="24"/>
      <c r="K39" s="124"/>
      <c r="L39" s="85"/>
      <c r="M39" s="85"/>
      <c r="N39" s="87"/>
      <c r="O39" s="90"/>
      <c r="P39" s="77"/>
      <c r="Q39" s="78"/>
      <c r="R39" s="78"/>
      <c r="S39" s="79"/>
      <c r="T39" s="28"/>
      <c r="U39" s="30"/>
      <c r="V39" s="29"/>
      <c r="W39" s="252"/>
      <c r="X39" s="252"/>
      <c r="Y39" s="252"/>
      <c r="Z39" s="28"/>
      <c r="AA39" s="30"/>
      <c r="AB39" s="29"/>
    </row>
    <row r="40" spans="1:29" x14ac:dyDescent="0.35">
      <c r="A40" s="23"/>
      <c r="B40" s="23"/>
      <c r="C40" s="26"/>
      <c r="I40" s="92">
        <f>SUM(I2:I39)</f>
        <v>918</v>
      </c>
      <c r="J40" s="24">
        <f>SUM(J2:J39)</f>
        <v>1</v>
      </c>
    </row>
    <row r="41" spans="1:29" x14ac:dyDescent="0.35">
      <c r="A41" s="23"/>
      <c r="B41" s="23"/>
      <c r="C41" s="26"/>
      <c r="G41" s="1" t="s">
        <v>278</v>
      </c>
      <c r="H41" s="1">
        <f>G3+G13+G23+G33</f>
        <v>59</v>
      </c>
      <c r="J41" s="24"/>
    </row>
    <row r="42" spans="1:29" x14ac:dyDescent="0.35">
      <c r="A42" s="23"/>
      <c r="B42" s="23"/>
      <c r="C42" s="26"/>
      <c r="G42" s="1" t="s">
        <v>279</v>
      </c>
      <c r="H42" s="1">
        <v>2</v>
      </c>
      <c r="I42" s="92">
        <f>100*(H42/H41)</f>
        <v>3.3898305084745761</v>
      </c>
    </row>
    <row r="43" spans="1:29" x14ac:dyDescent="0.35">
      <c r="A43" s="34"/>
      <c r="B43" s="270" t="s">
        <v>25</v>
      </c>
      <c r="C43" s="270"/>
      <c r="D43" s="270"/>
      <c r="E43" s="35" t="s">
        <v>28</v>
      </c>
      <c r="F43" s="34"/>
      <c r="G43" s="34"/>
      <c r="H43" s="34"/>
      <c r="I43" s="96"/>
      <c r="J43" s="178"/>
    </row>
    <row r="44" spans="1:29" x14ac:dyDescent="0.35">
      <c r="A44" s="35" t="s">
        <v>26</v>
      </c>
      <c r="B44" s="35" t="s">
        <v>22</v>
      </c>
      <c r="C44" s="35" t="s">
        <v>32</v>
      </c>
      <c r="D44" s="35" t="s">
        <v>33</v>
      </c>
      <c r="E44" s="35"/>
      <c r="F44" s="34"/>
      <c r="G44" s="34"/>
      <c r="H44" s="34"/>
      <c r="I44" s="96"/>
      <c r="J44" s="178"/>
    </row>
    <row r="45" spans="1:29" x14ac:dyDescent="0.35">
      <c r="A45" s="35">
        <v>1</v>
      </c>
      <c r="B45" s="35">
        <v>0.95</v>
      </c>
      <c r="C45" s="35">
        <v>0.57999999999999996</v>
      </c>
      <c r="D45" s="35">
        <v>0.57999999999999996</v>
      </c>
      <c r="E45" s="35" t="s">
        <v>27</v>
      </c>
      <c r="F45" s="34" t="s">
        <v>34</v>
      </c>
      <c r="G45" s="34"/>
      <c r="H45" s="34"/>
      <c r="I45" s="96"/>
      <c r="J45" s="178"/>
    </row>
    <row r="46" spans="1:29" ht="18.5" x14ac:dyDescent="0.35">
      <c r="A46" s="216">
        <v>2</v>
      </c>
      <c r="B46" s="216">
        <v>0.87</v>
      </c>
      <c r="C46" s="216">
        <v>0.65</v>
      </c>
      <c r="D46" s="217">
        <v>0.5</v>
      </c>
      <c r="E46" s="216" t="s">
        <v>29</v>
      </c>
      <c r="F46" s="218" t="s">
        <v>35</v>
      </c>
      <c r="G46" s="218"/>
      <c r="H46" s="218"/>
      <c r="I46" s="96"/>
      <c r="J46" s="178"/>
    </row>
    <row r="47" spans="1:29" x14ac:dyDescent="0.35">
      <c r="A47" s="35">
        <v>3</v>
      </c>
      <c r="B47" s="35">
        <v>0.87</v>
      </c>
      <c r="C47" s="35">
        <v>0.52</v>
      </c>
      <c r="D47" s="35">
        <v>0.05</v>
      </c>
      <c r="E47" s="35" t="s">
        <v>30</v>
      </c>
      <c r="F47" s="34" t="s">
        <v>35</v>
      </c>
      <c r="G47" s="34"/>
      <c r="H47" s="34"/>
      <c r="I47" s="96"/>
      <c r="J47" s="178"/>
    </row>
    <row r="48" spans="1:29" x14ac:dyDescent="0.35">
      <c r="A48" s="35">
        <v>4</v>
      </c>
      <c r="B48" s="35">
        <v>0.87</v>
      </c>
      <c r="C48" s="35"/>
      <c r="D48" s="34"/>
      <c r="E48" s="35" t="s">
        <v>31</v>
      </c>
      <c r="F48" s="34" t="s">
        <v>37</v>
      </c>
      <c r="G48" s="34"/>
      <c r="H48" s="34"/>
      <c r="I48" s="96"/>
      <c r="J48" s="178"/>
    </row>
    <row r="49" spans="1:15" x14ac:dyDescent="0.35">
      <c r="A49" s="35">
        <v>5</v>
      </c>
      <c r="B49" s="35">
        <v>0.73</v>
      </c>
      <c r="C49" s="35"/>
      <c r="D49" s="34"/>
      <c r="E49" s="35" t="s">
        <v>31</v>
      </c>
      <c r="F49" s="34" t="s">
        <v>36</v>
      </c>
      <c r="G49" s="34"/>
      <c r="H49" s="34"/>
      <c r="I49" s="96"/>
      <c r="J49" s="178"/>
    </row>
    <row r="50" spans="1:15" x14ac:dyDescent="0.35">
      <c r="A50" s="48">
        <v>6</v>
      </c>
      <c r="B50" s="48"/>
      <c r="C50" s="48">
        <v>0.99</v>
      </c>
      <c r="D50" s="48">
        <v>0.95</v>
      </c>
      <c r="E50" s="48" t="s">
        <v>69</v>
      </c>
      <c r="F50" s="34" t="s">
        <v>162</v>
      </c>
      <c r="G50" s="34"/>
      <c r="H50" s="34"/>
      <c r="I50" s="96"/>
      <c r="J50" s="178"/>
    </row>
    <row r="51" spans="1:15" x14ac:dyDescent="0.35">
      <c r="A51" s="184">
        <v>7</v>
      </c>
      <c r="B51" s="184">
        <v>0.93300000000000005</v>
      </c>
      <c r="C51" s="184">
        <v>0.55800000000000005</v>
      </c>
      <c r="D51" s="184">
        <v>0.55800000000000005</v>
      </c>
      <c r="E51" s="184" t="s">
        <v>223</v>
      </c>
      <c r="F51" s="185" t="s">
        <v>224</v>
      </c>
      <c r="G51" s="185"/>
      <c r="H51" s="185"/>
      <c r="I51" s="186"/>
      <c r="J51" s="178"/>
    </row>
    <row r="52" spans="1:15" x14ac:dyDescent="0.35">
      <c r="A52" s="184">
        <v>8</v>
      </c>
      <c r="B52" s="186">
        <v>0.92</v>
      </c>
      <c r="C52" s="186">
        <v>0.65900000000000003</v>
      </c>
      <c r="D52" s="186">
        <v>0.51400000000000001</v>
      </c>
      <c r="E52" s="184" t="s">
        <v>273</v>
      </c>
      <c r="F52" s="185" t="s">
        <v>227</v>
      </c>
      <c r="G52" s="185"/>
      <c r="H52" s="185"/>
      <c r="I52" s="186"/>
      <c r="J52" s="178"/>
    </row>
    <row r="53" spans="1:15" x14ac:dyDescent="0.35">
      <c r="A53" s="184">
        <v>9</v>
      </c>
      <c r="B53" s="264">
        <f>summary!B22</f>
        <v>0.90860000000000007</v>
      </c>
      <c r="C53" s="264">
        <f>summary!C22</f>
        <v>0.59339999999999993</v>
      </c>
      <c r="D53" s="264">
        <f>summary!D22</f>
        <v>0.44040000000000001</v>
      </c>
      <c r="E53" s="184"/>
      <c r="F53" s="185" t="s">
        <v>159</v>
      </c>
      <c r="G53" s="185"/>
      <c r="H53" s="185"/>
      <c r="I53" s="186"/>
      <c r="J53" s="178"/>
    </row>
    <row r="55" spans="1:15" ht="58" hidden="1" x14ac:dyDescent="0.35">
      <c r="A55" s="48" t="s">
        <v>73</v>
      </c>
      <c r="B55" s="53" t="s">
        <v>135</v>
      </c>
      <c r="C55" s="53" t="s">
        <v>136</v>
      </c>
      <c r="D55" s="53" t="s">
        <v>72</v>
      </c>
      <c r="E55" s="53" t="s">
        <v>39</v>
      </c>
      <c r="F55" s="102" t="s">
        <v>38</v>
      </c>
    </row>
    <row r="56" spans="1:15" hidden="1" x14ac:dyDescent="0.35">
      <c r="A56" s="48">
        <v>1</v>
      </c>
      <c r="B56" s="99">
        <f t="shared" ref="B56:B61" si="0">269.85/$B$93</f>
        <v>8.6866977090789064</v>
      </c>
      <c r="C56" s="99">
        <f>118.14/$B$93</f>
        <v>3.803025634058113</v>
      </c>
      <c r="D56" s="99">
        <v>0.94969999999999999</v>
      </c>
      <c r="E56" s="98">
        <v>0.94930000000000003</v>
      </c>
      <c r="F56" s="266">
        <f>(B56-C56)/(D56-E56)</f>
        <v>12209.180187553329</v>
      </c>
      <c r="G56" s="1" t="s">
        <v>238</v>
      </c>
    </row>
    <row r="57" spans="1:15" hidden="1" x14ac:dyDescent="0.35">
      <c r="A57" s="48">
        <v>2</v>
      </c>
      <c r="B57" s="99">
        <f t="shared" si="0"/>
        <v>8.6866977090789064</v>
      </c>
      <c r="C57" s="99">
        <f t="shared" ref="C57:C61" si="1">118.14/$B$93</f>
        <v>3.803025634058113</v>
      </c>
      <c r="D57" s="99">
        <v>0.86980000000000002</v>
      </c>
      <c r="E57" s="99">
        <v>0.86960000000000004</v>
      </c>
      <c r="F57" s="266">
        <f>(B57-C57)/(D57-E57)</f>
        <v>24418.360375106658</v>
      </c>
      <c r="G57" s="1" t="s">
        <v>239</v>
      </c>
    </row>
    <row r="58" spans="1:15" hidden="1" x14ac:dyDescent="0.35">
      <c r="A58" s="48">
        <v>3</v>
      </c>
      <c r="B58" s="99">
        <f t="shared" si="0"/>
        <v>8.6866977090789064</v>
      </c>
      <c r="C58" s="99">
        <f t="shared" si="1"/>
        <v>3.803025634058113</v>
      </c>
      <c r="D58" s="98">
        <v>0.86960000000000004</v>
      </c>
      <c r="E58" s="98">
        <v>0.86919999999999997</v>
      </c>
      <c r="F58" s="266">
        <f t="shared" ref="F58:F61" si="2">(B58-C58)/(D58-E58)</f>
        <v>12209.18018754994</v>
      </c>
      <c r="G58" s="1" t="s">
        <v>240</v>
      </c>
    </row>
    <row r="59" spans="1:15" hidden="1" x14ac:dyDescent="0.35">
      <c r="A59" s="184">
        <v>7</v>
      </c>
      <c r="B59" s="191">
        <f t="shared" si="0"/>
        <v>8.6866977090789064</v>
      </c>
      <c r="C59" s="191">
        <f t="shared" si="1"/>
        <v>3.803025634058113</v>
      </c>
      <c r="D59" s="191">
        <v>0.93269999999999997</v>
      </c>
      <c r="E59" s="191">
        <v>0.93230000000000002</v>
      </c>
      <c r="F59" s="267">
        <f t="shared" si="2"/>
        <v>12209.180187553329</v>
      </c>
      <c r="G59" s="1" t="s">
        <v>237</v>
      </c>
      <c r="O59" s="2"/>
    </row>
    <row r="60" spans="1:15" hidden="1" x14ac:dyDescent="0.35">
      <c r="A60" s="184">
        <v>8</v>
      </c>
      <c r="B60" s="191">
        <f t="shared" si="0"/>
        <v>8.6866977090789064</v>
      </c>
      <c r="C60" s="191">
        <f t="shared" si="1"/>
        <v>3.803025634058113</v>
      </c>
      <c r="D60" s="191">
        <v>0.91969999999999996</v>
      </c>
      <c r="E60" s="191">
        <v>0.91949999999999998</v>
      </c>
      <c r="F60" s="267">
        <f t="shared" si="2"/>
        <v>24418.360375106658</v>
      </c>
      <c r="G60" s="1" t="s">
        <v>241</v>
      </c>
      <c r="O60" s="2"/>
    </row>
    <row r="61" spans="1:15" hidden="1" x14ac:dyDescent="0.35">
      <c r="A61" s="184">
        <v>9</v>
      </c>
      <c r="B61" s="191">
        <f t="shared" si="0"/>
        <v>8.6866977090789064</v>
      </c>
      <c r="C61" s="191">
        <f t="shared" si="1"/>
        <v>3.803025634058113</v>
      </c>
      <c r="D61" s="191">
        <v>0.9083</v>
      </c>
      <c r="E61" s="191">
        <v>0.90810000000000002</v>
      </c>
      <c r="F61" s="193">
        <f t="shared" si="2"/>
        <v>24418.360375106658</v>
      </c>
      <c r="O61" s="2"/>
    </row>
    <row r="62" spans="1:15" hidden="1" x14ac:dyDescent="0.35">
      <c r="O62" s="2"/>
    </row>
    <row r="63" spans="1:15" hidden="1" x14ac:dyDescent="0.35">
      <c r="A63" s="1" t="s">
        <v>74</v>
      </c>
      <c r="O63" s="2"/>
    </row>
    <row r="64" spans="1:15" hidden="1" x14ac:dyDescent="0.35">
      <c r="A64" s="1" t="s">
        <v>75</v>
      </c>
      <c r="O64" s="2"/>
    </row>
    <row r="65" spans="1:15" hidden="1" x14ac:dyDescent="0.35">
      <c r="A65" s="1" t="s">
        <v>76</v>
      </c>
      <c r="O65" s="2"/>
    </row>
    <row r="66" spans="1:15" hidden="1" x14ac:dyDescent="0.35">
      <c r="A66" s="1" t="s">
        <v>77</v>
      </c>
      <c r="O66" s="2"/>
    </row>
    <row r="67" spans="1:15" hidden="1" x14ac:dyDescent="0.35">
      <c r="O67" s="2"/>
    </row>
    <row r="68" spans="1:15" ht="15" hidden="1" thickBot="1" x14ac:dyDescent="0.4">
      <c r="O68" s="2"/>
    </row>
    <row r="69" spans="1:15" hidden="1" x14ac:dyDescent="0.35">
      <c r="B69" s="271" t="s">
        <v>97</v>
      </c>
      <c r="C69" s="272"/>
      <c r="D69" s="271" t="s">
        <v>98</v>
      </c>
      <c r="E69" s="272"/>
      <c r="F69" s="271" t="s">
        <v>99</v>
      </c>
      <c r="G69" s="272"/>
      <c r="O69" s="2"/>
    </row>
    <row r="70" spans="1:15" hidden="1" x14ac:dyDescent="0.35">
      <c r="A70" s="1" t="s">
        <v>87</v>
      </c>
      <c r="B70" s="6" t="s">
        <v>81</v>
      </c>
      <c r="C70" s="7" t="s">
        <v>82</v>
      </c>
      <c r="D70" s="6" t="s">
        <v>81</v>
      </c>
      <c r="E70" s="7" t="s">
        <v>82</v>
      </c>
      <c r="F70" s="6" t="s">
        <v>81</v>
      </c>
      <c r="G70" s="7" t="s">
        <v>82</v>
      </c>
      <c r="O70" s="2"/>
    </row>
    <row r="71" spans="1:15" hidden="1" x14ac:dyDescent="0.35">
      <c r="A71" s="1" t="s">
        <v>80</v>
      </c>
      <c r="B71" s="6">
        <v>8.5</v>
      </c>
      <c r="C71" s="54" t="s">
        <v>86</v>
      </c>
      <c r="D71" s="6">
        <v>8.5</v>
      </c>
      <c r="E71" s="58" t="s">
        <v>86</v>
      </c>
      <c r="F71" s="6">
        <v>8.5</v>
      </c>
      <c r="G71" s="58" t="s">
        <v>102</v>
      </c>
      <c r="O71" s="2"/>
    </row>
    <row r="72" spans="1:15" hidden="1" x14ac:dyDescent="0.35">
      <c r="A72" s="1" t="s">
        <v>83</v>
      </c>
      <c r="B72" s="6">
        <v>9</v>
      </c>
      <c r="C72" s="55" t="s">
        <v>88</v>
      </c>
      <c r="D72" s="6">
        <v>9</v>
      </c>
      <c r="E72" s="58" t="s">
        <v>88</v>
      </c>
      <c r="F72" s="6"/>
      <c r="G72" s="7"/>
      <c r="O72" s="2"/>
    </row>
    <row r="73" spans="1:15" hidden="1" x14ac:dyDescent="0.35">
      <c r="A73" s="1" t="s">
        <v>84</v>
      </c>
      <c r="B73" s="6">
        <v>9</v>
      </c>
      <c r="C73" s="56" t="s">
        <v>88</v>
      </c>
      <c r="D73" s="6">
        <v>9</v>
      </c>
      <c r="E73" s="58" t="s">
        <v>100</v>
      </c>
      <c r="F73" s="6">
        <v>8</v>
      </c>
      <c r="G73" s="58" t="s">
        <v>101</v>
      </c>
    </row>
    <row r="74" spans="1:15" ht="15" hidden="1" thickBot="1" x14ac:dyDescent="0.4">
      <c r="A74" s="1" t="s">
        <v>85</v>
      </c>
      <c r="B74" s="28">
        <v>10</v>
      </c>
      <c r="C74" s="57" t="s">
        <v>89</v>
      </c>
      <c r="D74" s="28">
        <v>10</v>
      </c>
      <c r="E74" s="59" t="s">
        <v>89</v>
      </c>
      <c r="F74" s="28">
        <v>10</v>
      </c>
      <c r="G74" s="59" t="s">
        <v>103</v>
      </c>
    </row>
    <row r="75" spans="1:15" hidden="1" x14ac:dyDescent="0.35"/>
    <row r="76" spans="1:15" hidden="1" x14ac:dyDescent="0.35"/>
    <row r="77" spans="1:15" ht="29" hidden="1" x14ac:dyDescent="0.35">
      <c r="A77" s="118" t="s">
        <v>143</v>
      </c>
      <c r="B77" s="119">
        <v>5917.9</v>
      </c>
      <c r="C77" s="127" t="s">
        <v>141</v>
      </c>
      <c r="D77" s="2"/>
    </row>
    <row r="78" spans="1:15" hidden="1" x14ac:dyDescent="0.35">
      <c r="A78" s="92" t="s">
        <v>280</v>
      </c>
      <c r="B78" s="2">
        <f>3*B77</f>
        <v>17753.699999999997</v>
      </c>
      <c r="D78" s="2"/>
    </row>
    <row r="79" spans="1:15" hidden="1" x14ac:dyDescent="0.35">
      <c r="A79" s="92"/>
      <c r="B79" s="2"/>
      <c r="D79" s="2"/>
    </row>
    <row r="80" spans="1:15" hidden="1" x14ac:dyDescent="0.35">
      <c r="A80" s="92"/>
      <c r="B80" s="2" t="s">
        <v>157</v>
      </c>
      <c r="D80" s="2"/>
    </row>
    <row r="81" spans="1:4" hidden="1" x14ac:dyDescent="0.35">
      <c r="A81" s="128" t="s">
        <v>145</v>
      </c>
      <c r="B81" s="33">
        <v>31.531565000000001</v>
      </c>
      <c r="C81" s="92"/>
      <c r="D81" s="2"/>
    </row>
    <row r="82" spans="1:4" hidden="1" x14ac:dyDescent="0.35">
      <c r="A82" s="128" t="s">
        <v>146</v>
      </c>
      <c r="B82" s="33">
        <v>30.708935</v>
      </c>
      <c r="C82" s="92"/>
      <c r="D82" s="2"/>
    </row>
    <row r="83" spans="1:4" hidden="1" x14ac:dyDescent="0.35">
      <c r="A83" s="128" t="s">
        <v>147</v>
      </c>
      <c r="B83" s="33">
        <v>30.699726999999999</v>
      </c>
      <c r="C83" s="92"/>
      <c r="D83" s="2"/>
    </row>
    <row r="84" spans="1:4" hidden="1" x14ac:dyDescent="0.35">
      <c r="A84" s="128" t="s">
        <v>148</v>
      </c>
      <c r="B84" s="33">
        <v>30.865102</v>
      </c>
      <c r="C84" s="92"/>
      <c r="D84" s="2"/>
    </row>
    <row r="85" spans="1:4" hidden="1" x14ac:dyDescent="0.35">
      <c r="A85" s="128" t="s">
        <v>149</v>
      </c>
      <c r="B85" s="33">
        <v>31.302795</v>
      </c>
      <c r="C85" s="92"/>
      <c r="D85" s="2"/>
    </row>
    <row r="86" spans="1:4" hidden="1" x14ac:dyDescent="0.35">
      <c r="A86" s="128" t="s">
        <v>150</v>
      </c>
      <c r="B86" s="33">
        <v>31.631855999999999</v>
      </c>
      <c r="C86" s="92"/>
      <c r="D86" s="2"/>
    </row>
    <row r="87" spans="1:4" hidden="1" x14ac:dyDescent="0.35">
      <c r="A87" s="128" t="s">
        <v>151</v>
      </c>
      <c r="B87" s="33">
        <v>31.627683000000001</v>
      </c>
      <c r="C87" s="92"/>
      <c r="D87" s="2"/>
    </row>
    <row r="88" spans="1:4" hidden="1" x14ac:dyDescent="0.35">
      <c r="A88" s="128" t="s">
        <v>152</v>
      </c>
      <c r="B88" s="33">
        <v>31.422575999999999</v>
      </c>
      <c r="C88" s="92"/>
      <c r="D88" s="2"/>
    </row>
    <row r="89" spans="1:4" hidden="1" x14ac:dyDescent="0.35">
      <c r="A89" s="128" t="s">
        <v>153</v>
      </c>
      <c r="B89" s="33">
        <v>30.967063</v>
      </c>
      <c r="C89" s="92"/>
      <c r="D89" s="2"/>
    </row>
    <row r="90" spans="1:4" hidden="1" x14ac:dyDescent="0.35">
      <c r="A90" s="128" t="s">
        <v>154</v>
      </c>
      <c r="B90" s="33">
        <v>30.679175000000001</v>
      </c>
      <c r="C90" s="92"/>
      <c r="D90" s="2"/>
    </row>
    <row r="91" spans="1:4" hidden="1" x14ac:dyDescent="0.35">
      <c r="A91" s="128" t="s">
        <v>155</v>
      </c>
      <c r="B91" s="33">
        <v>30.708076999999999</v>
      </c>
      <c r="C91" s="92"/>
      <c r="D91" s="2"/>
    </row>
    <row r="92" spans="1:4" hidden="1" x14ac:dyDescent="0.35">
      <c r="A92" s="128" t="s">
        <v>156</v>
      </c>
      <c r="B92" s="33">
        <v>30.632318000000001</v>
      </c>
      <c r="C92" s="92"/>
      <c r="D92" s="2"/>
    </row>
    <row r="93" spans="1:4" hidden="1" x14ac:dyDescent="0.35">
      <c r="A93" s="1" t="s">
        <v>159</v>
      </c>
      <c r="B93" s="33">
        <f>AVERAGE(B81:B92)</f>
        <v>31.064739333333332</v>
      </c>
      <c r="C93" s="92"/>
      <c r="D93" s="2"/>
    </row>
    <row r="94" spans="1:4" hidden="1" x14ac:dyDescent="0.35">
      <c r="A94" s="92"/>
      <c r="B94" s="2"/>
      <c r="D94" s="2"/>
    </row>
    <row r="95" spans="1:4" hidden="1" x14ac:dyDescent="0.35">
      <c r="A95" s="127" t="s">
        <v>158</v>
      </c>
      <c r="B95" s="2"/>
      <c r="D95" s="2"/>
    </row>
    <row r="96" spans="1:4" x14ac:dyDescent="0.35">
      <c r="A96" s="92"/>
      <c r="B96" s="2"/>
      <c r="D96" s="2"/>
    </row>
  </sheetData>
  <mergeCells count="4">
    <mergeCell ref="B43:D43"/>
    <mergeCell ref="B69:C69"/>
    <mergeCell ref="D69:E69"/>
    <mergeCell ref="F69:G69"/>
  </mergeCells>
  <pageMargins left="0.7" right="0.7" top="0.75" bottom="0.75" header="0.3" footer="0.3"/>
  <pageSetup scale="81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E27" sqref="E27"/>
    </sheetView>
  </sheetViews>
  <sheetFormatPr defaultRowHeight="14.5" x14ac:dyDescent="0.35"/>
  <cols>
    <col min="2" max="2" width="21" customWidth="1"/>
    <col min="3" max="3" width="17.453125" customWidth="1"/>
    <col min="4" max="5" width="9.08984375" style="47"/>
  </cols>
  <sheetData>
    <row r="1" spans="1:5" ht="62.25" customHeight="1" x14ac:dyDescent="0.35">
      <c r="B1" s="330"/>
      <c r="C1" s="332" t="s">
        <v>247</v>
      </c>
    </row>
    <row r="2" spans="1:5" ht="15.75" customHeight="1" thickBot="1" x14ac:dyDescent="0.4">
      <c r="B2" s="331"/>
      <c r="C2" s="333"/>
      <c r="D2" s="47" t="s">
        <v>254</v>
      </c>
      <c r="E2" s="47" t="s">
        <v>255</v>
      </c>
    </row>
    <row r="3" spans="1:5" ht="16" thickBot="1" x14ac:dyDescent="0.4">
      <c r="A3" s="329">
        <v>2012</v>
      </c>
      <c r="B3" s="225" t="s">
        <v>248</v>
      </c>
      <c r="C3" s="227">
        <v>23900</v>
      </c>
      <c r="D3" s="47">
        <v>5918</v>
      </c>
      <c r="E3" s="47">
        <f>3*D3</f>
        <v>17754</v>
      </c>
    </row>
    <row r="4" spans="1:5" ht="16" thickBot="1" x14ac:dyDescent="0.4">
      <c r="A4" s="329"/>
      <c r="B4" s="225" t="s">
        <v>249</v>
      </c>
      <c r="C4" s="227">
        <v>11950</v>
      </c>
      <c r="D4" s="47">
        <v>5918</v>
      </c>
      <c r="E4" s="47">
        <f t="shared" ref="E4:E17" si="0">3*D4</f>
        <v>17754</v>
      </c>
    </row>
    <row r="5" spans="1:5" ht="16" thickBot="1" x14ac:dyDescent="0.4">
      <c r="A5" s="329"/>
      <c r="B5" s="225" t="s">
        <v>250</v>
      </c>
      <c r="C5" s="227">
        <v>11950</v>
      </c>
      <c r="D5" s="47">
        <v>5918</v>
      </c>
      <c r="E5" s="47">
        <f t="shared" si="0"/>
        <v>17754</v>
      </c>
    </row>
    <row r="6" spans="1:5" ht="16" thickBot="1" x14ac:dyDescent="0.4">
      <c r="A6" s="329"/>
      <c r="B6" s="225" t="s">
        <v>251</v>
      </c>
      <c r="C6" s="227">
        <v>11950</v>
      </c>
      <c r="D6" s="47">
        <v>5918</v>
      </c>
      <c r="E6" s="47">
        <f t="shared" si="0"/>
        <v>17754</v>
      </c>
    </row>
    <row r="7" spans="1:5" ht="16" thickBot="1" x14ac:dyDescent="0.4">
      <c r="A7" s="329"/>
      <c r="B7" s="225" t="s">
        <v>252</v>
      </c>
      <c r="C7" s="227">
        <v>23900</v>
      </c>
      <c r="D7" s="47">
        <v>6299</v>
      </c>
      <c r="E7" s="47">
        <f t="shared" si="0"/>
        <v>18897</v>
      </c>
    </row>
    <row r="8" spans="1:5" ht="16" thickBot="1" x14ac:dyDescent="0.4">
      <c r="A8" s="329">
        <v>2013</v>
      </c>
      <c r="B8" s="225" t="s">
        <v>248</v>
      </c>
      <c r="C8" s="226">
        <v>554</v>
      </c>
      <c r="D8" s="47">
        <v>6299</v>
      </c>
      <c r="E8" s="47">
        <f t="shared" si="0"/>
        <v>18897</v>
      </c>
    </row>
    <row r="9" spans="1:5" ht="16" thickBot="1" x14ac:dyDescent="0.4">
      <c r="A9" s="329"/>
      <c r="B9" s="225" t="s">
        <v>249</v>
      </c>
      <c r="C9" s="226">
        <v>480</v>
      </c>
      <c r="D9" s="47">
        <v>6299</v>
      </c>
      <c r="E9" s="47">
        <f t="shared" si="0"/>
        <v>18897</v>
      </c>
    </row>
    <row r="10" spans="1:5" ht="16" thickBot="1" x14ac:dyDescent="0.4">
      <c r="A10" s="329"/>
      <c r="B10" s="225" t="s">
        <v>250</v>
      </c>
      <c r="C10" s="226">
        <v>514</v>
      </c>
      <c r="D10" s="47">
        <v>6299</v>
      </c>
      <c r="E10" s="47">
        <f t="shared" si="0"/>
        <v>18897</v>
      </c>
    </row>
    <row r="11" spans="1:5" ht="16" thickBot="1" x14ac:dyDescent="0.4">
      <c r="A11" s="329"/>
      <c r="B11" s="225" t="s">
        <v>251</v>
      </c>
      <c r="C11" s="226">
        <v>514</v>
      </c>
      <c r="D11" s="47">
        <v>6299</v>
      </c>
      <c r="E11" s="47">
        <f t="shared" si="0"/>
        <v>18897</v>
      </c>
    </row>
    <row r="12" spans="1:5" ht="16" thickBot="1" x14ac:dyDescent="0.4">
      <c r="A12" s="329"/>
      <c r="B12" s="225" t="s">
        <v>253</v>
      </c>
      <c r="C12" s="226">
        <v>554</v>
      </c>
      <c r="D12" s="47">
        <v>5977</v>
      </c>
      <c r="E12" s="47">
        <f t="shared" si="0"/>
        <v>17931</v>
      </c>
    </row>
    <row r="13" spans="1:5" ht="16" thickBot="1" x14ac:dyDescent="0.4">
      <c r="A13" s="329">
        <v>2014</v>
      </c>
      <c r="B13" s="225" t="s">
        <v>248</v>
      </c>
      <c r="C13" s="227">
        <v>16200</v>
      </c>
      <c r="D13" s="47">
        <v>5977</v>
      </c>
      <c r="E13" s="47">
        <f t="shared" si="0"/>
        <v>17931</v>
      </c>
    </row>
    <row r="14" spans="1:5" ht="16" thickBot="1" x14ac:dyDescent="0.4">
      <c r="A14" s="329"/>
      <c r="B14" s="225" t="s">
        <v>249</v>
      </c>
      <c r="C14" s="227">
        <v>20250</v>
      </c>
      <c r="D14" s="47">
        <v>5977</v>
      </c>
      <c r="E14" s="47">
        <f t="shared" si="0"/>
        <v>17931</v>
      </c>
    </row>
    <row r="15" spans="1:5" ht="16" thickBot="1" x14ac:dyDescent="0.4">
      <c r="A15" s="329"/>
      <c r="B15" s="225" t="s">
        <v>250</v>
      </c>
      <c r="C15" s="227">
        <v>16200</v>
      </c>
      <c r="D15" s="47">
        <v>5977</v>
      </c>
      <c r="E15" s="47">
        <f t="shared" si="0"/>
        <v>17931</v>
      </c>
    </row>
    <row r="16" spans="1:5" ht="16" thickBot="1" x14ac:dyDescent="0.4">
      <c r="A16" s="329"/>
      <c r="B16" s="225" t="s">
        <v>251</v>
      </c>
      <c r="C16" s="227">
        <v>18000</v>
      </c>
      <c r="D16" s="47">
        <v>5977</v>
      </c>
      <c r="E16" s="47">
        <f t="shared" si="0"/>
        <v>17931</v>
      </c>
    </row>
    <row r="17" spans="1:5" ht="16" thickBot="1" x14ac:dyDescent="0.4">
      <c r="A17" s="329"/>
      <c r="B17" s="225" t="s">
        <v>253</v>
      </c>
      <c r="C17" s="227">
        <v>16200</v>
      </c>
      <c r="D17" s="47">
        <v>5977</v>
      </c>
      <c r="E17" s="47">
        <f t="shared" si="0"/>
        <v>17931</v>
      </c>
    </row>
    <row r="18" spans="1:5" x14ac:dyDescent="0.35">
      <c r="B18" s="228"/>
    </row>
    <row r="24" spans="1:5" ht="15.5" x14ac:dyDescent="0.35">
      <c r="B24" s="158"/>
    </row>
  </sheetData>
  <mergeCells count="5">
    <mergeCell ref="A3:A7"/>
    <mergeCell ref="A8:A12"/>
    <mergeCell ref="A13:A17"/>
    <mergeCell ref="B1:B2"/>
    <mergeCell ref="C1:C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6"/>
  <sheetViews>
    <sheetView workbookViewId="0">
      <selection activeCell="A53" sqref="A53:XFD86"/>
    </sheetView>
  </sheetViews>
  <sheetFormatPr defaultColWidth="9.08984375" defaultRowHeight="14.5" x14ac:dyDescent="0.35"/>
  <cols>
    <col min="1" max="1" width="16.6328125" style="1" customWidth="1"/>
    <col min="2" max="2" width="10.08984375" style="1" customWidth="1"/>
    <col min="3" max="3" width="16.453125" style="2" customWidth="1"/>
    <col min="4" max="4" width="21.08984375" style="2" customWidth="1"/>
    <col min="5" max="5" width="10.36328125" style="2" customWidth="1"/>
    <col min="6" max="6" width="16.6328125" style="2" customWidth="1"/>
    <col min="7" max="7" width="9.90625" style="1" customWidth="1"/>
    <col min="8" max="8" width="19.453125" style="24" customWidth="1"/>
    <col min="9" max="9" width="15.54296875" style="92" bestFit="1" customWidth="1"/>
    <col min="10" max="10" width="15.54296875" style="92" customWidth="1"/>
    <col min="11" max="11" width="17.90625" style="92" customWidth="1"/>
    <col min="12" max="12" width="16.90625" style="2" customWidth="1"/>
    <col min="13" max="13" width="16" style="2" customWidth="1"/>
    <col min="14" max="14" width="13" style="2" customWidth="1"/>
    <col min="15" max="15" width="12.90625" style="92" customWidth="1"/>
    <col min="16" max="16" width="8.6328125" style="2" customWidth="1"/>
    <col min="17" max="17" width="12.453125" style="2" customWidth="1"/>
    <col min="18" max="18" width="14.08984375" style="2" customWidth="1"/>
    <col min="19" max="19" width="8" style="2" customWidth="1"/>
    <col min="20" max="20" width="16" style="2" hidden="1" customWidth="1"/>
    <col min="21" max="21" width="8.54296875" style="2" hidden="1" customWidth="1"/>
    <col min="22" max="22" width="8.6328125" style="2" hidden="1" customWidth="1"/>
    <col min="23" max="25" width="13" style="249" hidden="1" customWidth="1"/>
    <col min="26" max="26" width="8.6328125" style="2" hidden="1" customWidth="1"/>
    <col min="27" max="29" width="0" style="2" hidden="1" customWidth="1"/>
    <col min="30" max="33" width="0" style="1" hidden="1" customWidth="1"/>
    <col min="34" max="34" width="14" style="1" hidden="1" customWidth="1"/>
    <col min="35" max="16384" width="9.08984375" style="1"/>
  </cols>
  <sheetData>
    <row r="1" spans="1:34" ht="43.5" x14ac:dyDescent="0.35">
      <c r="A1" s="1" t="s">
        <v>13</v>
      </c>
      <c r="B1" s="1" t="s">
        <v>18</v>
      </c>
      <c r="H1" s="24">
        <f>SUM(I2/$G$3)</f>
        <v>1</v>
      </c>
      <c r="I1" s="92" t="s">
        <v>131</v>
      </c>
      <c r="J1" s="2" t="s">
        <v>216</v>
      </c>
      <c r="K1" s="109" t="s">
        <v>127</v>
      </c>
      <c r="L1" s="83" t="s">
        <v>128</v>
      </c>
      <c r="M1" s="83" t="s">
        <v>129</v>
      </c>
      <c r="N1" s="93" t="s">
        <v>130</v>
      </c>
      <c r="O1" s="113" t="s">
        <v>15</v>
      </c>
      <c r="P1" s="72" t="s">
        <v>119</v>
      </c>
      <c r="Q1" s="82" t="s">
        <v>122</v>
      </c>
      <c r="R1" s="82" t="s">
        <v>123</v>
      </c>
      <c r="S1" s="114" t="s">
        <v>25</v>
      </c>
      <c r="T1" s="71" t="s">
        <v>139</v>
      </c>
      <c r="U1" s="4" t="s">
        <v>125</v>
      </c>
      <c r="V1" s="68" t="s">
        <v>126</v>
      </c>
      <c r="W1" s="247" t="s">
        <v>269</v>
      </c>
      <c r="X1" s="247" t="s">
        <v>270</v>
      </c>
      <c r="Y1" s="247" t="s">
        <v>271</v>
      </c>
      <c r="Z1" s="4"/>
      <c r="AA1" s="97" t="s">
        <v>140</v>
      </c>
      <c r="AB1" s="4" t="s">
        <v>16</v>
      </c>
      <c r="AC1" s="68" t="s">
        <v>17</v>
      </c>
      <c r="AD1" s="112"/>
      <c r="AE1" s="112"/>
    </row>
    <row r="2" spans="1:34" ht="19" thickBot="1" x14ac:dyDescent="0.4">
      <c r="A2" s="1" t="s">
        <v>137</v>
      </c>
      <c r="B2" s="44">
        <v>9</v>
      </c>
      <c r="C2" s="2" t="s">
        <v>138</v>
      </c>
      <c r="H2" s="24" t="s">
        <v>6</v>
      </c>
      <c r="I2" s="94">
        <v>9</v>
      </c>
      <c r="J2" s="181">
        <f>H1*F3*D6*B11</f>
        <v>8.6055522464088402E-3</v>
      </c>
      <c r="K2" s="110">
        <f>(L2*(T2+N2)+(M2*(T2+N2+N2)))</f>
        <v>1136.31</v>
      </c>
      <c r="L2" s="84">
        <v>0.71</v>
      </c>
      <c r="M2" s="84">
        <v>0.28999999999999998</v>
      </c>
      <c r="N2" s="86">
        <f>$B$4</f>
        <v>139</v>
      </c>
      <c r="O2" s="89">
        <f>(Q2*S2)+(R2*S7)</f>
        <v>0.90169150684931521</v>
      </c>
      <c r="P2" s="76">
        <v>8</v>
      </c>
      <c r="Q2" s="73">
        <f>(P2/365)</f>
        <v>2.1917808219178082E-2</v>
      </c>
      <c r="R2" s="73">
        <f>1-Q2</f>
        <v>0.9780821917808219</v>
      </c>
      <c r="S2" s="115">
        <f>IF(B2=1,C43,IF(B2=2,C44,IF(B2=3,C45, IF(B2=6, C48, IF(B2=7, C49, IF(B2=8, C50, IF(B2=9, C51, 0)))))))</f>
        <v>0.59339999999999993</v>
      </c>
      <c r="T2" s="37">
        <v>957</v>
      </c>
      <c r="U2" s="37">
        <v>529</v>
      </c>
      <c r="V2" s="38">
        <v>1339</v>
      </c>
      <c r="W2" s="246">
        <v>638</v>
      </c>
      <c r="X2" s="246"/>
      <c r="Y2" s="246"/>
      <c r="Z2" s="37"/>
      <c r="AA2" s="32">
        <v>1820</v>
      </c>
      <c r="AB2" s="37">
        <f>AA2-AD2</f>
        <v>-65.232517773525842</v>
      </c>
      <c r="AC2" s="38">
        <f>AA2+AD2</f>
        <v>3705.2325177735256</v>
      </c>
      <c r="AD2" s="116">
        <f>CONFIDENCE(0.05, 2885.613, 9)</f>
        <v>1885.2325177735258</v>
      </c>
      <c r="AE2" s="112"/>
    </row>
    <row r="3" spans="1:34" ht="15" thickBot="1" x14ac:dyDescent="0.4">
      <c r="F3" s="9">
        <f>SUM(G3/E5)</f>
        <v>4.9723756906077346E-2</v>
      </c>
      <c r="G3" s="5">
        <v>9</v>
      </c>
      <c r="J3" s="24"/>
      <c r="K3" s="110"/>
      <c r="L3" s="84"/>
      <c r="M3" s="84"/>
      <c r="N3" s="86"/>
      <c r="O3" s="89"/>
      <c r="P3" s="76"/>
      <c r="Q3" s="73"/>
      <c r="R3" s="73"/>
      <c r="S3" s="115"/>
      <c r="T3" s="8"/>
      <c r="U3" s="8"/>
      <c r="V3" s="7"/>
      <c r="W3" s="246"/>
      <c r="X3" s="246"/>
      <c r="Y3" s="246"/>
      <c r="Z3" s="8"/>
      <c r="AA3" s="6"/>
      <c r="AB3" s="8"/>
      <c r="AC3" s="7"/>
      <c r="AD3" s="112"/>
      <c r="AE3" s="112"/>
      <c r="AG3" s="11"/>
      <c r="AH3" s="1" t="s">
        <v>10</v>
      </c>
    </row>
    <row r="4" spans="1:34" x14ac:dyDescent="0.35">
      <c r="A4" s="1" t="s">
        <v>258</v>
      </c>
      <c r="B4" s="1">
        <f>139*C4</f>
        <v>139</v>
      </c>
      <c r="C4" s="2">
        <v>1</v>
      </c>
      <c r="F4" s="2" t="s">
        <v>21</v>
      </c>
      <c r="G4" s="12">
        <f>(H1*K2+H5*K5)</f>
        <v>1136.31</v>
      </c>
      <c r="H4" s="24" t="s">
        <v>7</v>
      </c>
      <c r="J4" s="24"/>
      <c r="K4" s="110"/>
      <c r="L4" s="84"/>
      <c r="M4" s="84"/>
      <c r="N4" s="86"/>
      <c r="O4" s="89"/>
      <c r="P4" s="76"/>
      <c r="Q4" s="73"/>
      <c r="R4" s="73"/>
      <c r="S4" s="115"/>
      <c r="T4" s="8"/>
      <c r="U4" s="8"/>
      <c r="V4" s="7"/>
      <c r="W4" s="246"/>
      <c r="X4" s="246"/>
      <c r="Y4" s="246"/>
      <c r="Z4" s="8"/>
      <c r="AA4" s="6"/>
      <c r="AB4" s="8"/>
      <c r="AC4" s="7"/>
      <c r="AD4" s="112"/>
      <c r="AE4" s="112"/>
      <c r="AG4" s="13"/>
      <c r="AH4" s="1" t="s">
        <v>11</v>
      </c>
    </row>
    <row r="5" spans="1:34" x14ac:dyDescent="0.35">
      <c r="D5" s="2" t="s">
        <v>23</v>
      </c>
      <c r="E5" s="14">
        <v>181</v>
      </c>
      <c r="G5" s="39">
        <f>(H1*O2)+(H5*O5)</f>
        <v>0.90169150684931521</v>
      </c>
      <c r="H5" s="24">
        <f>SUM(I5/$G$3)</f>
        <v>0</v>
      </c>
      <c r="I5" s="94">
        <v>0</v>
      </c>
      <c r="J5" s="181">
        <f>H5*F3*D6*B11</f>
        <v>0</v>
      </c>
      <c r="K5" s="110">
        <f>(L5*(T5+N5)+(M5*(T5+N5+N5)))</f>
        <v>179.31</v>
      </c>
      <c r="L5" s="84">
        <v>0.71</v>
      </c>
      <c r="M5" s="84">
        <v>0.28999999999999998</v>
      </c>
      <c r="N5" s="86">
        <f>$B$4</f>
        <v>139</v>
      </c>
      <c r="O5" s="89">
        <f>(Q5*S5)+(R5*S7)</f>
        <v>0.90860000000000007</v>
      </c>
      <c r="P5" s="76">
        <v>0</v>
      </c>
      <c r="Q5" s="73">
        <f>(P5/365)</f>
        <v>0</v>
      </c>
      <c r="R5" s="73">
        <f>1-Q5</f>
        <v>1</v>
      </c>
      <c r="S5" s="115">
        <f>IF(B2=1,D43,IF(B2=2,D44,IF(B2=3,D45, IF(B2=6, D48, IF(B2=7, D49, IF(B2=8, D50, IF(B2=9, D51, 0)))))))</f>
        <v>0.44040000000000001</v>
      </c>
      <c r="T5" s="37">
        <v>0</v>
      </c>
      <c r="U5" s="37"/>
      <c r="V5" s="38"/>
      <c r="W5" s="246"/>
      <c r="X5" s="246"/>
      <c r="Y5" s="246"/>
      <c r="Z5" s="37"/>
      <c r="AA5" s="32"/>
      <c r="AB5" s="37"/>
      <c r="AC5" s="38"/>
      <c r="AD5" s="116"/>
      <c r="AE5" s="112"/>
      <c r="AG5" s="5"/>
      <c r="AH5" s="1" t="s">
        <v>12</v>
      </c>
    </row>
    <row r="6" spans="1:34" ht="15" thickBot="1" x14ac:dyDescent="0.4">
      <c r="D6" s="9">
        <f>1-D12</f>
        <v>0.56210000000000004</v>
      </c>
      <c r="E6" s="16">
        <f>(F3*G4+F6*G8)</f>
        <v>226.895635359116</v>
      </c>
      <c r="F6" s="9">
        <f>SUM(G7/E5)</f>
        <v>0.95027624309392267</v>
      </c>
      <c r="J6" s="24"/>
      <c r="K6" s="110"/>
      <c r="L6" s="84"/>
      <c r="M6" s="84"/>
      <c r="N6" s="86"/>
      <c r="O6" s="89"/>
      <c r="P6" s="76"/>
      <c r="Q6" s="73"/>
      <c r="R6" s="73"/>
      <c r="S6" s="115"/>
      <c r="T6" s="8"/>
      <c r="U6" s="8"/>
      <c r="V6" s="7"/>
      <c r="W6" s="246"/>
      <c r="X6" s="246"/>
      <c r="Y6" s="246"/>
      <c r="Z6" s="8"/>
      <c r="AA6" s="6"/>
      <c r="AB6" s="8"/>
      <c r="AC6" s="7"/>
      <c r="AD6" s="112"/>
      <c r="AE6" s="112"/>
      <c r="AG6" s="42"/>
      <c r="AH6" s="1" t="s">
        <v>66</v>
      </c>
    </row>
    <row r="7" spans="1:34" ht="15" thickBot="1" x14ac:dyDescent="0.4">
      <c r="A7" s="31"/>
      <c r="C7" s="14">
        <v>322</v>
      </c>
      <c r="E7" s="219">
        <f>(F3*G5)+(F6*G9)</f>
        <v>0.90825648376598811</v>
      </c>
      <c r="F7" s="2" t="s">
        <v>22</v>
      </c>
      <c r="G7" s="18">
        <v>172</v>
      </c>
      <c r="I7" s="92">
        <v>172</v>
      </c>
      <c r="J7" s="24">
        <f>F6*D6*B11</f>
        <v>0.16446166515359117</v>
      </c>
      <c r="K7" s="110">
        <f>(L7*(T7+N7)+(M7*(T7+N7+N7)))</f>
        <v>179.31</v>
      </c>
      <c r="L7" s="84">
        <v>0.71</v>
      </c>
      <c r="M7" s="84">
        <v>0.28999999999999998</v>
      </c>
      <c r="N7" s="86">
        <f>$B$4</f>
        <v>139</v>
      </c>
      <c r="O7" s="89">
        <f>(R7*S7)</f>
        <v>0.90860000000000007</v>
      </c>
      <c r="P7" s="76">
        <v>0</v>
      </c>
      <c r="Q7" s="73">
        <f>(P7/365)</f>
        <v>0</v>
      </c>
      <c r="R7" s="73">
        <f>1-Q7</f>
        <v>1</v>
      </c>
      <c r="S7" s="115">
        <f>IF(B2=1,B43,IF(B2=2,B44,IF(B2=3,B45,IF(B2=6,B48,IF(B2=7,B49, IF(B2=8, B50, IF(B2=9, B51, 0)))))))</f>
        <v>0.90860000000000007</v>
      </c>
      <c r="T7" s="37">
        <v>0</v>
      </c>
      <c r="U7" s="37"/>
      <c r="V7" s="38"/>
      <c r="W7" s="246"/>
      <c r="X7" s="246"/>
      <c r="Y7" s="246"/>
      <c r="Z7" s="37"/>
      <c r="AA7" s="32"/>
      <c r="AB7" s="37"/>
      <c r="AC7" s="38"/>
      <c r="AD7" s="116"/>
      <c r="AE7" s="112"/>
    </row>
    <row r="8" spans="1:34" x14ac:dyDescent="0.35">
      <c r="A8" s="31"/>
      <c r="B8" s="256">
        <f>C8/30.7</f>
        <v>10.316082235910468</v>
      </c>
      <c r="C8" s="16">
        <f>(D6*E6+D12*E15)</f>
        <v>316.70372464245133</v>
      </c>
      <c r="G8" s="41">
        <f>K7</f>
        <v>179.31</v>
      </c>
      <c r="J8" s="24"/>
      <c r="K8" s="110"/>
      <c r="L8" s="84"/>
      <c r="M8" s="84"/>
      <c r="N8" s="86"/>
      <c r="O8" s="89"/>
      <c r="P8" s="76"/>
      <c r="Q8" s="73"/>
      <c r="R8" s="73"/>
      <c r="S8" s="115"/>
      <c r="T8" s="8"/>
      <c r="U8" s="8"/>
      <c r="V8" s="7"/>
      <c r="W8" s="246"/>
      <c r="X8" s="246"/>
      <c r="Y8" s="246"/>
      <c r="Z8" s="8"/>
      <c r="AA8" s="6"/>
      <c r="AB8" s="8"/>
      <c r="AC8" s="7"/>
      <c r="AD8" s="116">
        <f>CONFIDENCE(0.05, 784.2155, 7)</f>
        <v>580.94429725505927</v>
      </c>
      <c r="AE8" s="112"/>
    </row>
    <row r="9" spans="1:34" x14ac:dyDescent="0.35">
      <c r="A9" s="31"/>
      <c r="C9" s="224">
        <f>(D6*E7)+(D12*E16)</f>
        <v>0.90786325580272087</v>
      </c>
      <c r="G9" s="105">
        <f>O7</f>
        <v>0.90860000000000007</v>
      </c>
      <c r="I9" s="95"/>
      <c r="J9" s="129"/>
      <c r="K9" s="110"/>
      <c r="L9" s="84"/>
      <c r="M9" s="84"/>
      <c r="N9" s="86"/>
      <c r="O9" s="89"/>
      <c r="P9" s="76"/>
      <c r="Q9" s="73"/>
      <c r="R9" s="73"/>
      <c r="S9" s="115"/>
      <c r="T9" s="37"/>
      <c r="U9" s="37"/>
      <c r="V9" s="38"/>
      <c r="W9" s="246"/>
      <c r="X9" s="246"/>
      <c r="Y9" s="246"/>
      <c r="Z9" s="37"/>
      <c r="AA9" s="32"/>
      <c r="AB9" s="37"/>
      <c r="AC9" s="38"/>
      <c r="AD9" s="116"/>
      <c r="AE9" s="112"/>
    </row>
    <row r="10" spans="1:34" x14ac:dyDescent="0.35">
      <c r="A10" s="31"/>
      <c r="G10" s="23"/>
      <c r="H10" s="24" t="s">
        <v>6</v>
      </c>
      <c r="I10" s="95"/>
      <c r="J10" s="129"/>
      <c r="K10" s="110"/>
      <c r="L10" s="84"/>
      <c r="M10" s="84"/>
      <c r="N10" s="86"/>
      <c r="O10" s="89"/>
      <c r="P10" s="76"/>
      <c r="Q10" s="73"/>
      <c r="R10" s="73"/>
      <c r="S10" s="115"/>
      <c r="T10" s="37"/>
      <c r="U10" s="37"/>
      <c r="V10" s="38"/>
      <c r="W10" s="246"/>
      <c r="X10" s="246"/>
      <c r="Y10" s="246"/>
      <c r="Z10" s="37"/>
      <c r="AA10" s="32"/>
      <c r="AB10" s="37"/>
      <c r="AC10" s="38"/>
      <c r="AD10" s="116"/>
      <c r="AE10" s="112"/>
    </row>
    <row r="11" spans="1:34" x14ac:dyDescent="0.35">
      <c r="A11" s="31"/>
      <c r="B11" s="1">
        <v>0.307894</v>
      </c>
      <c r="C11" s="27"/>
      <c r="D11" s="2" t="s">
        <v>245</v>
      </c>
      <c r="G11" s="23"/>
      <c r="H11" s="24">
        <f>I11/G12</f>
        <v>0.77777777777777779</v>
      </c>
      <c r="I11" s="94">
        <v>7</v>
      </c>
      <c r="J11" s="181">
        <f>H11*F12*D12*B11</f>
        <v>6.6935282141843975E-3</v>
      </c>
      <c r="K11" s="110">
        <f>(L11*(T11+N11)+(M11*(T11+N11+N11)))</f>
        <v>1026.31</v>
      </c>
      <c r="L11" s="84">
        <v>0.71</v>
      </c>
      <c r="M11" s="84">
        <v>0.28999999999999998</v>
      </c>
      <c r="N11" s="86">
        <f>$B$4</f>
        <v>139</v>
      </c>
      <c r="O11" s="89">
        <f>(Q11*S11)+(R11*S7)</f>
        <v>0.88744082191780838</v>
      </c>
      <c r="P11" s="76">
        <v>8.5</v>
      </c>
      <c r="Q11" s="73">
        <f>(P11/365)</f>
        <v>2.3287671232876714E-2</v>
      </c>
      <c r="R11" s="73">
        <f>1-Q11</f>
        <v>0.97671232876712333</v>
      </c>
      <c r="S11" s="115">
        <f>IF(B2=1, C43, IF(B2=2, C44, IF(B2=3, C45, IF(B2=6, C48, IF(B2=7, C49, IF(B2=8, C50, 0))))))</f>
        <v>0</v>
      </c>
      <c r="T11" s="37">
        <v>847</v>
      </c>
      <c r="U11" s="37">
        <v>601</v>
      </c>
      <c r="V11" s="38">
        <v>1035</v>
      </c>
      <c r="W11" s="246">
        <v>592</v>
      </c>
      <c r="X11" s="246">
        <v>0</v>
      </c>
      <c r="Y11" s="246">
        <v>300</v>
      </c>
      <c r="Z11" s="37"/>
      <c r="AA11" s="32">
        <v>970</v>
      </c>
      <c r="AB11" s="37">
        <f>AA11-AD8</f>
        <v>389.05570274494073</v>
      </c>
      <c r="AC11" s="38">
        <f>AA11+AD8</f>
        <v>1550.9442972550592</v>
      </c>
      <c r="AD11" s="116"/>
      <c r="AE11" s="112"/>
    </row>
    <row r="12" spans="1:34" x14ac:dyDescent="0.35">
      <c r="B12" s="1" t="s">
        <v>266</v>
      </c>
      <c r="D12" s="9">
        <v>0.43790000000000001</v>
      </c>
      <c r="F12" s="24">
        <f>SUM(G12/E14)</f>
        <v>6.3829787234042548E-2</v>
      </c>
      <c r="G12" s="5">
        <v>9</v>
      </c>
      <c r="J12" s="24"/>
      <c r="K12" s="110"/>
      <c r="L12" s="84"/>
      <c r="M12" s="84"/>
      <c r="N12" s="86"/>
      <c r="O12" s="89"/>
      <c r="P12" s="76"/>
      <c r="Q12" s="73"/>
      <c r="R12" s="73"/>
      <c r="S12" s="115"/>
      <c r="T12" s="8"/>
      <c r="U12" s="8"/>
      <c r="V12" s="7"/>
      <c r="W12" s="246"/>
      <c r="X12" s="246"/>
      <c r="Y12" s="246"/>
      <c r="Z12" s="8"/>
      <c r="AA12" s="6"/>
      <c r="AB12" s="8"/>
      <c r="AC12" s="7"/>
      <c r="AD12" s="112"/>
      <c r="AE12" s="112"/>
    </row>
    <row r="13" spans="1:34" x14ac:dyDescent="0.35">
      <c r="D13" s="2" t="s">
        <v>24</v>
      </c>
      <c r="F13" s="2" t="s">
        <v>21</v>
      </c>
      <c r="G13" s="12">
        <f>(H11*K11+H14*K14)</f>
        <v>4137.8655555555551</v>
      </c>
      <c r="H13" s="24" t="s">
        <v>7</v>
      </c>
      <c r="J13" s="24"/>
      <c r="K13" s="110"/>
      <c r="L13" s="84"/>
      <c r="M13" s="84"/>
      <c r="N13" s="86"/>
      <c r="O13" s="89"/>
      <c r="P13" s="76"/>
      <c r="Q13" s="73"/>
      <c r="R13" s="73"/>
      <c r="S13" s="115"/>
      <c r="T13" s="8"/>
      <c r="U13" s="8"/>
      <c r="V13" s="7"/>
      <c r="W13" s="246"/>
      <c r="X13" s="246"/>
      <c r="Y13" s="246"/>
      <c r="Z13" s="8"/>
      <c r="AA13" s="6"/>
      <c r="AB13" s="8"/>
      <c r="AC13" s="7"/>
      <c r="AD13" s="112"/>
      <c r="AE13" s="112"/>
    </row>
    <row r="14" spans="1:34" x14ac:dyDescent="0.35">
      <c r="B14" s="1" t="s">
        <v>1</v>
      </c>
      <c r="C14" s="25"/>
      <c r="E14" s="14">
        <v>141</v>
      </c>
      <c r="G14" s="42">
        <f>(H11*O11)+(H14*O14)</f>
        <v>0.88914980213089811</v>
      </c>
      <c r="H14" s="24">
        <f>SUM(I14/$G$12)</f>
        <v>0.22222222222222221</v>
      </c>
      <c r="I14" s="94">
        <v>2</v>
      </c>
      <c r="J14" s="181">
        <f>H14*F12*D12*B11</f>
        <v>1.9124366326241132E-3</v>
      </c>
      <c r="K14" s="110">
        <f>(L14*(T14+N14)+(M14*(T14+N14+N14)))</f>
        <v>15028.31</v>
      </c>
      <c r="L14" s="84">
        <v>0.71</v>
      </c>
      <c r="M14" s="84">
        <v>0.28999999999999998</v>
      </c>
      <c r="N14" s="86">
        <f>$B$4</f>
        <v>139</v>
      </c>
      <c r="O14" s="89">
        <f>(Q14*S14)+(R14*S7)</f>
        <v>0.89513123287671237</v>
      </c>
      <c r="P14" s="76">
        <v>10.5</v>
      </c>
      <c r="Q14" s="73">
        <f>(P14/365)</f>
        <v>2.8767123287671233E-2</v>
      </c>
      <c r="R14" s="73">
        <f>1-Q14</f>
        <v>0.97123287671232872</v>
      </c>
      <c r="S14" s="115">
        <f>IF(B2=1, D43, IF(B2=2, D44, IF(B2=3, D45, IF(B2=6, D48, IF(B2=7, D49, IF(B2=8, D50, IF(B2=9, D51, 0)))))))</f>
        <v>0.44040000000000001</v>
      </c>
      <c r="T14" s="37">
        <v>14849</v>
      </c>
      <c r="U14" s="37">
        <v>3554</v>
      </c>
      <c r="V14" s="38">
        <v>26144</v>
      </c>
      <c r="W14" s="246">
        <v>2921</v>
      </c>
      <c r="X14" s="246">
        <v>400</v>
      </c>
      <c r="Y14" s="246">
        <v>400</v>
      </c>
      <c r="Z14" s="37"/>
      <c r="AA14" s="32">
        <v>14849</v>
      </c>
      <c r="AB14" s="37">
        <f>AA14-AD14</f>
        <v>-7288.7901744025476</v>
      </c>
      <c r="AC14" s="38">
        <f>AA14+AD14</f>
        <v>36986.790174402544</v>
      </c>
      <c r="AD14" s="116">
        <f>CONFIDENCE(0.05, 15973.54, 2)</f>
        <v>22137.790174402548</v>
      </c>
      <c r="AE14" s="112"/>
    </row>
    <row r="15" spans="1:34" ht="15" thickBot="1" x14ac:dyDescent="0.4">
      <c r="C15" s="244">
        <f>B8-B27</f>
        <v>0.71852449316788558</v>
      </c>
      <c r="E15" s="16">
        <f>(F12*G13+F15*G17)</f>
        <v>431.98375886524821</v>
      </c>
      <c r="F15" s="24">
        <f>SUM(G16/E14)</f>
        <v>0.93617021276595747</v>
      </c>
      <c r="J15" s="24"/>
      <c r="K15" s="110"/>
      <c r="L15" s="84"/>
      <c r="M15" s="84"/>
      <c r="N15" s="86"/>
      <c r="O15" s="89"/>
      <c r="P15" s="76"/>
      <c r="Q15" s="73"/>
      <c r="R15" s="73"/>
      <c r="S15" s="115"/>
      <c r="T15" s="8"/>
      <c r="U15" s="8"/>
      <c r="V15" s="7"/>
      <c r="W15" s="246"/>
      <c r="X15" s="246"/>
      <c r="Y15" s="246"/>
      <c r="Z15" s="8"/>
      <c r="AA15" s="6"/>
      <c r="AB15" s="8"/>
      <c r="AC15" s="7"/>
      <c r="AD15" s="112"/>
      <c r="AE15" s="112"/>
    </row>
    <row r="16" spans="1:34" ht="15" thickBot="1" x14ac:dyDescent="0.4">
      <c r="C16" s="243">
        <f>C9-C28</f>
        <v>1.1279002770328006E-3</v>
      </c>
      <c r="E16" s="219">
        <f>(F12*G14)+((F15*G18))</f>
        <v>0.90735849800835533</v>
      </c>
      <c r="F16" s="2" t="s">
        <v>22</v>
      </c>
      <c r="G16" s="18">
        <v>132</v>
      </c>
      <c r="I16" s="92">
        <v>132</v>
      </c>
      <c r="J16" s="24">
        <f>F15*D12*B11</f>
        <v>0.12622081775319149</v>
      </c>
      <c r="K16" s="110">
        <f>(L16*(T16+N16)+(M16*(T16+N16+N16)))</f>
        <v>179.31</v>
      </c>
      <c r="L16" s="84">
        <v>0.71</v>
      </c>
      <c r="M16" s="84">
        <v>0.28999999999999998</v>
      </c>
      <c r="N16" s="86">
        <f>$B$4</f>
        <v>139</v>
      </c>
      <c r="O16" s="89">
        <f>(R16*S16)</f>
        <v>0.90860000000000007</v>
      </c>
      <c r="P16" s="76">
        <v>0</v>
      </c>
      <c r="Q16" s="73">
        <f>(P16/365)</f>
        <v>0</v>
      </c>
      <c r="R16" s="73">
        <f>1-Q16</f>
        <v>1</v>
      </c>
      <c r="S16" s="115">
        <f>IF(B2=1,B43,IF(B2=2,B44,IF(B2=3,B45, IF(B2=6, B48, IF(B2=7, B49, IF(B2=8, B50, IF(B2=9, B51, 0)))))))</f>
        <v>0.90860000000000007</v>
      </c>
      <c r="T16" s="37">
        <v>0</v>
      </c>
      <c r="U16" s="37"/>
      <c r="V16" s="38"/>
      <c r="W16" s="246"/>
      <c r="X16" s="246"/>
      <c r="Y16" s="246"/>
      <c r="Z16" s="37"/>
      <c r="AA16" s="32"/>
      <c r="AB16" s="37"/>
      <c r="AC16" s="38"/>
      <c r="AD16" s="116"/>
      <c r="AE16" s="112"/>
    </row>
    <row r="17" spans="1:31" ht="15" customHeight="1" x14ac:dyDescent="0.35">
      <c r="A17" s="1" t="s">
        <v>8</v>
      </c>
      <c r="C17" s="245">
        <f>C15/C16</f>
        <v>637.04611817112811</v>
      </c>
      <c r="G17" s="41">
        <f>K16</f>
        <v>179.31</v>
      </c>
      <c r="H17" s="1"/>
      <c r="J17" s="24"/>
      <c r="K17" s="110"/>
      <c r="L17" s="84"/>
      <c r="M17" s="84"/>
      <c r="N17" s="86"/>
      <c r="O17" s="89"/>
      <c r="P17" s="76"/>
      <c r="Q17" s="73"/>
      <c r="R17" s="73"/>
      <c r="S17" s="115"/>
      <c r="T17" s="112"/>
      <c r="U17" s="112"/>
      <c r="V17" s="117"/>
      <c r="W17" s="246"/>
      <c r="X17" s="246"/>
      <c r="Y17" s="246"/>
      <c r="Z17" s="112"/>
      <c r="AA17" s="10"/>
      <c r="AB17" s="112"/>
      <c r="AC17" s="117"/>
      <c r="AD17" s="116">
        <f>CONFIDENCE(0.05, 894.8645, 34)</f>
        <v>300.79174424229666</v>
      </c>
      <c r="AE17" s="112"/>
    </row>
    <row r="18" spans="1:31" ht="15" customHeight="1" x14ac:dyDescent="0.35">
      <c r="A18" s="1" t="s">
        <v>9</v>
      </c>
      <c r="C18" s="25"/>
      <c r="G18" s="105">
        <f>O16</f>
        <v>0.90860000000000007</v>
      </c>
      <c r="I18" s="95"/>
      <c r="J18" s="129"/>
      <c r="K18" s="110"/>
      <c r="L18" s="84"/>
      <c r="M18" s="84"/>
      <c r="N18" s="86"/>
      <c r="O18" s="89"/>
      <c r="P18" s="76"/>
      <c r="Q18" s="73"/>
      <c r="R18" s="73"/>
      <c r="S18" s="115"/>
      <c r="T18" s="37"/>
      <c r="U18" s="37"/>
      <c r="V18" s="38"/>
      <c r="W18" s="246"/>
      <c r="X18" s="246"/>
      <c r="Y18" s="246"/>
      <c r="Z18" s="37"/>
      <c r="AA18" s="32"/>
      <c r="AB18" s="37"/>
      <c r="AC18" s="38"/>
      <c r="AD18" s="116"/>
      <c r="AE18" s="112"/>
    </row>
    <row r="19" spans="1:31" ht="15" customHeight="1" x14ac:dyDescent="0.35">
      <c r="A19" s="14">
        <v>1046</v>
      </c>
      <c r="C19" s="25"/>
      <c r="G19" s="23"/>
      <c r="I19" s="95"/>
      <c r="J19" s="129"/>
      <c r="K19" s="110"/>
      <c r="L19" s="84"/>
      <c r="M19" s="84"/>
      <c r="N19" s="86"/>
      <c r="O19" s="89"/>
      <c r="P19" s="76"/>
      <c r="Q19" s="73"/>
      <c r="R19" s="73"/>
      <c r="S19" s="115"/>
      <c r="T19" s="37"/>
      <c r="U19" s="37"/>
      <c r="V19" s="38"/>
      <c r="W19" s="246"/>
      <c r="X19" s="246"/>
      <c r="Y19" s="246"/>
      <c r="Z19" s="37"/>
      <c r="AA19" s="32"/>
      <c r="AB19" s="37"/>
      <c r="AC19" s="38"/>
      <c r="AD19" s="116"/>
      <c r="AE19" s="112"/>
    </row>
    <row r="20" spans="1:31" ht="15" customHeight="1" x14ac:dyDescent="0.35">
      <c r="C20" s="25"/>
      <c r="G20" s="23"/>
      <c r="H20" s="24" t="s">
        <v>6</v>
      </c>
      <c r="I20" s="94">
        <v>34</v>
      </c>
      <c r="J20" s="181">
        <f>H21*F22*D25*B22</f>
        <v>3.2500896539130436E-2</v>
      </c>
      <c r="K20" s="110">
        <f>T20</f>
        <v>710</v>
      </c>
      <c r="L20" s="84">
        <v>0</v>
      </c>
      <c r="M20" s="84">
        <v>0</v>
      </c>
      <c r="N20" s="86">
        <f>$B$4</f>
        <v>139</v>
      </c>
      <c r="O20" s="89">
        <f>(Q20*S20)+(R20*S7)</f>
        <v>0.90169150684931521</v>
      </c>
      <c r="P20" s="76">
        <v>8</v>
      </c>
      <c r="Q20" s="73">
        <f>(P20/365)</f>
        <v>2.1917808219178082E-2</v>
      </c>
      <c r="R20" s="73">
        <f>1-Q20</f>
        <v>0.9780821917808219</v>
      </c>
      <c r="S20" s="115">
        <f>IF(B2=1, C43, IF(B2=2, C44, IF(B2=3, C45, IF(B2=6, C48, IF(B2=7, C49, IF(B2=8, C50, IF(B2=9, C51, 0)))))))</f>
        <v>0.59339999999999993</v>
      </c>
      <c r="T20" s="37">
        <v>710</v>
      </c>
      <c r="U20" s="37">
        <v>347</v>
      </c>
      <c r="V20" s="38">
        <v>1160</v>
      </c>
      <c r="W20" s="246">
        <v>433</v>
      </c>
      <c r="X20" s="246">
        <v>0</v>
      </c>
      <c r="Y20" s="246">
        <v>0</v>
      </c>
      <c r="Z20" s="37"/>
      <c r="AA20" s="32">
        <v>915</v>
      </c>
      <c r="AB20" s="37">
        <f>AA20-AD17</f>
        <v>614.20825575770334</v>
      </c>
      <c r="AC20" s="38">
        <f>AA20+AD17</f>
        <v>1215.7917442422968</v>
      </c>
      <c r="AD20" s="116"/>
      <c r="AE20" s="112"/>
    </row>
    <row r="21" spans="1:31" ht="15" customHeight="1" x14ac:dyDescent="0.35">
      <c r="B21" s="1" t="s">
        <v>267</v>
      </c>
      <c r="G21" s="23"/>
      <c r="H21" s="24">
        <f>I20/G22</f>
        <v>0.97142857142857142</v>
      </c>
      <c r="I21" s="95"/>
      <c r="J21" s="129"/>
      <c r="K21" s="110"/>
      <c r="L21" s="84"/>
      <c r="M21" s="84"/>
      <c r="N21" s="86"/>
      <c r="O21" s="89"/>
      <c r="P21" s="76"/>
      <c r="Q21" s="73"/>
      <c r="R21" s="73"/>
      <c r="S21" s="115"/>
      <c r="T21" s="37"/>
      <c r="U21" s="37"/>
      <c r="V21" s="38"/>
      <c r="W21" s="246"/>
      <c r="X21" s="246"/>
      <c r="Y21" s="246"/>
      <c r="Z21" s="37"/>
      <c r="AA21" s="32"/>
      <c r="AB21" s="37"/>
      <c r="AC21" s="38"/>
      <c r="AD21" s="116"/>
      <c r="AE21" s="112"/>
    </row>
    <row r="22" spans="1:31" x14ac:dyDescent="0.35">
      <c r="B22" s="1">
        <f>1-B11</f>
        <v>0.692106</v>
      </c>
      <c r="F22" s="9">
        <f>SUM(G22/E24)</f>
        <v>8.4541062801932368E-2</v>
      </c>
      <c r="G22" s="5">
        <v>35</v>
      </c>
      <c r="J22" s="24"/>
      <c r="K22" s="110"/>
      <c r="L22" s="84"/>
      <c r="M22" s="84"/>
      <c r="N22" s="86"/>
      <c r="O22" s="89"/>
      <c r="P22" s="76"/>
      <c r="Q22" s="73"/>
      <c r="R22" s="73"/>
      <c r="S22" s="115"/>
      <c r="T22" s="8"/>
      <c r="U22" s="8"/>
      <c r="V22" s="7"/>
      <c r="W22" s="246"/>
      <c r="X22" s="246"/>
      <c r="Y22" s="246"/>
      <c r="Z22" s="8"/>
      <c r="AA22" s="6"/>
      <c r="AB22" s="8"/>
      <c r="AC22" s="7"/>
      <c r="AD22" s="112"/>
      <c r="AE22" s="112"/>
    </row>
    <row r="23" spans="1:31" x14ac:dyDescent="0.35">
      <c r="B23" s="1" t="s">
        <v>2</v>
      </c>
      <c r="F23" s="2" t="s">
        <v>21</v>
      </c>
      <c r="G23" s="12">
        <f>(H21*K20+H24*K24)</f>
        <v>772.91428571428571</v>
      </c>
      <c r="H23" s="24" t="s">
        <v>7</v>
      </c>
      <c r="J23" s="24"/>
      <c r="K23" s="110"/>
      <c r="L23" s="84"/>
      <c r="M23" s="84"/>
      <c r="N23" s="86"/>
      <c r="O23" s="89"/>
      <c r="P23" s="76"/>
      <c r="Q23" s="73"/>
      <c r="R23" s="73"/>
      <c r="S23" s="115"/>
      <c r="T23" s="8"/>
      <c r="U23" s="8"/>
      <c r="V23" s="7"/>
      <c r="W23" s="246"/>
      <c r="X23" s="246"/>
      <c r="Y23" s="246"/>
      <c r="Z23" s="8"/>
      <c r="AA23" s="6"/>
      <c r="AB23" s="8"/>
      <c r="AC23" s="7"/>
      <c r="AD23" s="112"/>
      <c r="AE23" s="112"/>
    </row>
    <row r="24" spans="1:31" x14ac:dyDescent="0.35">
      <c r="D24" s="2" t="s">
        <v>23</v>
      </c>
      <c r="E24" s="14">
        <v>414</v>
      </c>
      <c r="G24" s="42">
        <f>(H21*O20)+(H249*O24)</f>
        <v>0.87592889236790616</v>
      </c>
      <c r="H24" s="24">
        <f>SUM(I24/$G$22)</f>
        <v>2.8571428571428571E-2</v>
      </c>
      <c r="I24" s="94">
        <v>1</v>
      </c>
      <c r="J24" s="181">
        <f>H24*F22*D25*B22</f>
        <v>9.5590872173913026E-4</v>
      </c>
      <c r="K24" s="110">
        <f>T24</f>
        <v>2912</v>
      </c>
      <c r="L24" s="84">
        <v>0</v>
      </c>
      <c r="M24" s="84">
        <v>0</v>
      </c>
      <c r="N24" s="86">
        <f>$B$4</f>
        <v>139</v>
      </c>
      <c r="O24" s="89">
        <f>(Q24*S24)+(R24*S7)</f>
        <v>0.90090356164383556</v>
      </c>
      <c r="P24" s="76">
        <v>6</v>
      </c>
      <c r="Q24" s="73">
        <f>(P24/365)</f>
        <v>1.643835616438356E-2</v>
      </c>
      <c r="R24" s="73">
        <f>1-Q24</f>
        <v>0.98356164383561639</v>
      </c>
      <c r="S24" s="115">
        <f>IF(B2=1, D43, IF(B2=2, D44, IF(B2=3, D45, IF(B2=6, D48, IF(B2=7, D49, IF(B2=8, D50, IF(B2=9, D51, 0)))))))</f>
        <v>0.44040000000000001</v>
      </c>
      <c r="T24" s="37">
        <v>2912</v>
      </c>
      <c r="U24" s="37">
        <v>2912</v>
      </c>
      <c r="V24" s="38">
        <v>2912</v>
      </c>
      <c r="W24" s="246">
        <v>2912</v>
      </c>
      <c r="X24" s="246">
        <v>0</v>
      </c>
      <c r="Y24" s="246">
        <v>0</v>
      </c>
      <c r="Z24" s="37"/>
      <c r="AA24" s="32">
        <v>2912</v>
      </c>
      <c r="AB24" s="37">
        <v>2912</v>
      </c>
      <c r="AC24" s="38"/>
      <c r="AD24" s="116"/>
      <c r="AE24" s="112"/>
    </row>
    <row r="25" spans="1:31" ht="15" thickBot="1" x14ac:dyDescent="0.4">
      <c r="D25" s="9">
        <f>1-D32</f>
        <v>0.57179999999999997</v>
      </c>
      <c r="E25" s="16">
        <f>(F22*G23+F25*G27)</f>
        <v>65.34299516908213</v>
      </c>
      <c r="F25" s="9">
        <f>SUM(G26/E24)</f>
        <v>0.91545893719806759</v>
      </c>
      <c r="J25" s="24"/>
      <c r="K25" s="110"/>
      <c r="L25" s="84"/>
      <c r="M25" s="84"/>
      <c r="N25" s="86"/>
      <c r="O25" s="89"/>
      <c r="P25" s="76"/>
      <c r="Q25" s="73"/>
      <c r="R25" s="73"/>
      <c r="S25" s="115"/>
      <c r="T25" s="8"/>
      <c r="U25" s="8"/>
      <c r="V25" s="7"/>
      <c r="W25" s="246"/>
      <c r="X25" s="246"/>
      <c r="Y25" s="246"/>
      <c r="Z25" s="8"/>
      <c r="AA25" s="6"/>
      <c r="AB25" s="8"/>
      <c r="AC25" s="7"/>
      <c r="AD25" s="112"/>
      <c r="AE25" s="112"/>
    </row>
    <row r="26" spans="1:31" ht="15" thickBot="1" x14ac:dyDescent="0.4">
      <c r="C26" s="14">
        <v>724</v>
      </c>
      <c r="E26" s="40">
        <f>(F22*G24)+(F25*G28)</f>
        <v>0.90583794983786647</v>
      </c>
      <c r="F26" s="2" t="s">
        <v>4</v>
      </c>
      <c r="G26" s="18">
        <v>379</v>
      </c>
      <c r="I26" s="92">
        <v>379</v>
      </c>
      <c r="J26" s="24">
        <f>F25*D25*B22</f>
        <v>0.36228940553913042</v>
      </c>
      <c r="K26" s="110">
        <f>T26</f>
        <v>0</v>
      </c>
      <c r="L26" s="84">
        <v>0</v>
      </c>
      <c r="M26" s="84">
        <v>0</v>
      </c>
      <c r="N26" s="86">
        <f>$B$4</f>
        <v>139</v>
      </c>
      <c r="O26" s="89">
        <f>(R26*S26)</f>
        <v>0.90860000000000007</v>
      </c>
      <c r="P26" s="76">
        <v>0</v>
      </c>
      <c r="Q26" s="73">
        <f>(P26/365)</f>
        <v>0</v>
      </c>
      <c r="R26" s="73">
        <f>1-Q26</f>
        <v>1</v>
      </c>
      <c r="S26" s="115">
        <f>IF(B2=1, B43, IF(B2=2, B44, IF(B2=3, B45, IF(B2=6, B48, IF(B2=7, B49, IF(B2=8, B50, IF(B2=9, B51, 0)))))))</f>
        <v>0.90860000000000007</v>
      </c>
      <c r="T26" s="37">
        <v>0</v>
      </c>
      <c r="U26" s="37"/>
      <c r="V26" s="38"/>
      <c r="W26" s="246"/>
      <c r="X26" s="246"/>
      <c r="Y26" s="246"/>
      <c r="Z26" s="37"/>
      <c r="AA26" s="32"/>
      <c r="AB26" s="37"/>
      <c r="AC26" s="38"/>
      <c r="AD26" s="116"/>
      <c r="AE26" s="112"/>
    </row>
    <row r="27" spans="1:31" x14ac:dyDescent="0.35">
      <c r="B27" s="256">
        <f>C27/30.7</f>
        <v>9.5975577427425822</v>
      </c>
      <c r="C27" s="16">
        <f>(D25*E25+D32*E34)</f>
        <v>294.64502270219725</v>
      </c>
      <c r="G27" s="41">
        <f>K26</f>
        <v>0</v>
      </c>
      <c r="J27" s="24"/>
      <c r="K27" s="110"/>
      <c r="L27" s="84"/>
      <c r="M27" s="84"/>
      <c r="N27" s="86"/>
      <c r="O27" s="89"/>
      <c r="P27" s="76"/>
      <c r="Q27" s="73"/>
      <c r="R27" s="73"/>
      <c r="S27" s="115"/>
      <c r="T27" s="112"/>
      <c r="U27" s="112"/>
      <c r="V27" s="117"/>
      <c r="W27" s="246"/>
      <c r="X27" s="246"/>
      <c r="Y27" s="246"/>
      <c r="Z27" s="112"/>
      <c r="AA27" s="10"/>
      <c r="AB27" s="112"/>
      <c r="AC27" s="117"/>
      <c r="AD27" s="116">
        <f>CONFIDENCE(0.05, 874.6346, 17)</f>
        <v>415.76725684193281</v>
      </c>
      <c r="AE27" s="112"/>
    </row>
    <row r="28" spans="1:31" x14ac:dyDescent="0.35">
      <c r="C28" s="224">
        <f>(D25*E26)+(D32*E35)</f>
        <v>0.90673535552568807</v>
      </c>
      <c r="G28" s="105">
        <f>O26</f>
        <v>0.90860000000000007</v>
      </c>
      <c r="I28" s="95"/>
      <c r="J28" s="129"/>
      <c r="K28" s="110"/>
      <c r="L28" s="84"/>
      <c r="M28" s="84"/>
      <c r="N28" s="86"/>
      <c r="O28" s="89"/>
      <c r="P28" s="76"/>
      <c r="Q28" s="73"/>
      <c r="R28" s="73"/>
      <c r="S28" s="115"/>
      <c r="T28" s="37"/>
      <c r="U28" s="37"/>
      <c r="V28" s="38"/>
      <c r="W28" s="246"/>
      <c r="X28" s="246"/>
      <c r="Y28" s="246"/>
      <c r="Z28" s="37"/>
      <c r="AA28" s="32"/>
      <c r="AB28" s="37"/>
      <c r="AC28" s="38"/>
      <c r="AD28" s="116"/>
      <c r="AE28" s="112"/>
    </row>
    <row r="29" spans="1:31" x14ac:dyDescent="0.35">
      <c r="C29" s="26"/>
      <c r="G29" s="23"/>
      <c r="H29" s="24" t="s">
        <v>6</v>
      </c>
      <c r="I29" s="95"/>
      <c r="J29" s="129"/>
      <c r="K29" s="110"/>
      <c r="L29" s="84"/>
      <c r="M29" s="84"/>
      <c r="N29" s="86"/>
      <c r="O29" s="89"/>
      <c r="P29" s="76"/>
      <c r="Q29" s="73"/>
      <c r="R29" s="73"/>
      <c r="S29" s="115"/>
      <c r="T29" s="37"/>
      <c r="U29" s="37"/>
      <c r="V29" s="38"/>
      <c r="W29" s="246"/>
      <c r="X29" s="246"/>
      <c r="Y29" s="246"/>
      <c r="Z29" s="37"/>
      <c r="AA29" s="32"/>
      <c r="AB29" s="37"/>
      <c r="AC29" s="38"/>
      <c r="AD29" s="116"/>
      <c r="AE29" s="112"/>
    </row>
    <row r="30" spans="1:31" x14ac:dyDescent="0.35">
      <c r="C30" s="27"/>
      <c r="D30" s="2" t="s">
        <v>246</v>
      </c>
      <c r="G30" s="23"/>
      <c r="H30" s="24">
        <f>I30/G31</f>
        <v>0.89473684210526316</v>
      </c>
      <c r="I30" s="94">
        <v>17</v>
      </c>
      <c r="J30" s="181">
        <f>H30*F31*D32*B22</f>
        <v>1.625198844E-2</v>
      </c>
      <c r="K30" s="110">
        <f>T30</f>
        <v>670</v>
      </c>
      <c r="L30" s="84">
        <v>0</v>
      </c>
      <c r="M30" s="84">
        <v>0</v>
      </c>
      <c r="N30" s="86">
        <f>$B$4</f>
        <v>139</v>
      </c>
      <c r="O30" s="89">
        <f>(Q30*S30)+(R30*S7)</f>
        <v>0.89996438356164399</v>
      </c>
      <c r="P30" s="76">
        <v>10</v>
      </c>
      <c r="Q30" s="73">
        <f>(P30/365)</f>
        <v>2.7397260273972601E-2</v>
      </c>
      <c r="R30" s="73">
        <f>1-Q30</f>
        <v>0.9726027397260274</v>
      </c>
      <c r="S30" s="115">
        <f>IF(B2=1, C43, IF(B2=2, C44, IF(B2=3, C45, IF(B2=6, C48, IF(B2=7, C49, IF(B2=8, C50, IF(B2=9, C51, 0)))))))</f>
        <v>0.59339999999999993</v>
      </c>
      <c r="T30" s="37">
        <v>670</v>
      </c>
      <c r="U30" s="37">
        <v>500</v>
      </c>
      <c r="V30" s="38">
        <v>670</v>
      </c>
      <c r="W30" s="246">
        <v>598</v>
      </c>
      <c r="X30" s="246">
        <v>0</v>
      </c>
      <c r="Y30" s="246">
        <v>0</v>
      </c>
      <c r="Z30" s="37"/>
      <c r="AA30" s="32">
        <v>999</v>
      </c>
      <c r="AB30" s="37">
        <f>AA30-AD27</f>
        <v>583.23274315806725</v>
      </c>
      <c r="AC30" s="38">
        <f>AA30+AD27</f>
        <v>1414.7672568419327</v>
      </c>
      <c r="AD30" s="116"/>
      <c r="AE30" s="112"/>
    </row>
    <row r="31" spans="1:31" x14ac:dyDescent="0.35">
      <c r="C31" s="1"/>
      <c r="D31" s="2" t="s">
        <v>24</v>
      </c>
      <c r="E31" s="2" t="s">
        <v>5</v>
      </c>
      <c r="F31" s="9">
        <f>SUM(G31/E33)</f>
        <v>6.1290322580645158E-2</v>
      </c>
      <c r="G31" s="5">
        <v>19</v>
      </c>
      <c r="J31" s="24"/>
      <c r="K31" s="110"/>
      <c r="L31" s="84"/>
      <c r="M31" s="84"/>
      <c r="N31" s="86"/>
      <c r="O31" s="89"/>
      <c r="P31" s="76"/>
      <c r="Q31" s="73"/>
      <c r="R31" s="73"/>
      <c r="S31" s="115"/>
      <c r="T31" s="8"/>
      <c r="U31" s="8"/>
      <c r="V31" s="7"/>
      <c r="W31" s="246"/>
      <c r="X31" s="246"/>
      <c r="Y31" s="246"/>
      <c r="Z31" s="8"/>
      <c r="AA31" s="6"/>
      <c r="AB31" s="8"/>
      <c r="AC31" s="7"/>
      <c r="AD31" s="112"/>
      <c r="AE31" s="112"/>
    </row>
    <row r="32" spans="1:31" x14ac:dyDescent="0.35">
      <c r="D32" s="9">
        <v>0.42820000000000003</v>
      </c>
      <c r="F32" s="2" t="s">
        <v>21</v>
      </c>
      <c r="G32" s="12">
        <f>(H30*K30+H33*K33)</f>
        <v>9803.2631578947367</v>
      </c>
      <c r="H32" s="24" t="s">
        <v>7</v>
      </c>
      <c r="J32" s="24"/>
      <c r="K32" s="110"/>
      <c r="L32" s="84"/>
      <c r="M32" s="84"/>
      <c r="N32" s="86"/>
      <c r="O32" s="89"/>
      <c r="P32" s="76"/>
      <c r="Q32" s="73"/>
      <c r="R32" s="73"/>
      <c r="S32" s="115"/>
      <c r="T32" s="8"/>
      <c r="U32" s="8"/>
      <c r="V32" s="7"/>
      <c r="W32" s="246"/>
      <c r="X32" s="246"/>
      <c r="Y32" s="246"/>
      <c r="Z32" s="8"/>
      <c r="AA32" s="6"/>
      <c r="AB32" s="8"/>
      <c r="AC32" s="7"/>
      <c r="AD32" s="112"/>
      <c r="AE32" s="112"/>
    </row>
    <row r="33" spans="1:31" x14ac:dyDescent="0.35">
      <c r="E33" s="14">
        <v>310</v>
      </c>
      <c r="G33" s="42">
        <f>(H30*O30)+(H33*O33)</f>
        <v>0.89772899783705862</v>
      </c>
      <c r="H33" s="24">
        <f>SUM(I33/$G$31)</f>
        <v>0.10526315789473684</v>
      </c>
      <c r="I33" s="94">
        <v>2</v>
      </c>
      <c r="J33" s="181">
        <f>H33*F31*D32*B22</f>
        <v>1.9119986399999999E-3</v>
      </c>
      <c r="K33" s="110">
        <f>T33</f>
        <v>87436</v>
      </c>
      <c r="L33" s="84">
        <v>0</v>
      </c>
      <c r="M33" s="84">
        <v>0</v>
      </c>
      <c r="N33" s="86">
        <f>$B$4</f>
        <v>139</v>
      </c>
      <c r="O33" s="89">
        <f>(Q33*S33)+(R33*S7)</f>
        <v>0.8787282191780823</v>
      </c>
      <c r="P33" s="76">
        <v>12</v>
      </c>
      <c r="Q33" s="73">
        <f>(P33/365)</f>
        <v>3.287671232876712E-2</v>
      </c>
      <c r="R33" s="73">
        <f>1-Q33</f>
        <v>0.9671232876712329</v>
      </c>
      <c r="S33" s="115">
        <f>IF(B2=1, D43, IF(B2=2, D44, IF(B2=3, D45, IF(B2=6, D48, IF(B2=7, D49, IF(B2=8, D50, IF(B2=9, 0)))))))</f>
        <v>0</v>
      </c>
      <c r="T33" s="37">
        <v>87436</v>
      </c>
      <c r="U33" s="37">
        <v>13887</v>
      </c>
      <c r="V33" s="38">
        <v>160985</v>
      </c>
      <c r="W33" s="246">
        <v>78981</v>
      </c>
      <c r="X33" s="246">
        <v>5250</v>
      </c>
      <c r="Y33" s="246">
        <v>5700</v>
      </c>
      <c r="Z33" s="37"/>
      <c r="AA33" s="32">
        <v>87436</v>
      </c>
      <c r="AB33" s="37">
        <f>AA33-AD33</f>
        <v>-56717.400385907356</v>
      </c>
      <c r="AC33" s="38">
        <f>AA33+AD33</f>
        <v>231589.40038590736</v>
      </c>
      <c r="AD33" s="116">
        <f>CONFIDENCE(0.05, 104014, 2)</f>
        <v>144153.40038590736</v>
      </c>
      <c r="AE33" s="112"/>
    </row>
    <row r="34" spans="1:31" ht="15" thickBot="1" x14ac:dyDescent="0.4">
      <c r="E34" s="16">
        <f>(F31*G32+F34*G36)</f>
        <v>600.84516129032249</v>
      </c>
      <c r="F34" s="9">
        <f>SUM(G35/E33)</f>
        <v>0.93870967741935485</v>
      </c>
      <c r="J34" s="24"/>
      <c r="K34" s="110"/>
      <c r="L34" s="84"/>
      <c r="M34" s="84"/>
      <c r="N34" s="86"/>
      <c r="O34" s="89"/>
      <c r="P34" s="76"/>
      <c r="Q34" s="73"/>
      <c r="R34" s="73"/>
      <c r="S34" s="115"/>
      <c r="T34" s="8"/>
      <c r="U34" s="8"/>
      <c r="V34" s="7"/>
      <c r="W34" s="246"/>
      <c r="X34" s="246"/>
      <c r="Y34" s="246"/>
      <c r="Z34" s="8"/>
      <c r="AA34" s="6"/>
      <c r="AB34" s="8"/>
      <c r="AC34" s="7"/>
      <c r="AD34" s="112"/>
      <c r="AE34" s="112"/>
    </row>
    <row r="35" spans="1:31" ht="15" thickBot="1" x14ac:dyDescent="0.4">
      <c r="E35" s="40">
        <f>(F31*G33)+(F34*G37)</f>
        <v>0.9079337127706586</v>
      </c>
      <c r="F35" s="2" t="s">
        <v>4</v>
      </c>
      <c r="G35" s="18">
        <v>291</v>
      </c>
      <c r="I35" s="92">
        <v>291</v>
      </c>
      <c r="J35" s="24">
        <f>F34*D32*B22</f>
        <v>0.27819580212</v>
      </c>
      <c r="K35" s="110">
        <f>T35</f>
        <v>0</v>
      </c>
      <c r="L35" s="84">
        <v>0</v>
      </c>
      <c r="M35" s="84">
        <v>0</v>
      </c>
      <c r="N35" s="86">
        <f>$B$4</f>
        <v>139</v>
      </c>
      <c r="O35" s="89">
        <f>(R35*S35)</f>
        <v>0.90860000000000007</v>
      </c>
      <c r="P35" s="76">
        <v>0</v>
      </c>
      <c r="Q35" s="73">
        <f>(P35/365)</f>
        <v>0</v>
      </c>
      <c r="R35" s="73">
        <f>1-Q35</f>
        <v>1</v>
      </c>
      <c r="S35" s="115">
        <f>IF(B2=1, B43, IF(B2=2, B44, IF(B2=3, B45, IF(B2=6, B48, IF(B2=7, B49, IF(B2=8, B50, IF(B2=9, B51, 0)))))))</f>
        <v>0.90860000000000007</v>
      </c>
      <c r="T35" s="37">
        <v>0</v>
      </c>
      <c r="U35" s="37"/>
      <c r="V35" s="38"/>
      <c r="W35" s="246"/>
      <c r="X35" s="246"/>
      <c r="Y35" s="246"/>
      <c r="Z35" s="37"/>
      <c r="AA35" s="32"/>
      <c r="AB35" s="37"/>
      <c r="AC35" s="38"/>
      <c r="AD35" s="116"/>
      <c r="AE35" s="112"/>
    </row>
    <row r="36" spans="1:31" x14ac:dyDescent="0.35">
      <c r="E36" s="26"/>
      <c r="G36" s="43">
        <f>T35</f>
        <v>0</v>
      </c>
      <c r="J36" s="2"/>
      <c r="K36" s="121"/>
      <c r="L36" s="84"/>
      <c r="M36" s="84"/>
      <c r="N36" s="86"/>
      <c r="O36" s="122"/>
      <c r="P36" s="76"/>
      <c r="Q36" s="76"/>
      <c r="R36" s="76"/>
      <c r="S36" s="115"/>
      <c r="W36" s="246"/>
      <c r="X36" s="246"/>
      <c r="Y36" s="246"/>
      <c r="AD36" s="116"/>
      <c r="AE36" s="112"/>
    </row>
    <row r="37" spans="1:31" ht="15" thickBot="1" x14ac:dyDescent="0.4">
      <c r="G37" s="105">
        <f>O35</f>
        <v>0.90860000000000007</v>
      </c>
      <c r="J37" s="2"/>
      <c r="K37" s="111"/>
      <c r="L37" s="85"/>
      <c r="M37" s="85"/>
      <c r="N37" s="87"/>
      <c r="O37" s="120"/>
      <c r="P37" s="79"/>
      <c r="Q37" s="79"/>
      <c r="R37" s="79"/>
      <c r="S37" s="123"/>
      <c r="T37" s="30"/>
      <c r="U37" s="30"/>
      <c r="V37" s="29"/>
      <c r="W37" s="248"/>
      <c r="X37" s="248"/>
      <c r="Y37" s="248"/>
      <c r="Z37" s="30"/>
      <c r="AA37" s="28"/>
      <c r="AB37" s="30"/>
      <c r="AC37" s="29"/>
      <c r="AD37" s="112"/>
      <c r="AE37" s="112"/>
    </row>
    <row r="38" spans="1:31" x14ac:dyDescent="0.35">
      <c r="I38" s="92">
        <f>SUM(I2:I37)</f>
        <v>1046</v>
      </c>
      <c r="J38" s="92">
        <f>SUM(J2:J37)</f>
        <v>1</v>
      </c>
    </row>
    <row r="39" spans="1:31" x14ac:dyDescent="0.35">
      <c r="I39" s="92" t="s">
        <v>278</v>
      </c>
      <c r="J39" s="92">
        <f>I2+I11+I20+I30</f>
        <v>67</v>
      </c>
    </row>
    <row r="40" spans="1:31" x14ac:dyDescent="0.35">
      <c r="I40" s="92" t="s">
        <v>279</v>
      </c>
      <c r="J40" s="92">
        <v>14</v>
      </c>
      <c r="K40" s="92">
        <f>100*(J40/J39)</f>
        <v>20.8955223880597</v>
      </c>
    </row>
    <row r="41" spans="1:31" x14ac:dyDescent="0.35">
      <c r="A41" s="34"/>
      <c r="B41" s="270" t="s">
        <v>25</v>
      </c>
      <c r="C41" s="270"/>
      <c r="D41" s="270"/>
      <c r="E41" s="35"/>
      <c r="F41" s="34"/>
      <c r="G41" s="34"/>
      <c r="H41" s="34"/>
      <c r="I41" s="96"/>
      <c r="J41" s="96"/>
    </row>
    <row r="42" spans="1:31" x14ac:dyDescent="0.35">
      <c r="A42" s="35" t="s">
        <v>26</v>
      </c>
      <c r="B42" s="35" t="s">
        <v>22</v>
      </c>
      <c r="C42" s="35" t="s">
        <v>32</v>
      </c>
      <c r="D42" s="35" t="s">
        <v>33</v>
      </c>
      <c r="E42" s="35" t="s">
        <v>28</v>
      </c>
      <c r="F42" s="34"/>
      <c r="G42" s="34"/>
      <c r="H42" s="34"/>
      <c r="I42" s="96"/>
      <c r="J42" s="96"/>
    </row>
    <row r="43" spans="1:31" x14ac:dyDescent="0.35">
      <c r="A43" s="35">
        <v>1</v>
      </c>
      <c r="B43" s="35">
        <v>0.95</v>
      </c>
      <c r="C43" s="35">
        <v>0.57999999999999996</v>
      </c>
      <c r="D43" s="35">
        <v>0.57999999999999996</v>
      </c>
      <c r="E43" s="35" t="s">
        <v>27</v>
      </c>
      <c r="F43" s="34" t="s">
        <v>34</v>
      </c>
      <c r="G43" s="34"/>
      <c r="H43" s="34"/>
      <c r="I43" s="96"/>
      <c r="J43" s="96"/>
    </row>
    <row r="44" spans="1:31" x14ac:dyDescent="0.35">
      <c r="A44" s="35">
        <v>2</v>
      </c>
      <c r="B44" s="35">
        <v>0.87</v>
      </c>
      <c r="C44" s="35">
        <v>0.65</v>
      </c>
      <c r="D44" s="36">
        <v>0.5</v>
      </c>
      <c r="E44" s="35" t="s">
        <v>29</v>
      </c>
      <c r="F44" s="34" t="s">
        <v>35</v>
      </c>
      <c r="G44" s="34"/>
      <c r="H44" s="34"/>
      <c r="I44" s="96"/>
      <c r="J44" s="96"/>
    </row>
    <row r="45" spans="1:31" x14ac:dyDescent="0.35">
      <c r="A45" s="35">
        <v>3</v>
      </c>
      <c r="B45" s="35">
        <v>0.87</v>
      </c>
      <c r="C45" s="35">
        <v>0.52</v>
      </c>
      <c r="D45" s="35">
        <v>0.05</v>
      </c>
      <c r="E45" s="35" t="s">
        <v>30</v>
      </c>
      <c r="F45" s="34" t="s">
        <v>35</v>
      </c>
      <c r="G45" s="34"/>
      <c r="H45" s="34"/>
      <c r="I45" s="96"/>
      <c r="J45" s="96"/>
    </row>
    <row r="46" spans="1:31" x14ac:dyDescent="0.35">
      <c r="A46" s="35">
        <v>4</v>
      </c>
      <c r="B46" s="35">
        <v>0.87</v>
      </c>
      <c r="C46" s="35"/>
      <c r="D46" s="34"/>
      <c r="E46" s="35" t="s">
        <v>31</v>
      </c>
      <c r="F46" s="34" t="s">
        <v>37</v>
      </c>
      <c r="G46" s="34"/>
      <c r="H46" s="34"/>
      <c r="I46" s="96"/>
      <c r="J46" s="96"/>
    </row>
    <row r="47" spans="1:31" x14ac:dyDescent="0.35">
      <c r="A47" s="35">
        <v>5</v>
      </c>
      <c r="B47" s="35">
        <v>0.73</v>
      </c>
      <c r="C47" s="35"/>
      <c r="D47" s="34"/>
      <c r="E47" s="35" t="s">
        <v>31</v>
      </c>
      <c r="F47" s="34" t="s">
        <v>36</v>
      </c>
      <c r="G47" s="34"/>
      <c r="H47" s="34"/>
      <c r="I47" s="96"/>
      <c r="J47" s="96"/>
    </row>
    <row r="48" spans="1:31" x14ac:dyDescent="0.35">
      <c r="A48" s="48">
        <v>6</v>
      </c>
      <c r="B48" s="48"/>
      <c r="C48" s="48">
        <v>0.99</v>
      </c>
      <c r="D48" s="48">
        <v>0.95</v>
      </c>
      <c r="E48" s="48" t="s">
        <v>69</v>
      </c>
      <c r="F48" s="34" t="s">
        <v>162</v>
      </c>
      <c r="G48" s="34"/>
      <c r="H48" s="34"/>
      <c r="I48" s="104"/>
      <c r="J48" s="104"/>
    </row>
    <row r="49" spans="1:29" x14ac:dyDescent="0.35">
      <c r="A49" s="184">
        <v>7</v>
      </c>
      <c r="B49" s="184">
        <v>0.93300000000000005</v>
      </c>
      <c r="C49" s="184">
        <v>0.55800000000000005</v>
      </c>
      <c r="D49" s="184">
        <v>0.55800000000000005</v>
      </c>
      <c r="E49" s="184" t="s">
        <v>223</v>
      </c>
      <c r="F49" s="185" t="s">
        <v>224</v>
      </c>
      <c r="G49" s="185"/>
      <c r="H49" s="185"/>
      <c r="I49" s="186"/>
      <c r="J49" s="178"/>
    </row>
    <row r="50" spans="1:29" s="22" customFormat="1" x14ac:dyDescent="0.35">
      <c r="A50" s="184">
        <v>8</v>
      </c>
      <c r="B50" s="184">
        <v>0.92</v>
      </c>
      <c r="C50" s="184">
        <v>0.65900000000000003</v>
      </c>
      <c r="D50" s="184">
        <v>0.51400000000000001</v>
      </c>
      <c r="E50" s="184" t="s">
        <v>226</v>
      </c>
      <c r="F50" s="185" t="s">
        <v>227</v>
      </c>
      <c r="G50" s="185"/>
      <c r="H50" s="185"/>
      <c r="I50" s="186"/>
      <c r="J50" s="178"/>
      <c r="K50" s="107"/>
      <c r="L50" s="19"/>
      <c r="M50" s="19"/>
      <c r="N50" s="19"/>
      <c r="O50" s="107"/>
      <c r="P50" s="19"/>
      <c r="Q50" s="19"/>
      <c r="R50" s="19"/>
      <c r="S50" s="19"/>
      <c r="T50" s="19"/>
      <c r="U50" s="19"/>
      <c r="V50" s="19"/>
      <c r="W50" s="187"/>
      <c r="X50" s="187"/>
      <c r="Y50" s="187"/>
      <c r="Z50" s="19"/>
      <c r="AA50" s="19"/>
      <c r="AB50" s="19"/>
      <c r="AC50" s="19"/>
    </row>
    <row r="51" spans="1:29" s="22" customFormat="1" x14ac:dyDescent="0.35">
      <c r="A51" s="184">
        <v>9</v>
      </c>
      <c r="B51" s="184">
        <f>summary!B22</f>
        <v>0.90860000000000007</v>
      </c>
      <c r="C51" s="184">
        <f>summary!C22</f>
        <v>0.59339999999999993</v>
      </c>
      <c r="D51" s="184">
        <f>summary!D22</f>
        <v>0.44040000000000001</v>
      </c>
      <c r="E51" s="184"/>
      <c r="F51" s="185" t="s">
        <v>277</v>
      </c>
      <c r="G51" s="185"/>
      <c r="H51" s="185"/>
      <c r="I51" s="186"/>
      <c r="J51" s="178"/>
      <c r="K51" s="107"/>
      <c r="L51" s="19"/>
      <c r="M51" s="19"/>
      <c r="N51" s="19"/>
      <c r="O51" s="107"/>
      <c r="P51" s="19"/>
      <c r="Q51" s="19"/>
      <c r="R51" s="19"/>
      <c r="S51" s="19"/>
      <c r="T51" s="19"/>
      <c r="U51" s="19"/>
      <c r="V51" s="19"/>
      <c r="W51" s="187"/>
      <c r="X51" s="187"/>
      <c r="Y51" s="187"/>
      <c r="Z51" s="19"/>
      <c r="AA51" s="19"/>
      <c r="AB51" s="19"/>
      <c r="AC51" s="19"/>
    </row>
    <row r="52" spans="1:29" s="22" customFormat="1" x14ac:dyDescent="0.35">
      <c r="A52" s="187"/>
      <c r="B52" s="187"/>
      <c r="C52" s="187"/>
      <c r="D52" s="187"/>
      <c r="E52" s="187"/>
      <c r="F52" s="188"/>
      <c r="G52" s="188"/>
      <c r="H52" s="188"/>
      <c r="I52" s="189"/>
      <c r="J52" s="190"/>
      <c r="K52" s="107"/>
      <c r="L52" s="19"/>
      <c r="M52" s="19"/>
      <c r="N52" s="19"/>
      <c r="O52" s="107"/>
      <c r="P52" s="19"/>
      <c r="Q52" s="19"/>
      <c r="R52" s="19"/>
      <c r="S52" s="19"/>
      <c r="T52" s="19"/>
      <c r="U52" s="19"/>
      <c r="V52" s="19"/>
      <c r="W52" s="187"/>
      <c r="X52" s="187"/>
      <c r="Y52" s="187"/>
      <c r="Z52" s="19"/>
      <c r="AA52" s="19"/>
      <c r="AB52" s="19"/>
      <c r="AC52" s="19"/>
    </row>
    <row r="53" spans="1:29" ht="58" hidden="1" x14ac:dyDescent="0.35">
      <c r="A53" s="48" t="s">
        <v>73</v>
      </c>
      <c r="B53" s="53" t="s">
        <v>135</v>
      </c>
      <c r="C53" s="53" t="s">
        <v>136</v>
      </c>
      <c r="D53" s="53" t="s">
        <v>72</v>
      </c>
      <c r="E53" s="53" t="s">
        <v>39</v>
      </c>
      <c r="F53" s="102" t="s">
        <v>38</v>
      </c>
      <c r="K53" s="1"/>
      <c r="L53" s="1"/>
    </row>
    <row r="54" spans="1:29" hidden="1" x14ac:dyDescent="0.35">
      <c r="A54" s="48">
        <v>1</v>
      </c>
      <c r="B54" s="98">
        <f t="shared" ref="B54:B59" si="0">316.7/$B$85</f>
        <v>10.30992736568817</v>
      </c>
      <c r="C54" s="98">
        <f t="shared" ref="C54:C59" si="1">294.63/$B$85</f>
        <v>9.5914553197117325</v>
      </c>
      <c r="D54" s="98">
        <v>0.95</v>
      </c>
      <c r="E54" s="48">
        <v>0.94799999999999995</v>
      </c>
      <c r="F54" s="106">
        <f t="shared" ref="F54:F59" si="2">(B54-C54)/(D54-E54)</f>
        <v>359.23602298821822</v>
      </c>
      <c r="K54" s="1"/>
      <c r="L54" s="1"/>
    </row>
    <row r="55" spans="1:29" hidden="1" x14ac:dyDescent="0.35">
      <c r="A55" s="48">
        <v>2</v>
      </c>
      <c r="B55" s="98">
        <f t="shared" si="0"/>
        <v>10.30992736568817</v>
      </c>
      <c r="C55" s="98">
        <f t="shared" si="1"/>
        <v>9.5914553197117325</v>
      </c>
      <c r="D55" s="98">
        <v>0.87</v>
      </c>
      <c r="E55" s="48">
        <v>0.86799999999999999</v>
      </c>
      <c r="F55" s="106">
        <f t="shared" si="2"/>
        <v>359.23602298821822</v>
      </c>
      <c r="K55" s="1"/>
      <c r="L55" s="1"/>
    </row>
    <row r="56" spans="1:29" hidden="1" x14ac:dyDescent="0.35">
      <c r="A56" s="48">
        <v>3</v>
      </c>
      <c r="B56" s="98">
        <f t="shared" si="0"/>
        <v>10.30992736568817</v>
      </c>
      <c r="C56" s="98">
        <f t="shared" si="1"/>
        <v>9.5914553197117325</v>
      </c>
      <c r="D56" s="98">
        <v>0.86899999999999999</v>
      </c>
      <c r="E56" s="48">
        <v>0.86799999999999999</v>
      </c>
      <c r="F56" s="106">
        <f t="shared" si="2"/>
        <v>718.47204597643645</v>
      </c>
      <c r="K56" s="1"/>
      <c r="L56" s="1"/>
    </row>
    <row r="57" spans="1:29" hidden="1" x14ac:dyDescent="0.35">
      <c r="A57" s="184">
        <v>7</v>
      </c>
      <c r="B57" s="192">
        <f t="shared" si="0"/>
        <v>10.30992736568817</v>
      </c>
      <c r="C57" s="192">
        <f t="shared" si="1"/>
        <v>9.5914553197117325</v>
      </c>
      <c r="D57" s="192">
        <v>0.93300000000000005</v>
      </c>
      <c r="E57" s="184">
        <v>0.93100000000000005</v>
      </c>
      <c r="F57" s="193">
        <f t="shared" si="2"/>
        <v>359.23602298821822</v>
      </c>
      <c r="K57" s="1"/>
      <c r="L57" s="1"/>
    </row>
    <row r="58" spans="1:29" hidden="1" x14ac:dyDescent="0.35">
      <c r="A58" s="184">
        <v>8</v>
      </c>
      <c r="B58" s="192">
        <f t="shared" si="0"/>
        <v>10.30992736568817</v>
      </c>
      <c r="C58" s="192">
        <f t="shared" si="1"/>
        <v>9.5914553197117325</v>
      </c>
      <c r="D58" s="184">
        <v>0.92</v>
      </c>
      <c r="E58" s="184">
        <v>0.91800000000000004</v>
      </c>
      <c r="F58" s="193">
        <f t="shared" si="2"/>
        <v>359.23602298821822</v>
      </c>
      <c r="K58" s="1"/>
      <c r="L58" s="1"/>
    </row>
    <row r="59" spans="1:29" hidden="1" x14ac:dyDescent="0.35">
      <c r="A59" s="257">
        <v>9</v>
      </c>
      <c r="B59" s="192">
        <f t="shared" si="0"/>
        <v>10.30992736568817</v>
      </c>
      <c r="C59" s="192">
        <f t="shared" si="1"/>
        <v>9.5914553197117325</v>
      </c>
      <c r="D59" s="99">
        <v>0.90786</v>
      </c>
      <c r="E59" s="99">
        <v>0.90673999999999999</v>
      </c>
      <c r="F59" s="106">
        <f t="shared" si="2"/>
        <v>641.49289819324179</v>
      </c>
      <c r="K59" s="1"/>
      <c r="L59" s="1"/>
    </row>
    <row r="60" spans="1:29" ht="15" hidden="1" thickBot="1" x14ac:dyDescent="0.4">
      <c r="K60" s="1"/>
      <c r="L60" s="1"/>
    </row>
    <row r="61" spans="1:29" hidden="1" x14ac:dyDescent="0.35">
      <c r="B61" s="271" t="s">
        <v>97</v>
      </c>
      <c r="C61" s="272"/>
      <c r="D61" s="271" t="s">
        <v>98</v>
      </c>
      <c r="E61" s="272"/>
      <c r="F61" s="271" t="s">
        <v>99</v>
      </c>
      <c r="G61" s="272"/>
      <c r="K61" s="1"/>
      <c r="L61" s="1"/>
    </row>
    <row r="62" spans="1:29" hidden="1" x14ac:dyDescent="0.35">
      <c r="A62" s="1" t="s">
        <v>90</v>
      </c>
      <c r="B62" s="6" t="s">
        <v>81</v>
      </c>
      <c r="C62" s="7" t="s">
        <v>82</v>
      </c>
      <c r="D62" s="6" t="s">
        <v>81</v>
      </c>
      <c r="E62" s="7" t="s">
        <v>82</v>
      </c>
      <c r="F62" s="6" t="s">
        <v>81</v>
      </c>
      <c r="G62" s="7" t="s">
        <v>82</v>
      </c>
      <c r="K62" s="1"/>
      <c r="L62" s="1"/>
    </row>
    <row r="63" spans="1:29" hidden="1" x14ac:dyDescent="0.35">
      <c r="A63" s="1" t="s">
        <v>80</v>
      </c>
      <c r="B63" s="6">
        <v>8</v>
      </c>
      <c r="C63" s="56" t="s">
        <v>92</v>
      </c>
      <c r="D63" s="6">
        <v>8</v>
      </c>
      <c r="E63" s="58" t="s">
        <v>92</v>
      </c>
      <c r="F63" s="6">
        <v>8.5</v>
      </c>
      <c r="G63" s="58" t="s">
        <v>105</v>
      </c>
      <c r="K63" s="1"/>
      <c r="L63" s="1"/>
    </row>
    <row r="64" spans="1:29" hidden="1" x14ac:dyDescent="0.35">
      <c r="A64" s="1" t="s">
        <v>83</v>
      </c>
      <c r="B64" s="6">
        <v>10.5</v>
      </c>
      <c r="C64" s="55" t="s">
        <v>93</v>
      </c>
      <c r="D64" s="6"/>
      <c r="E64" s="58"/>
      <c r="F64" s="6">
        <v>10.5</v>
      </c>
      <c r="G64" s="58" t="s">
        <v>93</v>
      </c>
      <c r="K64" s="1"/>
      <c r="L64" s="1"/>
    </row>
    <row r="65" spans="1:12" hidden="1" x14ac:dyDescent="0.35">
      <c r="A65" s="1" t="s">
        <v>84</v>
      </c>
      <c r="B65" s="6">
        <v>9</v>
      </c>
      <c r="C65" s="56" t="s">
        <v>88</v>
      </c>
      <c r="D65" s="6">
        <v>8</v>
      </c>
      <c r="E65" s="58" t="s">
        <v>88</v>
      </c>
      <c r="F65" s="6">
        <v>10</v>
      </c>
      <c r="G65" s="58" t="s">
        <v>104</v>
      </c>
      <c r="K65" s="1"/>
      <c r="L65" s="1"/>
    </row>
    <row r="66" spans="1:12" ht="15" hidden="1" thickBot="1" x14ac:dyDescent="0.4">
      <c r="A66" s="1" t="s">
        <v>85</v>
      </c>
      <c r="B66" s="28">
        <v>9</v>
      </c>
      <c r="C66" s="57" t="s">
        <v>91</v>
      </c>
      <c r="D66" s="28">
        <v>6</v>
      </c>
      <c r="E66" s="59" t="s">
        <v>106</v>
      </c>
      <c r="F66" s="28">
        <v>12</v>
      </c>
      <c r="G66" s="59" t="s">
        <v>107</v>
      </c>
      <c r="K66" s="1"/>
      <c r="L66" s="1"/>
    </row>
    <row r="67" spans="1:12" hidden="1" x14ac:dyDescent="0.35">
      <c r="K67" s="1"/>
      <c r="L67" s="1"/>
    </row>
    <row r="68" spans="1:12" hidden="1" x14ac:dyDescent="0.35">
      <c r="K68" s="1"/>
      <c r="L68" s="1"/>
    </row>
    <row r="69" spans="1:12" ht="29" hidden="1" x14ac:dyDescent="0.35">
      <c r="A69" s="118" t="s">
        <v>142</v>
      </c>
      <c r="B69" s="103">
        <v>6229.2</v>
      </c>
      <c r="K69" s="1"/>
      <c r="L69" s="1"/>
    </row>
    <row r="70" spans="1:12" hidden="1" x14ac:dyDescent="0.35">
      <c r="A70" s="92"/>
      <c r="B70" s="2"/>
      <c r="K70" s="1"/>
      <c r="L70" s="1"/>
    </row>
    <row r="71" spans="1:12" hidden="1" x14ac:dyDescent="0.35">
      <c r="A71" s="92"/>
      <c r="B71" s="2"/>
    </row>
    <row r="72" spans="1:12" hidden="1" x14ac:dyDescent="0.35">
      <c r="A72" s="92"/>
      <c r="B72" s="2" t="s">
        <v>160</v>
      </c>
    </row>
    <row r="73" spans="1:12" hidden="1" x14ac:dyDescent="0.35">
      <c r="A73" s="128" t="s">
        <v>145</v>
      </c>
      <c r="B73" s="24">
        <v>30.062888000000001</v>
      </c>
    </row>
    <row r="74" spans="1:12" hidden="1" x14ac:dyDescent="0.35">
      <c r="A74" s="128" t="s">
        <v>146</v>
      </c>
      <c r="B74" s="24">
        <v>29.825816</v>
      </c>
    </row>
    <row r="75" spans="1:12" hidden="1" x14ac:dyDescent="0.35">
      <c r="A75" s="128" t="s">
        <v>147</v>
      </c>
      <c r="B75" s="24">
        <v>29.512591</v>
      </c>
    </row>
    <row r="76" spans="1:12" hidden="1" x14ac:dyDescent="0.35">
      <c r="A76" s="128" t="s">
        <v>148</v>
      </c>
      <c r="B76" s="24">
        <v>29.07292</v>
      </c>
    </row>
    <row r="77" spans="1:12" hidden="1" x14ac:dyDescent="0.35">
      <c r="A77" s="128" t="s">
        <v>149</v>
      </c>
      <c r="B77" s="24">
        <v>29.789183999999999</v>
      </c>
    </row>
    <row r="78" spans="1:12" hidden="1" x14ac:dyDescent="0.35">
      <c r="A78" s="128" t="s">
        <v>150</v>
      </c>
      <c r="B78" s="24">
        <v>30.810983</v>
      </c>
    </row>
    <row r="79" spans="1:12" hidden="1" x14ac:dyDescent="0.35">
      <c r="A79" s="128" t="s">
        <v>151</v>
      </c>
      <c r="B79" s="24">
        <v>31.132722999999999</v>
      </c>
    </row>
    <row r="80" spans="1:12" hidden="1" x14ac:dyDescent="0.35">
      <c r="A80" s="128" t="s">
        <v>152</v>
      </c>
      <c r="B80" s="24">
        <v>31.555157000000001</v>
      </c>
    </row>
    <row r="81" spans="1:2" hidden="1" x14ac:dyDescent="0.35">
      <c r="A81" s="128" t="s">
        <v>153</v>
      </c>
      <c r="B81" s="24">
        <v>31.64865</v>
      </c>
    </row>
    <row r="82" spans="1:2" hidden="1" x14ac:dyDescent="0.35">
      <c r="A82" s="128" t="s">
        <v>154</v>
      </c>
      <c r="B82" s="24">
        <v>31.190569</v>
      </c>
    </row>
    <row r="83" spans="1:2" hidden="1" x14ac:dyDescent="0.35">
      <c r="A83" s="128" t="s">
        <v>155</v>
      </c>
      <c r="B83" s="24">
        <v>31.632470000000001</v>
      </c>
    </row>
    <row r="84" spans="1:2" hidden="1" x14ac:dyDescent="0.35">
      <c r="A84" s="128" t="s">
        <v>156</v>
      </c>
      <c r="B84" s="24">
        <v>32.381642999999997</v>
      </c>
    </row>
    <row r="85" spans="1:2" hidden="1" x14ac:dyDescent="0.35">
      <c r="A85" s="127" t="s">
        <v>159</v>
      </c>
      <c r="B85" s="91">
        <f>AVERAGE(B73:B84)</f>
        <v>30.717966166666667</v>
      </c>
    </row>
    <row r="86" spans="1:2" hidden="1" x14ac:dyDescent="0.35">
      <c r="A86" s="92"/>
      <c r="B86" s="2"/>
    </row>
  </sheetData>
  <mergeCells count="4">
    <mergeCell ref="F61:G61"/>
    <mergeCell ref="B41:D41"/>
    <mergeCell ref="B61:C61"/>
    <mergeCell ref="D61:E6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workbookViewId="0">
      <selection activeCell="A54" sqref="A54:XFD87"/>
    </sheetView>
  </sheetViews>
  <sheetFormatPr defaultColWidth="9.08984375" defaultRowHeight="14.5" x14ac:dyDescent="0.35"/>
  <cols>
    <col min="1" max="1" width="16.6328125" style="1" customWidth="1"/>
    <col min="2" max="2" width="11.6328125" style="1" customWidth="1"/>
    <col min="3" max="3" width="12.453125" style="2" customWidth="1"/>
    <col min="4" max="4" width="17.54296875" style="2" customWidth="1"/>
    <col min="5" max="5" width="10.36328125" style="2" customWidth="1"/>
    <col min="6" max="6" width="16.6328125" style="2" customWidth="1"/>
    <col min="7" max="7" width="9.90625" style="1" customWidth="1"/>
    <col min="8" max="8" width="19.453125" style="2" customWidth="1"/>
    <col min="9" max="10" width="15.54296875" style="92" customWidth="1"/>
    <col min="11" max="11" width="16" style="2" customWidth="1"/>
    <col min="12" max="12" width="15.54296875" style="2" customWidth="1"/>
    <col min="13" max="13" width="14.36328125" style="2" customWidth="1"/>
    <col min="14" max="14" width="15.36328125" style="2" customWidth="1"/>
    <col min="15" max="15" width="9.36328125" style="92" customWidth="1"/>
    <col min="16" max="16" width="10.54296875" style="2" customWidth="1"/>
    <col min="17" max="17" width="12.90625" style="2" customWidth="1"/>
    <col min="18" max="18" width="14.08984375" style="2" customWidth="1"/>
    <col min="19" max="19" width="12.90625" style="2" customWidth="1"/>
    <col min="20" max="20" width="10.6328125" style="2" hidden="1" customWidth="1"/>
    <col min="21" max="25" width="12.90625" style="2" hidden="1" customWidth="1"/>
    <col min="26" max="26" width="13.36328125" style="2" hidden="1" customWidth="1"/>
    <col min="27" max="27" width="12.453125" style="2" hidden="1" customWidth="1"/>
    <col min="28" max="28" width="0" style="2" hidden="1" customWidth="1"/>
    <col min="29" max="30" width="0" style="1" hidden="1" customWidth="1"/>
    <col min="31" max="31" width="14" style="1" hidden="1" customWidth="1"/>
    <col min="32" max="32" width="0" style="1" hidden="1" customWidth="1"/>
    <col min="33" max="16384" width="9.08984375" style="1"/>
  </cols>
  <sheetData>
    <row r="1" spans="1:31" ht="43.5" x14ac:dyDescent="0.35">
      <c r="A1" s="1" t="s">
        <v>14</v>
      </c>
      <c r="B1" s="1" t="s">
        <v>20</v>
      </c>
      <c r="H1" s="2">
        <f>SUM(I2/$G$3)</f>
        <v>1</v>
      </c>
      <c r="I1" s="92" t="s">
        <v>131</v>
      </c>
      <c r="J1" s="24" t="s">
        <v>217</v>
      </c>
      <c r="K1" s="109" t="s">
        <v>127</v>
      </c>
      <c r="L1" s="83" t="s">
        <v>128</v>
      </c>
      <c r="M1" s="83" t="s">
        <v>129</v>
      </c>
      <c r="N1" s="93" t="s">
        <v>130</v>
      </c>
      <c r="O1" s="113" t="s">
        <v>15</v>
      </c>
      <c r="P1" s="72" t="s">
        <v>119</v>
      </c>
      <c r="Q1" s="82" t="s">
        <v>122</v>
      </c>
      <c r="R1" s="82" t="s">
        <v>123</v>
      </c>
      <c r="S1" s="72" t="s">
        <v>25</v>
      </c>
      <c r="T1" s="97" t="s">
        <v>139</v>
      </c>
      <c r="U1" s="4" t="s">
        <v>125</v>
      </c>
      <c r="V1" s="68" t="s">
        <v>126</v>
      </c>
      <c r="W1" s="4" t="s">
        <v>269</v>
      </c>
      <c r="X1" s="4" t="s">
        <v>270</v>
      </c>
      <c r="Y1" s="4" t="s">
        <v>272</v>
      </c>
      <c r="Z1" s="97" t="s">
        <v>140</v>
      </c>
      <c r="AA1" s="4" t="s">
        <v>16</v>
      </c>
      <c r="AB1" s="68" t="s">
        <v>17</v>
      </c>
    </row>
    <row r="2" spans="1:31" ht="19" thickBot="1" x14ac:dyDescent="0.4">
      <c r="A2" s="1" t="s">
        <v>137</v>
      </c>
      <c r="B2" s="44">
        <v>9</v>
      </c>
      <c r="C2" s="2" t="s">
        <v>138</v>
      </c>
      <c r="H2" s="2" t="s">
        <v>6</v>
      </c>
      <c r="I2" s="94">
        <v>3</v>
      </c>
      <c r="J2" s="181">
        <f>H1*F3*D6*B11</f>
        <v>5.813541360023552E-3</v>
      </c>
      <c r="K2" s="121">
        <f>(L2*(T2+N2)+(M2*(T2+N2+N2)))</f>
        <v>857.68000000000006</v>
      </c>
      <c r="L2" s="84">
        <v>0.88</v>
      </c>
      <c r="M2" s="84">
        <v>0.12</v>
      </c>
      <c r="N2" s="86">
        <f>$B$4</f>
        <v>139</v>
      </c>
      <c r="O2" s="89">
        <f>(Q2*S2)+(R2*S7)</f>
        <v>0.90169150684931521</v>
      </c>
      <c r="P2" s="76">
        <v>8</v>
      </c>
      <c r="Q2" s="73">
        <f>P2/365</f>
        <v>2.1917808219178082E-2</v>
      </c>
      <c r="R2" s="73">
        <f>1-Q2</f>
        <v>0.9780821917808219</v>
      </c>
      <c r="S2" s="76">
        <f>IF(B2=1, C44, IF(B2=2, C45, IF(B2=3, C46, IF(B2=6, C49, IF(B2=7, C50, IF(B2=8, C51, IF(B2=9, C52, 0)))))))</f>
        <v>0.59339999999999993</v>
      </c>
      <c r="T2" s="32">
        <v>702</v>
      </c>
      <c r="U2" s="37">
        <v>528</v>
      </c>
      <c r="V2" s="38">
        <v>722</v>
      </c>
      <c r="W2" s="37">
        <v>722</v>
      </c>
      <c r="X2" s="37">
        <v>0</v>
      </c>
      <c r="Y2" s="37">
        <v>0</v>
      </c>
      <c r="Z2" s="32">
        <v>651</v>
      </c>
      <c r="AA2" s="37">
        <f>Z2-AC2</f>
        <v>530.25742584403088</v>
      </c>
      <c r="AB2" s="38">
        <f>Z2+AC2</f>
        <v>771.74257415596912</v>
      </c>
      <c r="AC2" s="1">
        <f>CONFIDENCE(0.05, 106.7021, 3)</f>
        <v>120.74257415596907</v>
      </c>
    </row>
    <row r="3" spans="1:31" ht="15" thickBot="1" x14ac:dyDescent="0.4">
      <c r="F3" s="9">
        <f>SUM(G3/E5)</f>
        <v>3.7974683544303799E-2</v>
      </c>
      <c r="G3" s="5">
        <v>3</v>
      </c>
      <c r="J3" s="24"/>
      <c r="K3" s="121"/>
      <c r="L3" s="84"/>
      <c r="M3" s="84"/>
      <c r="N3" s="86"/>
      <c r="O3" s="89"/>
      <c r="P3" s="76"/>
      <c r="Q3" s="76"/>
      <c r="R3" s="76"/>
      <c r="S3" s="76"/>
      <c r="T3" s="6"/>
      <c r="U3" s="8"/>
      <c r="V3" s="7"/>
      <c r="W3" s="8"/>
      <c r="X3" s="8"/>
      <c r="Y3" s="8"/>
      <c r="Z3" s="6"/>
      <c r="AA3" s="8"/>
      <c r="AB3" s="7"/>
      <c r="AD3" s="11"/>
      <c r="AE3" s="1" t="s">
        <v>10</v>
      </c>
    </row>
    <row r="4" spans="1:31" x14ac:dyDescent="0.35">
      <c r="A4" s="1" t="s">
        <v>258</v>
      </c>
      <c r="B4" s="1">
        <f>139*C4</f>
        <v>139</v>
      </c>
      <c r="C4" s="2">
        <v>1</v>
      </c>
      <c r="F4" s="2" t="s">
        <v>21</v>
      </c>
      <c r="G4" s="12">
        <f>(H1*K2+H5*K5)</f>
        <v>857.68000000000006</v>
      </c>
      <c r="H4" s="2" t="s">
        <v>7</v>
      </c>
      <c r="J4" s="24"/>
      <c r="K4" s="121"/>
      <c r="L4" s="84"/>
      <c r="M4" s="84"/>
      <c r="N4" s="86"/>
      <c r="O4" s="89"/>
      <c r="P4" s="76"/>
      <c r="Q4" s="76"/>
      <c r="R4" s="76"/>
      <c r="S4" s="76"/>
      <c r="T4" s="6"/>
      <c r="U4" s="8"/>
      <c r="V4" s="7"/>
      <c r="W4" s="8"/>
      <c r="X4" s="8"/>
      <c r="Y4" s="8"/>
      <c r="Z4" s="6"/>
      <c r="AA4" s="8"/>
      <c r="AB4" s="7"/>
      <c r="AD4" s="13"/>
      <c r="AE4" s="1" t="s">
        <v>11</v>
      </c>
    </row>
    <row r="5" spans="1:31" x14ac:dyDescent="0.35">
      <c r="A5" s="31"/>
      <c r="D5" s="2" t="s">
        <v>23</v>
      </c>
      <c r="E5" s="14">
        <v>79</v>
      </c>
      <c r="G5" s="42">
        <f>(H1*O2)+(H5*O5)</f>
        <v>0.90169150684931521</v>
      </c>
      <c r="H5" s="2">
        <f>SUM(I5/$G$3)</f>
        <v>0</v>
      </c>
      <c r="I5" s="94">
        <v>0</v>
      </c>
      <c r="J5" s="181">
        <f>H5*F3*D6*B11</f>
        <v>0</v>
      </c>
      <c r="K5" s="121">
        <f>(L5*(T5+N5)+(M5*(T5+N5+N5)))</f>
        <v>155.68</v>
      </c>
      <c r="L5" s="84">
        <v>0.88</v>
      </c>
      <c r="M5" s="84">
        <v>0.12</v>
      </c>
      <c r="N5" s="86">
        <f>$B$4</f>
        <v>139</v>
      </c>
      <c r="O5" s="89">
        <f>(Q5*S5)+(R5*S7)</f>
        <v>0.90860000000000007</v>
      </c>
      <c r="P5" s="76">
        <v>0</v>
      </c>
      <c r="Q5" s="73">
        <f>P5/365</f>
        <v>0</v>
      </c>
      <c r="R5" s="73">
        <f>1-Q5</f>
        <v>1</v>
      </c>
      <c r="S5" s="76">
        <f>IF(B2=1,D44,IF(B2=2,D45,IF(B2=3,D46, IF(B2=6, D49, IF(B2=7, D50, IF(B2=8, D51, IF(B2=9, D52, 0)))))))</f>
        <v>0.44040000000000001</v>
      </c>
      <c r="T5" s="32">
        <v>0</v>
      </c>
      <c r="U5" s="37"/>
      <c r="V5" s="38"/>
      <c r="W5" s="37"/>
      <c r="X5" s="37"/>
      <c r="Y5" s="37"/>
      <c r="Z5" s="32"/>
      <c r="AA5" s="8"/>
      <c r="AB5" s="7"/>
      <c r="AD5" s="5"/>
      <c r="AE5" s="1" t="s">
        <v>12</v>
      </c>
    </row>
    <row r="6" spans="1:31" ht="15" thickBot="1" x14ac:dyDescent="0.4">
      <c r="A6" s="31"/>
      <c r="D6" s="9">
        <f>1-D13</f>
        <v>0.51970000000000005</v>
      </c>
      <c r="E6" s="16">
        <f>(F3*G4+F6*G8)</f>
        <v>182.33822784810127</v>
      </c>
      <c r="F6" s="9">
        <f>SUM(G7/E5)</f>
        <v>0.96202531645569622</v>
      </c>
      <c r="J6" s="24"/>
      <c r="K6" s="121"/>
      <c r="L6" s="84"/>
      <c r="M6" s="84"/>
      <c r="N6" s="86"/>
      <c r="O6" s="89"/>
      <c r="P6" s="76"/>
      <c r="Q6" s="76"/>
      <c r="R6" s="76"/>
      <c r="S6" s="76" t="s">
        <v>5</v>
      </c>
      <c r="T6" s="6"/>
      <c r="U6" s="8"/>
      <c r="V6" s="7"/>
      <c r="W6" s="8"/>
      <c r="X6" s="8"/>
      <c r="Y6" s="8"/>
      <c r="Z6" s="6"/>
      <c r="AA6" s="8"/>
      <c r="AB6" s="7"/>
    </row>
    <row r="7" spans="1:31" ht="15" thickBot="1" x14ac:dyDescent="0.4">
      <c r="C7" s="14">
        <v>152</v>
      </c>
      <c r="E7" s="40">
        <f>(F3*G5)+(F6*G9)</f>
        <v>0.90833765215883489</v>
      </c>
      <c r="F7" s="2" t="s">
        <v>22</v>
      </c>
      <c r="G7" s="18">
        <v>76</v>
      </c>
      <c r="I7" s="92">
        <v>76</v>
      </c>
      <c r="J7" s="24">
        <f>F6*D6*B11</f>
        <v>0.14727638112059663</v>
      </c>
      <c r="K7" s="121">
        <f>(L7*(T7+N7)+(M7*(T7+N7+N7)))</f>
        <v>155.68</v>
      </c>
      <c r="L7" s="84">
        <v>0.88</v>
      </c>
      <c r="M7" s="84">
        <v>0.12</v>
      </c>
      <c r="N7" s="86">
        <f>$B$4</f>
        <v>139</v>
      </c>
      <c r="O7" s="89">
        <f>(R7*S7)</f>
        <v>0.90860000000000007</v>
      </c>
      <c r="P7" s="76">
        <v>0</v>
      </c>
      <c r="Q7" s="73">
        <f>P7/365</f>
        <v>0</v>
      </c>
      <c r="R7" s="73">
        <f>1-Q7</f>
        <v>1</v>
      </c>
      <c r="S7" s="76">
        <f>IF(B2=1, B44, IF(B2=2, B45, IF(B2=3, B46, IF(B2=6, B49, IF(B2=7, B50, IF(B2=8, B51, IF(B2=9, B52, 0)))))))</f>
        <v>0.90860000000000007</v>
      </c>
      <c r="T7" s="32">
        <v>0</v>
      </c>
      <c r="U7" s="37"/>
      <c r="V7" s="38"/>
      <c r="W7" s="37"/>
      <c r="X7" s="37"/>
      <c r="Y7" s="37"/>
      <c r="Z7" s="32"/>
      <c r="AA7" s="8"/>
      <c r="AB7" s="7"/>
    </row>
    <row r="8" spans="1:31" x14ac:dyDescent="0.35">
      <c r="B8" s="31">
        <f>C8/32.5</f>
        <v>5.2164394157740999</v>
      </c>
      <c r="C8" s="16">
        <f>(D6*E6)+(D13*E16)</f>
        <v>169.53428101265825</v>
      </c>
      <c r="G8" s="43">
        <f>K7</f>
        <v>155.68</v>
      </c>
      <c r="J8" s="24"/>
      <c r="K8" s="121"/>
      <c r="L8" s="84"/>
      <c r="M8" s="84"/>
      <c r="N8" s="86"/>
      <c r="O8" s="89"/>
      <c r="P8" s="76"/>
      <c r="Q8" s="76"/>
      <c r="R8" s="76"/>
      <c r="S8" s="76"/>
      <c r="T8" s="32"/>
      <c r="U8" s="37"/>
      <c r="V8" s="38"/>
      <c r="W8" s="37"/>
      <c r="X8" s="37"/>
      <c r="Y8" s="37"/>
      <c r="Z8" s="32"/>
      <c r="AA8" s="8"/>
      <c r="AB8" s="7"/>
    </row>
    <row r="9" spans="1:31" x14ac:dyDescent="0.35">
      <c r="C9" s="223">
        <f>(D6*E7)+(D13*E17)</f>
        <v>0.90846365782694649</v>
      </c>
      <c r="G9" s="105">
        <f>O7</f>
        <v>0.90860000000000007</v>
      </c>
      <c r="J9" s="24"/>
      <c r="K9" s="121"/>
      <c r="L9" s="84"/>
      <c r="M9" s="84"/>
      <c r="N9" s="86"/>
      <c r="O9" s="89"/>
      <c r="P9" s="76"/>
      <c r="Q9" s="76"/>
      <c r="R9" s="76"/>
      <c r="S9" s="76"/>
      <c r="T9" s="10"/>
      <c r="U9" s="112"/>
      <c r="V9" s="38"/>
      <c r="W9" s="37"/>
      <c r="X9" s="37"/>
      <c r="Y9" s="37"/>
      <c r="Z9" s="32"/>
      <c r="AA9" s="8"/>
      <c r="AB9" s="7"/>
    </row>
    <row r="10" spans="1:31" x14ac:dyDescent="0.35">
      <c r="G10" s="23"/>
      <c r="I10" s="95"/>
      <c r="J10" s="129"/>
      <c r="K10" s="121"/>
      <c r="L10" s="84"/>
      <c r="M10" s="84"/>
      <c r="N10" s="86"/>
      <c r="O10" s="89"/>
      <c r="P10" s="76"/>
      <c r="Q10" s="76"/>
      <c r="R10" s="76"/>
      <c r="S10" s="76"/>
      <c r="T10" s="32"/>
      <c r="U10" s="37"/>
      <c r="V10" s="38"/>
      <c r="W10" s="37"/>
      <c r="X10" s="37"/>
      <c r="Y10" s="37"/>
      <c r="Z10" s="32"/>
      <c r="AA10" s="8"/>
      <c r="AB10" s="7"/>
    </row>
    <row r="11" spans="1:31" x14ac:dyDescent="0.35">
      <c r="B11" s="1">
        <f>C7/(C7+C26)</f>
        <v>0.29457364341085274</v>
      </c>
      <c r="C11" s="126"/>
      <c r="G11" s="23"/>
      <c r="I11" s="95"/>
      <c r="J11" s="129"/>
      <c r="K11" s="131"/>
      <c r="L11" s="84"/>
      <c r="M11" s="84"/>
      <c r="N11" s="86"/>
      <c r="O11" s="122"/>
      <c r="P11" s="76"/>
      <c r="Q11" s="76"/>
      <c r="R11" s="76"/>
      <c r="S11" s="76"/>
      <c r="T11" s="6"/>
      <c r="U11" s="8"/>
      <c r="V11" s="7"/>
      <c r="W11" s="8"/>
      <c r="X11" s="8"/>
      <c r="Y11" s="8"/>
      <c r="Z11" s="6"/>
      <c r="AA11" s="8"/>
      <c r="AB11" s="7"/>
    </row>
    <row r="12" spans="1:31" x14ac:dyDescent="0.35">
      <c r="D12" s="2" t="s">
        <v>256</v>
      </c>
      <c r="G12" s="22"/>
      <c r="I12" s="95"/>
      <c r="J12" s="129"/>
      <c r="K12" s="121"/>
      <c r="L12" s="84"/>
      <c r="M12" s="84"/>
      <c r="N12" s="86"/>
      <c r="O12" s="89"/>
      <c r="P12" s="76"/>
      <c r="Q12" s="76"/>
      <c r="R12" s="76"/>
      <c r="S12" s="76"/>
      <c r="T12" s="32"/>
      <c r="U12" s="37"/>
      <c r="V12" s="38"/>
      <c r="W12" s="37"/>
      <c r="X12" s="37"/>
      <c r="Y12" s="37"/>
      <c r="Z12" s="32"/>
      <c r="AA12" s="8"/>
      <c r="AB12" s="7"/>
    </row>
    <row r="13" spans="1:31" x14ac:dyDescent="0.35">
      <c r="D13" s="9">
        <v>0.4803</v>
      </c>
      <c r="F13" s="24">
        <f>SUM(G13/E15)</f>
        <v>0</v>
      </c>
      <c r="G13" s="5">
        <v>0</v>
      </c>
      <c r="I13" s="92">
        <v>0</v>
      </c>
      <c r="J13" s="24">
        <f>F13*D13*B11</f>
        <v>0</v>
      </c>
      <c r="K13" s="121">
        <f>(L13*(T13+N13)+(M13*(T13+N13+N13)))</f>
        <v>155.68</v>
      </c>
      <c r="L13" s="84">
        <v>0.88</v>
      </c>
      <c r="M13" s="84">
        <v>0.12</v>
      </c>
      <c r="N13" s="86">
        <f>$B$4</f>
        <v>139</v>
      </c>
      <c r="O13" s="89">
        <f>(R13*S7)</f>
        <v>0.90860000000000007</v>
      </c>
      <c r="P13" s="76">
        <v>0</v>
      </c>
      <c r="Q13" s="73">
        <f>P13/365</f>
        <v>0</v>
      </c>
      <c r="R13" s="73">
        <f>1-Q13</f>
        <v>1</v>
      </c>
      <c r="S13" s="76">
        <f>IF(B2=1, C44, IF(B2=2, C45, IF(B2=3, C46, IF(B2=6, C49, IF(B2=7, C50, IF(B2=8, C51, IF(B2=9, C52, 0)))))))</f>
        <v>0.59339999999999993</v>
      </c>
      <c r="T13" s="32">
        <v>0</v>
      </c>
      <c r="U13" s="37"/>
      <c r="V13" s="38"/>
      <c r="W13" s="37"/>
      <c r="X13" s="37"/>
      <c r="Y13" s="37"/>
      <c r="Z13" s="32"/>
      <c r="AA13" s="8"/>
      <c r="AB13" s="7"/>
    </row>
    <row r="14" spans="1:31" x14ac:dyDescent="0.35">
      <c r="D14" s="2" t="s">
        <v>24</v>
      </c>
      <c r="F14" s="2" t="s">
        <v>21</v>
      </c>
      <c r="G14" s="12">
        <f>K13</f>
        <v>155.68</v>
      </c>
      <c r="J14" s="24"/>
      <c r="K14" s="121"/>
      <c r="L14" s="84"/>
      <c r="M14" s="84"/>
      <c r="N14" s="86"/>
      <c r="O14" s="89"/>
      <c r="P14" s="76"/>
      <c r="Q14" s="76"/>
      <c r="R14" s="76"/>
      <c r="S14" s="76"/>
      <c r="T14" s="6"/>
      <c r="U14" s="8"/>
      <c r="V14" s="7"/>
      <c r="W14" s="8"/>
      <c r="X14" s="8"/>
      <c r="Y14" s="8"/>
      <c r="Z14" s="6"/>
      <c r="AA14" s="8"/>
      <c r="AB14" s="7"/>
    </row>
    <row r="15" spans="1:31" x14ac:dyDescent="0.35">
      <c r="B15" s="1" t="s">
        <v>1</v>
      </c>
      <c r="E15" s="14">
        <v>73</v>
      </c>
      <c r="G15" s="105">
        <f>O13</f>
        <v>0.90860000000000007</v>
      </c>
      <c r="I15" s="95">
        <v>0</v>
      </c>
      <c r="J15" s="129"/>
      <c r="K15" s="121"/>
      <c r="L15" s="84"/>
      <c r="M15" s="84"/>
      <c r="N15" s="86"/>
      <c r="O15" s="89"/>
      <c r="P15" s="76"/>
      <c r="Q15" s="73"/>
      <c r="R15" s="73"/>
      <c r="S15" s="76"/>
      <c r="T15" s="32"/>
      <c r="U15" s="37"/>
      <c r="V15" s="38"/>
      <c r="W15" s="37"/>
      <c r="X15" s="37"/>
      <c r="Y15" s="37"/>
      <c r="Z15" s="32"/>
      <c r="AA15" s="8"/>
      <c r="AB15" s="7"/>
    </row>
    <row r="16" spans="1:31" ht="15" thickBot="1" x14ac:dyDescent="0.4">
      <c r="E16" s="16">
        <f>(F13*G14+F16*G18)</f>
        <v>155.68</v>
      </c>
      <c r="F16" s="24">
        <f>SUM(G17/E15)</f>
        <v>1</v>
      </c>
      <c r="J16" s="24"/>
      <c r="K16" s="121"/>
      <c r="L16" s="84"/>
      <c r="M16" s="84"/>
      <c r="N16" s="86"/>
      <c r="O16" s="89"/>
      <c r="P16" s="76"/>
      <c r="Q16" s="76"/>
      <c r="R16" s="76"/>
      <c r="S16" s="76"/>
      <c r="T16" s="6"/>
      <c r="U16" s="8"/>
      <c r="V16" s="7"/>
      <c r="W16" s="8"/>
      <c r="X16" s="8"/>
      <c r="Y16" s="8"/>
      <c r="Z16" s="6"/>
      <c r="AA16" s="8"/>
      <c r="AB16" s="7"/>
    </row>
    <row r="17" spans="1:29" ht="15" thickBot="1" x14ac:dyDescent="0.4">
      <c r="E17" s="45">
        <f>(F13*G15)+(F16*G19)</f>
        <v>0.90860000000000007</v>
      </c>
      <c r="F17" s="24" t="s">
        <v>22</v>
      </c>
      <c r="G17" s="18">
        <v>73</v>
      </c>
      <c r="H17" s="24"/>
      <c r="I17" s="92">
        <v>73</v>
      </c>
      <c r="J17" s="24">
        <f>F16*D13*B11</f>
        <v>0.14148372093023256</v>
      </c>
      <c r="K17" s="121">
        <f>(L17*(T17+N17)+(M17*(T17+N17+N17)))</f>
        <v>155.68</v>
      </c>
      <c r="L17" s="84">
        <v>0.88</v>
      </c>
      <c r="M17" s="84">
        <v>0.12</v>
      </c>
      <c r="N17" s="86">
        <f>$B$4</f>
        <v>139</v>
      </c>
      <c r="O17" s="89">
        <f>(R17*S17)</f>
        <v>0.90860000000000007</v>
      </c>
      <c r="P17" s="76">
        <v>0</v>
      </c>
      <c r="Q17" s="73">
        <f>P17/365</f>
        <v>0</v>
      </c>
      <c r="R17" s="73">
        <f>1-Q17</f>
        <v>1</v>
      </c>
      <c r="S17" s="76">
        <f>IF(B2=1, B44, IF(B2=2, B45, IF(B2=3, B46, IF(B2=6, B49, IF(B2=7, B50, IF(B2=8, B51, IF(B2=9, B52, 0)))))))</f>
        <v>0.90860000000000007</v>
      </c>
      <c r="T17" s="32">
        <v>0</v>
      </c>
      <c r="U17" s="8"/>
      <c r="V17" s="7"/>
      <c r="W17" s="8"/>
      <c r="X17" s="8"/>
      <c r="Y17" s="8"/>
      <c r="Z17" s="6"/>
      <c r="AA17" s="8"/>
      <c r="AB17" s="7"/>
    </row>
    <row r="18" spans="1:29" x14ac:dyDescent="0.35">
      <c r="E18" s="27"/>
      <c r="F18" s="24"/>
      <c r="G18" s="41">
        <f>K17</f>
        <v>155.68</v>
      </c>
      <c r="J18" s="24"/>
      <c r="K18" s="121"/>
      <c r="L18" s="84"/>
      <c r="M18" s="84"/>
      <c r="N18" s="86"/>
      <c r="O18" s="89"/>
      <c r="P18" s="76"/>
      <c r="Q18" s="76"/>
      <c r="R18" s="76"/>
      <c r="S18" s="76"/>
      <c r="T18" s="6"/>
      <c r="U18" s="8"/>
      <c r="V18" s="7"/>
      <c r="W18" s="8"/>
      <c r="X18" s="8"/>
      <c r="Y18" s="8"/>
      <c r="Z18" s="6"/>
      <c r="AA18" s="8"/>
      <c r="AB18" s="7"/>
    </row>
    <row r="19" spans="1:29" x14ac:dyDescent="0.35">
      <c r="G19" s="105">
        <f>O17</f>
        <v>0.90860000000000007</v>
      </c>
      <c r="J19" s="24"/>
      <c r="K19" s="121"/>
      <c r="L19" s="84"/>
      <c r="M19" s="84"/>
      <c r="N19" s="86"/>
      <c r="O19" s="89"/>
      <c r="P19" s="76"/>
      <c r="Q19" s="76"/>
      <c r="R19" s="76"/>
      <c r="S19" s="76"/>
      <c r="T19" s="10"/>
      <c r="U19" s="37"/>
      <c r="V19" s="38"/>
      <c r="W19" s="37"/>
      <c r="X19" s="37"/>
      <c r="Y19" s="37"/>
      <c r="Z19" s="32"/>
      <c r="AA19" s="8"/>
      <c r="AB19" s="7"/>
    </row>
    <row r="20" spans="1:29" x14ac:dyDescent="0.35">
      <c r="C20" s="33"/>
      <c r="G20" s="21"/>
      <c r="H20" s="24" t="s">
        <v>6</v>
      </c>
      <c r="J20" s="24"/>
      <c r="K20" s="121"/>
      <c r="L20" s="84"/>
      <c r="M20" s="84"/>
      <c r="N20" s="86"/>
      <c r="O20" s="89"/>
      <c r="P20" s="76"/>
      <c r="Q20" s="76"/>
      <c r="R20" s="76"/>
      <c r="S20" s="76"/>
      <c r="T20" s="32"/>
      <c r="U20" s="37"/>
      <c r="V20" s="38"/>
      <c r="W20" s="37"/>
      <c r="X20" s="37"/>
      <c r="Y20" s="37"/>
      <c r="Z20" s="32"/>
      <c r="AA20" s="8"/>
      <c r="AB20" s="7"/>
    </row>
    <row r="21" spans="1:29" ht="15" customHeight="1" x14ac:dyDescent="0.35">
      <c r="A21" s="1" t="s">
        <v>8</v>
      </c>
      <c r="H21" s="24">
        <f>I21/G22</f>
        <v>0.9</v>
      </c>
      <c r="I21" s="94">
        <v>9</v>
      </c>
      <c r="J21" s="181">
        <f>H21*F22*D25*B23</f>
        <v>1.7442908614477559E-2</v>
      </c>
      <c r="K21" s="110">
        <f>T21</f>
        <v>1002</v>
      </c>
      <c r="L21" s="84">
        <v>0</v>
      </c>
      <c r="M21" s="84">
        <v>0</v>
      </c>
      <c r="N21" s="86">
        <f>$B$4</f>
        <v>139</v>
      </c>
      <c r="O21" s="89">
        <f>(Q21*S21)+(R21*S7)</f>
        <v>0.90169150684931521</v>
      </c>
      <c r="P21" s="76">
        <v>8</v>
      </c>
      <c r="Q21" s="73">
        <f>P21/365</f>
        <v>2.1917808219178082E-2</v>
      </c>
      <c r="R21" s="73">
        <f>1-Q21</f>
        <v>0.9780821917808219</v>
      </c>
      <c r="S21" s="76">
        <f>IF(B2=1, C44, IF(B2=2, C45, IF(B2=3, C46, IF(B2=6, C49, IF(B2=7, C50, IF(B2=8, C51, IF(B2=9, C52, 0)))))))</f>
        <v>0.59339999999999993</v>
      </c>
      <c r="T21" s="32">
        <v>1002</v>
      </c>
      <c r="U21" s="37">
        <v>576</v>
      </c>
      <c r="V21" s="38">
        <v>1802</v>
      </c>
      <c r="W21" s="37">
        <v>414</v>
      </c>
      <c r="X21" s="37">
        <v>0</v>
      </c>
      <c r="Y21" s="37">
        <v>300</v>
      </c>
      <c r="Z21" s="32">
        <v>1406</v>
      </c>
      <c r="AA21" s="37">
        <f>Z21-AC21</f>
        <v>703.40909717661418</v>
      </c>
      <c r="AB21" s="38">
        <f>Z21+AC21</f>
        <v>2108.5909028233859</v>
      </c>
      <c r="AC21" s="1">
        <f>CONFIDENCE(0.05, 1075.414, 9)</f>
        <v>702.59090282338582</v>
      </c>
    </row>
    <row r="22" spans="1:29" x14ac:dyDescent="0.35">
      <c r="A22" s="1" t="s">
        <v>9</v>
      </c>
      <c r="F22" s="9">
        <f>SUM(G22/E24)</f>
        <v>4.6948356807511735E-2</v>
      </c>
      <c r="G22" s="5">
        <v>10</v>
      </c>
      <c r="J22" s="24"/>
      <c r="K22" s="121"/>
      <c r="L22" s="84"/>
      <c r="M22" s="84"/>
      <c r="N22" s="86"/>
      <c r="O22" s="89"/>
      <c r="P22" s="76"/>
      <c r="Q22" s="76"/>
      <c r="R22" s="76"/>
      <c r="S22" s="76"/>
      <c r="T22" s="6"/>
      <c r="U22" s="8"/>
      <c r="V22" s="7"/>
      <c r="W22" s="8"/>
      <c r="X22" s="8"/>
      <c r="Y22" s="8"/>
      <c r="Z22" s="6"/>
      <c r="AA22" s="8"/>
      <c r="AB22" s="7"/>
    </row>
    <row r="23" spans="1:29" x14ac:dyDescent="0.35">
      <c r="A23" s="2">
        <v>516</v>
      </c>
      <c r="B23" s="1">
        <f>1-B11</f>
        <v>0.70542635658914721</v>
      </c>
      <c r="F23" s="2" t="s">
        <v>3</v>
      </c>
      <c r="G23" s="12">
        <f>(H21*K21+H24*K24)</f>
        <v>4190.5</v>
      </c>
      <c r="H23" s="2" t="s">
        <v>7</v>
      </c>
      <c r="J23" s="24"/>
      <c r="K23" s="121"/>
      <c r="L23" s="84"/>
      <c r="M23" s="84"/>
      <c r="N23" s="86"/>
      <c r="O23" s="89"/>
      <c r="P23" s="76"/>
      <c r="Q23" s="76"/>
      <c r="R23" s="76"/>
      <c r="S23" s="76"/>
      <c r="T23" s="6"/>
      <c r="U23" s="8"/>
      <c r="V23" s="7"/>
      <c r="W23" s="8"/>
      <c r="X23" s="8"/>
      <c r="Y23" s="8"/>
      <c r="Z23" s="6"/>
      <c r="AA23" s="8"/>
      <c r="AB23" s="7"/>
    </row>
    <row r="24" spans="1:29" x14ac:dyDescent="0.35">
      <c r="B24" s="1" t="s">
        <v>2</v>
      </c>
      <c r="D24" s="2" t="s">
        <v>23</v>
      </c>
      <c r="E24" s="14">
        <v>213</v>
      </c>
      <c r="G24" s="42">
        <f>(H21*O21)+(H24*O24)</f>
        <v>0.90135616438356181</v>
      </c>
      <c r="H24" s="24">
        <f>SUM(I24/$G$22)</f>
        <v>0.1</v>
      </c>
      <c r="I24" s="94">
        <v>1</v>
      </c>
      <c r="J24" s="181">
        <f>H24*F22*D25*B23</f>
        <v>1.9381009571641733E-3</v>
      </c>
      <c r="K24" s="110">
        <f>T24</f>
        <v>32887</v>
      </c>
      <c r="L24" s="84">
        <v>0</v>
      </c>
      <c r="M24" s="84">
        <v>0</v>
      </c>
      <c r="N24" s="86">
        <f>$B$4</f>
        <v>139</v>
      </c>
      <c r="O24" s="89">
        <f>(Q24*S24)+(R24*S7)</f>
        <v>0.89833808219178091</v>
      </c>
      <c r="P24" s="76">
        <v>21</v>
      </c>
      <c r="Q24" s="73">
        <v>2.1917808219178082E-2</v>
      </c>
      <c r="R24" s="73">
        <v>0.9780821917808219</v>
      </c>
      <c r="S24" s="76">
        <f>IF(B2=1, D44, IF(B2=2, D45, IF(B2=3, D46, IF(B2=6, D49, IF(B2=7, D50, IF(B2=8, D51, IF(B2=9, D52, 0)))))))</f>
        <v>0.44040000000000001</v>
      </c>
      <c r="T24" s="32">
        <v>32887</v>
      </c>
      <c r="U24" s="37">
        <v>32887</v>
      </c>
      <c r="V24" s="38">
        <v>32887</v>
      </c>
      <c r="W24" s="37">
        <f>0.62*T24</f>
        <v>20389.939999999999</v>
      </c>
      <c r="X24" s="37">
        <v>0</v>
      </c>
      <c r="Y24" s="37">
        <f>T24-W24</f>
        <v>12497.060000000001</v>
      </c>
      <c r="Z24" s="32">
        <v>32887</v>
      </c>
      <c r="AA24" s="8"/>
      <c r="AB24" s="7"/>
    </row>
    <row r="25" spans="1:29" ht="15" thickBot="1" x14ac:dyDescent="0.4">
      <c r="D25" s="9">
        <f>1-D31</f>
        <v>0.58519999999999994</v>
      </c>
      <c r="E25" s="16">
        <f>(F22*G23+F25*G27)</f>
        <v>196.73708920187792</v>
      </c>
      <c r="F25" s="9">
        <f>SUM(G26/E24)</f>
        <v>0.95305164319248825</v>
      </c>
      <c r="J25" s="24"/>
      <c r="K25" s="121"/>
      <c r="L25" s="84"/>
      <c r="M25" s="84"/>
      <c r="N25" s="86"/>
      <c r="O25" s="89"/>
      <c r="P25" s="76"/>
      <c r="Q25" s="76"/>
      <c r="R25" s="76"/>
      <c r="S25" s="76"/>
      <c r="T25" s="6"/>
      <c r="U25" s="8"/>
      <c r="V25" s="7"/>
      <c r="W25" s="37"/>
      <c r="X25" s="8"/>
      <c r="Y25" s="8"/>
      <c r="Z25" s="6"/>
      <c r="AA25" s="8"/>
      <c r="AB25" s="7"/>
    </row>
    <row r="26" spans="1:29" ht="15" thickBot="1" x14ac:dyDescent="0.4">
      <c r="C26" s="14">
        <v>364</v>
      </c>
      <c r="E26" s="40">
        <f>(F22*G24)+(F25*G28)</f>
        <v>0.90825991382082449</v>
      </c>
      <c r="F26" s="2" t="s">
        <v>4</v>
      </c>
      <c r="G26" s="18">
        <v>203</v>
      </c>
      <c r="I26" s="92">
        <v>203</v>
      </c>
      <c r="J26" s="24">
        <f>F25*D25*B23</f>
        <v>0.39343449430432714</v>
      </c>
      <c r="K26" s="110">
        <f>T26</f>
        <v>0</v>
      </c>
      <c r="L26" s="84">
        <v>0</v>
      </c>
      <c r="M26" s="84">
        <v>0</v>
      </c>
      <c r="N26" s="86">
        <f>$B$4</f>
        <v>139</v>
      </c>
      <c r="O26" s="89">
        <f>(R26*S26)</f>
        <v>0.90860000000000007</v>
      </c>
      <c r="P26" s="76">
        <v>0</v>
      </c>
      <c r="Q26" s="73">
        <f>P26/365</f>
        <v>0</v>
      </c>
      <c r="R26" s="73">
        <f>1-Q26</f>
        <v>1</v>
      </c>
      <c r="S26" s="76">
        <f>IF(B2=1, B44, IF(B2=2, B45, IF(B2=3, B46, IF(B2=6, B49, IF(B2=7, B50, IF(B2=8, B51, IF(B2=9, B52, 0)))))))</f>
        <v>0.90860000000000007</v>
      </c>
      <c r="T26" s="32">
        <v>0</v>
      </c>
      <c r="U26" s="37"/>
      <c r="V26" s="38"/>
      <c r="W26" s="37"/>
      <c r="X26" s="37"/>
      <c r="Y26" s="37"/>
      <c r="Z26" s="32"/>
      <c r="AA26" s="8"/>
      <c r="AB26" s="7"/>
    </row>
    <row r="27" spans="1:29" x14ac:dyDescent="0.35">
      <c r="B27" s="31">
        <f>C27/32.5</f>
        <v>3.5940377452352075</v>
      </c>
      <c r="C27" s="16">
        <f>(D25*E25)+(D31*E35)</f>
        <v>116.80622672014424</v>
      </c>
      <c r="G27" s="43">
        <f>K26</f>
        <v>0</v>
      </c>
      <c r="J27" s="24"/>
      <c r="K27" s="121"/>
      <c r="L27" s="84"/>
      <c r="M27" s="84"/>
      <c r="N27" s="86"/>
      <c r="O27" s="89"/>
      <c r="P27" s="76"/>
      <c r="Q27" s="76"/>
      <c r="R27" s="76"/>
      <c r="S27" s="76"/>
      <c r="T27" s="32"/>
      <c r="U27" s="37"/>
      <c r="V27" s="38"/>
      <c r="W27" s="37"/>
      <c r="X27" s="37"/>
      <c r="Y27" s="37"/>
      <c r="Z27" s="32"/>
      <c r="AA27" s="8"/>
      <c r="AB27" s="7"/>
    </row>
    <row r="28" spans="1:29" x14ac:dyDescent="0.35">
      <c r="C28" s="224">
        <f>(D25*E26)+(D31*E36)</f>
        <v>0.90838437602099908</v>
      </c>
      <c r="G28" s="125">
        <f>O26</f>
        <v>0.90860000000000007</v>
      </c>
      <c r="J28" s="24"/>
      <c r="K28" s="121"/>
      <c r="L28" s="84"/>
      <c r="M28" s="84"/>
      <c r="N28" s="86"/>
      <c r="O28" s="89"/>
      <c r="P28" s="76"/>
      <c r="Q28" s="76"/>
      <c r="R28" s="76"/>
      <c r="S28" s="76"/>
      <c r="T28" s="32"/>
      <c r="U28" s="37"/>
      <c r="V28" s="38"/>
      <c r="W28" s="37"/>
      <c r="X28" s="37"/>
      <c r="Y28" s="37"/>
      <c r="Z28" s="32"/>
      <c r="AA28" s="8"/>
      <c r="AB28" s="7"/>
    </row>
    <row r="29" spans="1:29" x14ac:dyDescent="0.35">
      <c r="C29" s="26"/>
      <c r="G29" s="21"/>
      <c r="H29" s="2" t="s">
        <v>6</v>
      </c>
      <c r="J29" s="24"/>
      <c r="K29" s="121"/>
      <c r="L29" s="84"/>
      <c r="M29" s="84"/>
      <c r="N29" s="86"/>
      <c r="O29" s="89"/>
      <c r="P29" s="76"/>
      <c r="Q29" s="76"/>
      <c r="R29" s="76"/>
      <c r="S29" s="76"/>
      <c r="T29" s="32"/>
      <c r="U29" s="37"/>
      <c r="V29" s="38"/>
      <c r="W29" s="37"/>
      <c r="X29" s="37"/>
      <c r="Y29" s="37"/>
      <c r="Z29" s="32"/>
      <c r="AA29" s="8"/>
      <c r="AB29" s="7"/>
    </row>
    <row r="30" spans="1:29" x14ac:dyDescent="0.35">
      <c r="C30" s="1"/>
      <c r="D30" s="2" t="s">
        <v>257</v>
      </c>
      <c r="H30" s="2">
        <f>I30/G31</f>
        <v>1</v>
      </c>
      <c r="I30" s="94">
        <v>1</v>
      </c>
      <c r="J30" s="181">
        <f>H30*F31*D31*B23</f>
        <v>1.9378202166435645E-3</v>
      </c>
      <c r="K30" s="110">
        <f>T30</f>
        <v>610</v>
      </c>
      <c r="L30" s="84">
        <v>0</v>
      </c>
      <c r="M30" s="84">
        <v>0</v>
      </c>
      <c r="N30" s="86">
        <f>$B$4</f>
        <v>139</v>
      </c>
      <c r="O30" s="89">
        <f>(Q30*S30)+(R30*S7)</f>
        <v>0.90255506849315081</v>
      </c>
      <c r="P30" s="76">
        <v>7</v>
      </c>
      <c r="Q30" s="73">
        <f>P30/365</f>
        <v>1.9178082191780823E-2</v>
      </c>
      <c r="R30" s="73">
        <f>1-Q30</f>
        <v>0.98082191780821915</v>
      </c>
      <c r="S30" s="76">
        <f>IF(B2=1, C44, IF(B2=2, C45, IF(B2=3, C46, IF(B2=6, C49, IF(B2=7, C50, IF(B2=8, C51, IF(B2=9, C52, 0)))))))</f>
        <v>0.59339999999999993</v>
      </c>
      <c r="T30" s="32">
        <v>610</v>
      </c>
      <c r="U30" s="37">
        <v>610</v>
      </c>
      <c r="V30" s="38">
        <v>610</v>
      </c>
      <c r="W30" s="37">
        <v>610</v>
      </c>
      <c r="X30" s="37">
        <v>0</v>
      </c>
      <c r="Y30" s="37">
        <v>0</v>
      </c>
      <c r="Z30" s="32">
        <v>610</v>
      </c>
      <c r="AA30" s="8"/>
      <c r="AB30" s="7"/>
    </row>
    <row r="31" spans="1:29" x14ac:dyDescent="0.35">
      <c r="D31" s="9">
        <v>0.4148</v>
      </c>
      <c r="E31" s="2" t="s">
        <v>5</v>
      </c>
      <c r="F31" s="9">
        <f>SUM(G31/E34)</f>
        <v>6.6225165562913907E-3</v>
      </c>
      <c r="G31" s="5">
        <v>1</v>
      </c>
      <c r="J31" s="24"/>
      <c r="K31" s="121"/>
      <c r="L31" s="84"/>
      <c r="M31" s="84"/>
      <c r="N31" s="86"/>
      <c r="O31" s="89"/>
      <c r="P31" s="76"/>
      <c r="Q31" s="76"/>
      <c r="R31" s="76"/>
      <c r="S31" s="76"/>
      <c r="T31" s="6"/>
      <c r="U31" s="8"/>
      <c r="V31" s="7"/>
      <c r="W31" s="8"/>
      <c r="X31" s="8"/>
      <c r="Y31" s="8"/>
      <c r="Z31" s="6"/>
      <c r="AA31" s="8"/>
      <c r="AB31" s="7"/>
    </row>
    <row r="32" spans="1:29" x14ac:dyDescent="0.35">
      <c r="D32" s="2" t="s">
        <v>24</v>
      </c>
      <c r="F32" s="2" t="s">
        <v>3</v>
      </c>
      <c r="G32" s="12">
        <f>(H30*K30)</f>
        <v>610</v>
      </c>
      <c r="J32" s="24"/>
      <c r="K32" s="121"/>
      <c r="L32" s="84"/>
      <c r="M32" s="84"/>
      <c r="N32" s="86"/>
      <c r="O32" s="89"/>
      <c r="P32" s="76"/>
      <c r="Q32" s="76"/>
      <c r="R32" s="76"/>
      <c r="S32" s="76"/>
      <c r="T32" s="6"/>
      <c r="U32" s="8"/>
      <c r="V32" s="7"/>
      <c r="W32" s="8"/>
      <c r="X32" s="8"/>
      <c r="Y32" s="8"/>
      <c r="Z32" s="6"/>
      <c r="AA32" s="8"/>
      <c r="AB32" s="7"/>
    </row>
    <row r="33" spans="1:28" x14ac:dyDescent="0.35">
      <c r="D33" s="9"/>
      <c r="G33" s="46">
        <f>(H30*O30)+(H34*O34)</f>
        <v>0.90255506849315081</v>
      </c>
      <c r="H33" s="2" t="s">
        <v>7</v>
      </c>
      <c r="J33" s="24"/>
      <c r="K33" s="121"/>
      <c r="L33" s="84"/>
      <c r="M33" s="84"/>
      <c r="N33" s="86"/>
      <c r="O33" s="89"/>
      <c r="P33" s="76"/>
      <c r="Q33" s="76"/>
      <c r="R33" s="76"/>
      <c r="S33" s="76"/>
      <c r="T33" s="6"/>
      <c r="U33" s="8"/>
      <c r="V33" s="7"/>
      <c r="W33" s="8"/>
      <c r="X33" s="8"/>
      <c r="Y33" s="8"/>
      <c r="Z33" s="6"/>
      <c r="AA33" s="8"/>
      <c r="AB33" s="7"/>
    </row>
    <row r="34" spans="1:28" x14ac:dyDescent="0.35">
      <c r="E34" s="14">
        <v>151</v>
      </c>
      <c r="H34" s="2">
        <f>SUM(I34/$G$31)</f>
        <v>0</v>
      </c>
      <c r="I34" s="94">
        <v>0</v>
      </c>
      <c r="J34" s="181">
        <f>H34*F31*D31*B23</f>
        <v>0</v>
      </c>
      <c r="K34" s="110">
        <f>T34</f>
        <v>0</v>
      </c>
      <c r="L34" s="84">
        <v>0</v>
      </c>
      <c r="M34" s="84">
        <v>0</v>
      </c>
      <c r="N34" s="86">
        <f>$B$4</f>
        <v>139</v>
      </c>
      <c r="O34" s="89">
        <f>(R34*S7)</f>
        <v>0.90860000000000007</v>
      </c>
      <c r="P34" s="76">
        <v>0</v>
      </c>
      <c r="Q34" s="73">
        <f>P34/365</f>
        <v>0</v>
      </c>
      <c r="R34" s="73">
        <f>1-Q34</f>
        <v>1</v>
      </c>
      <c r="S34" s="76">
        <f>IF(B2=1, D44, IF(B2=2, D45, IF(B2=3, D46, IF(B2=6, D49, IF(B2=7, D50, IF(B2=8, D51, IF(B2=9, D52, 0)))))))</f>
        <v>0.44040000000000001</v>
      </c>
      <c r="T34" s="32">
        <v>0</v>
      </c>
      <c r="U34" s="37"/>
      <c r="V34" s="38"/>
      <c r="W34" s="37"/>
      <c r="X34" s="37"/>
      <c r="Y34" s="37"/>
      <c r="Z34" s="32"/>
      <c r="AA34" s="8"/>
      <c r="AB34" s="7"/>
    </row>
    <row r="35" spans="1:28" ht="15" thickBot="1" x14ac:dyDescent="0.4">
      <c r="E35" s="16">
        <f>(F31*G32+F35*G37)</f>
        <v>4.0397350993377481</v>
      </c>
      <c r="F35" s="9">
        <f>SUM(G36/E34)</f>
        <v>0.99337748344370858</v>
      </c>
      <c r="J35" s="24"/>
      <c r="K35" s="121"/>
      <c r="L35" s="84"/>
      <c r="M35" s="84"/>
      <c r="N35" s="86"/>
      <c r="O35" s="89"/>
      <c r="P35" s="76"/>
      <c r="Q35" s="76"/>
      <c r="R35" s="76"/>
      <c r="S35" s="76"/>
      <c r="T35" s="6"/>
      <c r="U35" s="8"/>
      <c r="V35" s="7"/>
      <c r="W35" s="8"/>
      <c r="X35" s="8"/>
      <c r="Y35" s="8"/>
      <c r="Z35" s="6"/>
      <c r="AA35" s="8"/>
      <c r="AB35" s="7"/>
    </row>
    <row r="36" spans="1:28" ht="15" thickBot="1" x14ac:dyDescent="0.4">
      <c r="E36" s="40">
        <f>(F31*G33)+(F35*G38)</f>
        <v>0.9085599673410143</v>
      </c>
      <c r="F36" s="2" t="s">
        <v>4</v>
      </c>
      <c r="G36" s="18">
        <v>150</v>
      </c>
      <c r="I36" s="92">
        <v>150</v>
      </c>
      <c r="J36" s="24">
        <f>F35*D31*B23</f>
        <v>0.2906730324965347</v>
      </c>
      <c r="K36" s="110">
        <f>T36</f>
        <v>0</v>
      </c>
      <c r="L36" s="84">
        <v>0</v>
      </c>
      <c r="M36" s="84">
        <v>0</v>
      </c>
      <c r="N36" s="86">
        <f>$B$4</f>
        <v>139</v>
      </c>
      <c r="O36" s="89">
        <f>(R36*S36)</f>
        <v>0.90860000000000007</v>
      </c>
      <c r="P36" s="76">
        <v>0</v>
      </c>
      <c r="Q36" s="73">
        <f>P36/365</f>
        <v>0</v>
      </c>
      <c r="R36" s="73">
        <f>1-Q36</f>
        <v>1</v>
      </c>
      <c r="S36" s="76">
        <f>IF(B2=1, B44, IF(B2=2, B45, IF(B2=3, B46, IF(B2=6, B49, IF(B2=7, B50, IF(B2=8, B51, IF(B2=9, B52, 0)))))))</f>
        <v>0.90860000000000007</v>
      </c>
      <c r="T36" s="32">
        <v>0</v>
      </c>
      <c r="U36" s="37"/>
      <c r="V36" s="38"/>
      <c r="W36" s="37"/>
      <c r="X36" s="37"/>
      <c r="Y36" s="37"/>
      <c r="Z36" s="32"/>
      <c r="AA36" s="8"/>
      <c r="AB36" s="7"/>
    </row>
    <row r="37" spans="1:28" x14ac:dyDescent="0.35">
      <c r="G37" s="41">
        <f>K36</f>
        <v>0</v>
      </c>
      <c r="J37" s="24"/>
      <c r="K37" s="121"/>
      <c r="L37" s="84"/>
      <c r="M37" s="84"/>
      <c r="N37" s="86"/>
      <c r="O37" s="89"/>
      <c r="P37" s="76"/>
      <c r="Q37" s="76"/>
      <c r="R37" s="76"/>
      <c r="S37" s="76"/>
      <c r="T37" s="6"/>
      <c r="U37" s="8"/>
      <c r="V37" s="7"/>
      <c r="W37" s="8"/>
      <c r="X37" s="8"/>
      <c r="Y37" s="8"/>
      <c r="Z37" s="6"/>
      <c r="AA37" s="8"/>
      <c r="AB37" s="7"/>
    </row>
    <row r="38" spans="1:28" ht="15" thickBot="1" x14ac:dyDescent="0.4">
      <c r="G38" s="105">
        <f>O36</f>
        <v>0.90860000000000007</v>
      </c>
      <c r="J38" s="24"/>
      <c r="K38" s="124"/>
      <c r="L38" s="85"/>
      <c r="M38" s="85"/>
      <c r="N38" s="87"/>
      <c r="O38" s="90"/>
      <c r="P38" s="79"/>
      <c r="Q38" s="79"/>
      <c r="R38" s="79"/>
      <c r="S38" s="79"/>
      <c r="T38" s="28"/>
      <c r="U38" s="30"/>
      <c r="V38" s="29"/>
      <c r="W38" s="30"/>
      <c r="X38" s="30"/>
      <c r="Y38" s="30"/>
      <c r="Z38" s="28"/>
      <c r="AA38" s="30"/>
      <c r="AB38" s="29"/>
    </row>
    <row r="39" spans="1:28" x14ac:dyDescent="0.35">
      <c r="I39" s="92">
        <f>SUM(I2:I38)</f>
        <v>516</v>
      </c>
      <c r="J39" s="24">
        <f>SUM(J2:J38)</f>
        <v>1</v>
      </c>
    </row>
    <row r="40" spans="1:28" x14ac:dyDescent="0.35">
      <c r="H40" s="2" t="s">
        <v>278</v>
      </c>
      <c r="I40" s="92">
        <f>I2+I21+I30</f>
        <v>13</v>
      </c>
      <c r="J40" s="24"/>
    </row>
    <row r="41" spans="1:28" x14ac:dyDescent="0.35">
      <c r="H41" s="2" t="s">
        <v>279</v>
      </c>
      <c r="I41" s="92">
        <v>1</v>
      </c>
      <c r="J41" s="92">
        <f>(1/13)*100</f>
        <v>7.6923076923076925</v>
      </c>
    </row>
    <row r="42" spans="1:28" x14ac:dyDescent="0.35">
      <c r="A42" s="34"/>
      <c r="B42" s="270" t="s">
        <v>25</v>
      </c>
      <c r="C42" s="270"/>
      <c r="D42" s="270"/>
      <c r="E42" s="35"/>
      <c r="F42" s="34"/>
      <c r="G42" s="34"/>
      <c r="H42" s="34"/>
      <c r="I42" s="96"/>
      <c r="J42" s="96"/>
      <c r="K42" s="19"/>
      <c r="L42" s="19"/>
      <c r="M42" s="19"/>
      <c r="N42" s="19"/>
      <c r="O42" s="107"/>
      <c r="P42" s="19"/>
      <c r="Q42" s="19"/>
      <c r="R42" s="19"/>
      <c r="S42" s="19"/>
      <c r="T42" s="19"/>
    </row>
    <row r="43" spans="1:28" x14ac:dyDescent="0.35">
      <c r="A43" s="35" t="s">
        <v>26</v>
      </c>
      <c r="B43" s="35" t="s">
        <v>22</v>
      </c>
      <c r="C43" s="35" t="s">
        <v>32</v>
      </c>
      <c r="D43" s="35" t="s">
        <v>33</v>
      </c>
      <c r="E43" s="35" t="s">
        <v>28</v>
      </c>
      <c r="F43" s="34"/>
      <c r="G43" s="34"/>
      <c r="H43" s="34"/>
      <c r="I43" s="96"/>
      <c r="J43" s="96"/>
      <c r="K43" s="19"/>
      <c r="L43" s="19"/>
      <c r="M43" s="19"/>
      <c r="N43" s="19"/>
      <c r="O43" s="107"/>
      <c r="P43" s="19"/>
      <c r="Q43" s="19"/>
      <c r="R43" s="19"/>
      <c r="S43" s="19"/>
      <c r="T43" s="19"/>
    </row>
    <row r="44" spans="1:28" x14ac:dyDescent="0.35">
      <c r="A44" s="35">
        <v>1</v>
      </c>
      <c r="B44" s="35">
        <v>0.95</v>
      </c>
      <c r="C44" s="35">
        <v>0.57999999999999996</v>
      </c>
      <c r="D44" s="35">
        <v>0.57999999999999996</v>
      </c>
      <c r="E44" s="35" t="s">
        <v>27</v>
      </c>
      <c r="F44" s="34" t="s">
        <v>34</v>
      </c>
      <c r="G44" s="34"/>
      <c r="H44" s="34"/>
      <c r="I44" s="96"/>
      <c r="J44" s="96"/>
      <c r="K44" s="19"/>
      <c r="L44" s="19"/>
      <c r="M44" s="19"/>
      <c r="N44" s="19"/>
      <c r="O44" s="107"/>
      <c r="P44" s="19"/>
      <c r="Q44" s="19"/>
      <c r="R44" s="19"/>
      <c r="S44" s="19"/>
      <c r="T44" s="19"/>
    </row>
    <row r="45" spans="1:28" x14ac:dyDescent="0.35">
      <c r="A45" s="35">
        <v>2</v>
      </c>
      <c r="B45" s="35">
        <v>0.87</v>
      </c>
      <c r="C45" s="35">
        <v>0.65</v>
      </c>
      <c r="D45" s="36">
        <v>0.5</v>
      </c>
      <c r="E45" s="35" t="s">
        <v>29</v>
      </c>
      <c r="F45" s="34" t="s">
        <v>35</v>
      </c>
      <c r="G45" s="34"/>
      <c r="H45" s="34"/>
      <c r="I45" s="96"/>
      <c r="J45" s="96"/>
      <c r="K45" s="19"/>
      <c r="L45" s="19"/>
      <c r="M45" s="19"/>
      <c r="N45" s="19"/>
      <c r="O45" s="107"/>
      <c r="P45" s="19"/>
      <c r="Q45" s="19"/>
      <c r="R45" s="19"/>
      <c r="S45" s="19"/>
      <c r="T45" s="19"/>
    </row>
    <row r="46" spans="1:28" x14ac:dyDescent="0.35">
      <c r="A46" s="35">
        <v>3</v>
      </c>
      <c r="B46" s="35">
        <v>0.87</v>
      </c>
      <c r="C46" s="35">
        <v>0.52</v>
      </c>
      <c r="D46" s="35">
        <v>0.05</v>
      </c>
      <c r="E46" s="35" t="s">
        <v>30</v>
      </c>
      <c r="F46" s="34" t="s">
        <v>35</v>
      </c>
      <c r="G46" s="34"/>
      <c r="H46" s="34"/>
      <c r="I46" s="96"/>
      <c r="J46" s="96"/>
      <c r="K46" s="19"/>
      <c r="L46" s="19"/>
      <c r="M46" s="19"/>
      <c r="N46" s="19"/>
      <c r="O46" s="107"/>
      <c r="P46" s="19"/>
      <c r="Q46" s="19"/>
      <c r="R46" s="19"/>
      <c r="S46" s="19"/>
      <c r="T46" s="19"/>
    </row>
    <row r="47" spans="1:28" x14ac:dyDescent="0.35">
      <c r="A47" s="35">
        <v>4</v>
      </c>
      <c r="B47" s="35">
        <v>0.87</v>
      </c>
      <c r="C47" s="35"/>
      <c r="D47" s="34"/>
      <c r="E47" s="35" t="s">
        <v>31</v>
      </c>
      <c r="F47" s="34" t="s">
        <v>37</v>
      </c>
      <c r="G47" s="34"/>
      <c r="H47" s="34"/>
      <c r="I47" s="96"/>
      <c r="J47" s="96"/>
      <c r="K47" s="19"/>
      <c r="L47" s="19"/>
      <c r="M47" s="19"/>
      <c r="N47" s="19"/>
      <c r="O47" s="107"/>
      <c r="P47" s="19"/>
      <c r="Q47" s="19"/>
      <c r="R47" s="19"/>
      <c r="S47" s="19"/>
      <c r="T47" s="19"/>
    </row>
    <row r="48" spans="1:28" x14ac:dyDescent="0.35">
      <c r="A48" s="35">
        <v>5</v>
      </c>
      <c r="B48" s="35">
        <v>0.73</v>
      </c>
      <c r="C48" s="35"/>
      <c r="D48" s="34"/>
      <c r="E48" s="35" t="s">
        <v>31</v>
      </c>
      <c r="F48" s="34" t="s">
        <v>36</v>
      </c>
      <c r="G48" s="34"/>
      <c r="H48" s="34"/>
      <c r="I48" s="96"/>
      <c r="J48" s="96"/>
      <c r="K48" s="19"/>
      <c r="L48" s="19"/>
      <c r="M48" s="19"/>
      <c r="N48" s="19"/>
      <c r="O48" s="107"/>
      <c r="P48" s="19"/>
      <c r="Q48" s="19"/>
      <c r="R48" s="19"/>
      <c r="S48" s="19"/>
      <c r="T48" s="19"/>
    </row>
    <row r="49" spans="1:28" x14ac:dyDescent="0.35">
      <c r="A49" s="48">
        <v>6</v>
      </c>
      <c r="B49" s="48"/>
      <c r="C49" s="48">
        <v>0.99</v>
      </c>
      <c r="D49" s="48">
        <v>0.95</v>
      </c>
      <c r="E49" s="48" t="s">
        <v>69</v>
      </c>
      <c r="F49" s="34" t="s">
        <v>162</v>
      </c>
      <c r="G49" s="34"/>
      <c r="H49" s="34"/>
      <c r="I49" s="104"/>
      <c r="J49" s="104"/>
      <c r="K49" s="22"/>
      <c r="L49" s="22"/>
      <c r="M49" s="22"/>
      <c r="N49" s="22"/>
      <c r="O49" s="108"/>
      <c r="P49" s="22"/>
      <c r="Q49" s="22"/>
      <c r="R49" s="22"/>
      <c r="S49" s="19"/>
      <c r="T49" s="19"/>
    </row>
    <row r="50" spans="1:28" x14ac:dyDescent="0.35">
      <c r="A50" s="184">
        <v>7</v>
      </c>
      <c r="B50" s="184">
        <v>0.93300000000000005</v>
      </c>
      <c r="C50" s="184">
        <v>0.55800000000000005</v>
      </c>
      <c r="D50" s="184">
        <v>0.55800000000000005</v>
      </c>
      <c r="E50" s="184" t="s">
        <v>223</v>
      </c>
      <c r="F50" s="185" t="s">
        <v>224</v>
      </c>
      <c r="G50" s="185"/>
      <c r="H50" s="185"/>
      <c r="I50" s="186"/>
      <c r="J50" s="96"/>
    </row>
    <row r="51" spans="1:28" s="22" customFormat="1" x14ac:dyDescent="0.35">
      <c r="A51" s="184">
        <v>8</v>
      </c>
      <c r="B51" s="184">
        <v>0.92</v>
      </c>
      <c r="C51" s="184">
        <v>0.65900000000000003</v>
      </c>
      <c r="D51" s="184">
        <v>0.51400000000000001</v>
      </c>
      <c r="E51" s="184" t="s">
        <v>226</v>
      </c>
      <c r="F51" s="185" t="s">
        <v>227</v>
      </c>
      <c r="G51" s="185"/>
      <c r="H51" s="185"/>
      <c r="I51" s="186"/>
      <c r="J51" s="96"/>
      <c r="K51" s="19"/>
      <c r="L51" s="19"/>
      <c r="M51" s="19"/>
      <c r="N51" s="19"/>
      <c r="O51" s="107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</row>
    <row r="52" spans="1:28" s="22" customFormat="1" x14ac:dyDescent="0.35">
      <c r="A52" s="184">
        <v>9</v>
      </c>
      <c r="B52" s="184">
        <f>summary!B22</f>
        <v>0.90860000000000007</v>
      </c>
      <c r="C52" s="184">
        <f>summary!C22</f>
        <v>0.59339999999999993</v>
      </c>
      <c r="D52" s="184">
        <f>summary!D22</f>
        <v>0.44040000000000001</v>
      </c>
      <c r="E52" s="184"/>
      <c r="F52" s="185" t="s">
        <v>159</v>
      </c>
      <c r="G52" s="185"/>
      <c r="H52" s="185"/>
      <c r="I52" s="186"/>
      <c r="J52" s="96"/>
      <c r="K52" s="19"/>
      <c r="L52" s="19"/>
      <c r="M52" s="19"/>
      <c r="N52" s="19"/>
      <c r="O52" s="107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spans="1:28" s="22" customFormat="1" x14ac:dyDescent="0.35">
      <c r="A53" s="187"/>
      <c r="B53" s="187"/>
      <c r="C53" s="187"/>
      <c r="D53" s="187"/>
      <c r="E53" s="187"/>
      <c r="F53" s="188"/>
      <c r="G53" s="188"/>
      <c r="H53" s="188"/>
      <c r="I53" s="189"/>
      <c r="J53" s="107"/>
      <c r="K53" s="19"/>
      <c r="L53" s="19"/>
      <c r="M53" s="19"/>
      <c r="N53" s="19"/>
      <c r="O53" s="107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</row>
    <row r="54" spans="1:28" ht="43.5" hidden="1" x14ac:dyDescent="0.35">
      <c r="A54" s="48" t="s">
        <v>73</v>
      </c>
      <c r="B54" s="53" t="s">
        <v>70</v>
      </c>
      <c r="C54" s="53" t="s">
        <v>71</v>
      </c>
      <c r="D54" s="53" t="s">
        <v>72</v>
      </c>
      <c r="E54" s="53" t="s">
        <v>39</v>
      </c>
      <c r="F54" s="130" t="s">
        <v>38</v>
      </c>
      <c r="I54" s="1"/>
      <c r="J54" s="1"/>
      <c r="K54" s="1"/>
    </row>
    <row r="55" spans="1:28" hidden="1" x14ac:dyDescent="0.35">
      <c r="A55" s="48">
        <v>1</v>
      </c>
      <c r="B55" s="99">
        <f t="shared" ref="B55:B60" si="0">169.54/$C$86</f>
        <v>5.2204392626751019</v>
      </c>
      <c r="C55" s="99">
        <f t="shared" ref="C55:C60" si="1">116.8/$C$86</f>
        <v>3.5964805112684437</v>
      </c>
      <c r="D55" s="48">
        <v>0.95</v>
      </c>
      <c r="E55" s="48">
        <v>0.95</v>
      </c>
      <c r="F55" s="102" t="e">
        <f>(B55-C55)/(D55-E55)</f>
        <v>#DIV/0!</v>
      </c>
      <c r="I55" s="1"/>
      <c r="J55" s="1"/>
      <c r="K55" s="1"/>
    </row>
    <row r="56" spans="1:28" hidden="1" x14ac:dyDescent="0.35">
      <c r="A56" s="48">
        <v>2</v>
      </c>
      <c r="B56" s="99">
        <f t="shared" si="0"/>
        <v>5.2204392626751019</v>
      </c>
      <c r="C56" s="99">
        <f t="shared" si="1"/>
        <v>3.5964805112684437</v>
      </c>
      <c r="D56" s="48">
        <v>0.87</v>
      </c>
      <c r="E56" s="48">
        <v>0.87</v>
      </c>
      <c r="F56" s="102" t="e">
        <f t="shared" ref="F56:F60" si="2">(B56-C56)/(D56-E56)</f>
        <v>#DIV/0!</v>
      </c>
      <c r="I56" s="1"/>
      <c r="J56" s="1"/>
      <c r="K56" s="1"/>
    </row>
    <row r="57" spans="1:28" hidden="1" x14ac:dyDescent="0.35">
      <c r="A57" s="48">
        <v>3</v>
      </c>
      <c r="B57" s="99">
        <f t="shared" si="0"/>
        <v>5.2204392626751019</v>
      </c>
      <c r="C57" s="99">
        <f t="shared" si="1"/>
        <v>3.5964805112684437</v>
      </c>
      <c r="D57" s="48">
        <v>0.87</v>
      </c>
      <c r="E57" s="48">
        <v>0.87</v>
      </c>
      <c r="F57" s="102" t="e">
        <f t="shared" si="2"/>
        <v>#DIV/0!</v>
      </c>
      <c r="I57" s="1"/>
      <c r="J57" s="1"/>
      <c r="K57" s="1"/>
    </row>
    <row r="58" spans="1:28" hidden="1" x14ac:dyDescent="0.35">
      <c r="A58" s="184">
        <v>7</v>
      </c>
      <c r="B58" s="191">
        <f t="shared" si="0"/>
        <v>5.2204392626751019</v>
      </c>
      <c r="C58" s="191">
        <f t="shared" si="1"/>
        <v>3.5964805112684437</v>
      </c>
      <c r="D58" s="184">
        <v>0.93300000000000005</v>
      </c>
      <c r="E58" s="184">
        <v>0.93300000000000005</v>
      </c>
      <c r="F58" s="194" t="e">
        <f t="shared" si="2"/>
        <v>#DIV/0!</v>
      </c>
      <c r="I58" s="1"/>
      <c r="J58" s="1"/>
      <c r="K58" s="1"/>
    </row>
    <row r="59" spans="1:28" hidden="1" x14ac:dyDescent="0.35">
      <c r="A59" s="184">
        <v>8</v>
      </c>
      <c r="B59" s="191">
        <f t="shared" si="0"/>
        <v>5.2204392626751019</v>
      </c>
      <c r="C59" s="191">
        <f t="shared" si="1"/>
        <v>3.5964805112684437</v>
      </c>
      <c r="D59" s="184">
        <v>0.92</v>
      </c>
      <c r="E59" s="184">
        <v>0.92</v>
      </c>
      <c r="F59" s="194" t="e">
        <f t="shared" si="2"/>
        <v>#DIV/0!</v>
      </c>
      <c r="I59" s="1"/>
      <c r="J59" s="1"/>
      <c r="K59" s="1"/>
    </row>
    <row r="60" spans="1:28" hidden="1" x14ac:dyDescent="0.35">
      <c r="A60" s="184">
        <v>9</v>
      </c>
      <c r="B60" s="191">
        <f t="shared" si="0"/>
        <v>5.2204392626751019</v>
      </c>
      <c r="C60" s="191">
        <f t="shared" si="1"/>
        <v>3.5964805112684437</v>
      </c>
      <c r="D60" s="191">
        <v>0.90846000000000005</v>
      </c>
      <c r="E60" s="191">
        <v>0.90673999999999999</v>
      </c>
      <c r="F60" s="193">
        <f t="shared" si="2"/>
        <v>944.16206477128287</v>
      </c>
      <c r="I60" s="1"/>
      <c r="J60" s="1"/>
      <c r="K60" s="1"/>
    </row>
    <row r="61" spans="1:28" ht="15" hidden="1" thickBot="1" x14ac:dyDescent="0.4">
      <c r="I61" s="1"/>
      <c r="J61" s="1"/>
      <c r="K61" s="1"/>
    </row>
    <row r="62" spans="1:28" hidden="1" x14ac:dyDescent="0.35">
      <c r="B62" s="271" t="s">
        <v>97</v>
      </c>
      <c r="C62" s="272"/>
      <c r="D62" s="271" t="s">
        <v>98</v>
      </c>
      <c r="E62" s="272"/>
      <c r="F62" s="271" t="s">
        <v>99</v>
      </c>
      <c r="G62" s="272"/>
      <c r="I62" s="1"/>
      <c r="J62" s="1"/>
      <c r="K62" s="1"/>
    </row>
    <row r="63" spans="1:28" hidden="1" x14ac:dyDescent="0.35">
      <c r="A63" s="1" t="s">
        <v>94</v>
      </c>
      <c r="B63" s="6" t="s">
        <v>81</v>
      </c>
      <c r="C63" s="7" t="s">
        <v>82</v>
      </c>
      <c r="D63" s="6" t="s">
        <v>81</v>
      </c>
      <c r="E63" s="7" t="s">
        <v>82</v>
      </c>
      <c r="F63" s="6" t="s">
        <v>81</v>
      </c>
      <c r="G63" s="7" t="s">
        <v>82</v>
      </c>
      <c r="I63" s="1"/>
      <c r="J63" s="1"/>
      <c r="K63" s="1"/>
    </row>
    <row r="64" spans="1:28" hidden="1" x14ac:dyDescent="0.35">
      <c r="A64" s="1" t="s">
        <v>80</v>
      </c>
      <c r="B64" s="6">
        <v>8</v>
      </c>
      <c r="C64" s="56" t="s">
        <v>92</v>
      </c>
      <c r="D64" s="6">
        <v>8</v>
      </c>
      <c r="E64" s="58" t="s">
        <v>92</v>
      </c>
      <c r="F64" s="6"/>
      <c r="G64" s="58"/>
      <c r="I64" s="1"/>
      <c r="J64" s="1"/>
      <c r="K64" s="1"/>
    </row>
    <row r="65" spans="1:11" hidden="1" x14ac:dyDescent="0.35">
      <c r="A65" s="1" t="s">
        <v>83</v>
      </c>
      <c r="B65" s="6"/>
      <c r="C65" s="55"/>
      <c r="D65" s="6"/>
      <c r="E65" s="58"/>
      <c r="F65" s="6"/>
      <c r="G65" s="58"/>
      <c r="I65" s="1"/>
      <c r="J65" s="1"/>
      <c r="K65" s="1"/>
    </row>
    <row r="66" spans="1:11" hidden="1" x14ac:dyDescent="0.35">
      <c r="A66" s="1" t="s">
        <v>84</v>
      </c>
      <c r="B66" s="6">
        <v>7.5</v>
      </c>
      <c r="C66" s="56" t="s">
        <v>95</v>
      </c>
      <c r="D66" s="6">
        <v>8</v>
      </c>
      <c r="E66" s="58" t="s">
        <v>101</v>
      </c>
      <c r="F66" s="6">
        <v>7</v>
      </c>
      <c r="G66" s="58" t="s">
        <v>108</v>
      </c>
      <c r="I66" s="1"/>
      <c r="J66" s="1"/>
      <c r="K66" s="1"/>
    </row>
    <row r="67" spans="1:11" ht="15" hidden="1" thickBot="1" x14ac:dyDescent="0.4">
      <c r="A67" s="1" t="s">
        <v>85</v>
      </c>
      <c r="B67" s="28">
        <v>21</v>
      </c>
      <c r="C67" s="57" t="s">
        <v>96</v>
      </c>
      <c r="D67" s="28">
        <v>21</v>
      </c>
      <c r="E67" s="59" t="s">
        <v>96</v>
      </c>
      <c r="F67" s="28"/>
      <c r="G67" s="59"/>
      <c r="I67" s="1"/>
      <c r="J67" s="1"/>
      <c r="K67" s="1"/>
    </row>
    <row r="68" spans="1:11" hidden="1" x14ac:dyDescent="0.35">
      <c r="I68" s="1"/>
      <c r="J68" s="1"/>
      <c r="K68" s="1"/>
    </row>
    <row r="69" spans="1:11" hidden="1" x14ac:dyDescent="0.35">
      <c r="I69" s="1"/>
      <c r="J69" s="1"/>
      <c r="K69" s="1"/>
    </row>
    <row r="70" spans="1:11" ht="29" hidden="1" x14ac:dyDescent="0.35">
      <c r="A70" s="118" t="s">
        <v>144</v>
      </c>
      <c r="B70" s="118"/>
      <c r="C70" s="103">
        <v>5977.4</v>
      </c>
      <c r="I70" s="1"/>
      <c r="J70" s="1"/>
      <c r="K70" s="1"/>
    </row>
    <row r="71" spans="1:11" hidden="1" x14ac:dyDescent="0.35">
      <c r="A71" s="92"/>
      <c r="B71" s="92"/>
      <c r="I71" s="1"/>
      <c r="J71" s="1"/>
      <c r="K71" s="1"/>
    </row>
    <row r="72" spans="1:11" hidden="1" x14ac:dyDescent="0.35">
      <c r="A72" s="92"/>
      <c r="B72" s="92"/>
    </row>
    <row r="73" spans="1:11" hidden="1" x14ac:dyDescent="0.35">
      <c r="A73" s="92"/>
      <c r="B73" s="92"/>
      <c r="C73" s="2" t="s">
        <v>161</v>
      </c>
    </row>
    <row r="74" spans="1:11" hidden="1" x14ac:dyDescent="0.35">
      <c r="A74" s="128" t="s">
        <v>145</v>
      </c>
      <c r="B74" s="128"/>
      <c r="C74" s="24">
        <v>32.917329000000002</v>
      </c>
    </row>
    <row r="75" spans="1:11" hidden="1" x14ac:dyDescent="0.35">
      <c r="A75" s="128" t="s">
        <v>146</v>
      </c>
      <c r="B75" s="128"/>
      <c r="C75" s="24">
        <v>32.624688999999996</v>
      </c>
    </row>
    <row r="76" spans="1:11" hidden="1" x14ac:dyDescent="0.35">
      <c r="A76" s="128" t="s">
        <v>147</v>
      </c>
      <c r="B76" s="128"/>
      <c r="C76" s="24">
        <v>32.369328000000003</v>
      </c>
    </row>
    <row r="77" spans="1:11" hidden="1" x14ac:dyDescent="0.35">
      <c r="A77" s="128" t="s">
        <v>148</v>
      </c>
      <c r="B77" s="128"/>
      <c r="C77" s="24">
        <v>32.298827000000003</v>
      </c>
    </row>
    <row r="78" spans="1:11" hidden="1" x14ac:dyDescent="0.35">
      <c r="A78" s="128" t="s">
        <v>149</v>
      </c>
      <c r="B78" s="128"/>
      <c r="C78" s="24">
        <v>32.54186</v>
      </c>
    </row>
    <row r="79" spans="1:11" hidden="1" x14ac:dyDescent="0.35">
      <c r="A79" s="128" t="s">
        <v>150</v>
      </c>
      <c r="B79" s="128"/>
      <c r="C79" s="24">
        <v>32.497407000000003</v>
      </c>
    </row>
    <row r="80" spans="1:11" hidden="1" x14ac:dyDescent="0.35">
      <c r="A80" s="128" t="s">
        <v>151</v>
      </c>
      <c r="B80" s="128"/>
      <c r="C80" s="24">
        <v>32.115820999999997</v>
      </c>
    </row>
    <row r="81" spans="1:3" hidden="1" x14ac:dyDescent="0.35">
      <c r="A81" s="128" t="s">
        <v>152</v>
      </c>
      <c r="B81" s="128"/>
      <c r="C81" s="24">
        <v>32.011715000000002</v>
      </c>
    </row>
    <row r="82" spans="1:3" hidden="1" x14ac:dyDescent="0.35">
      <c r="A82" s="128" t="s">
        <v>153</v>
      </c>
      <c r="B82" s="128"/>
      <c r="C82" s="24">
        <v>32.194755999999998</v>
      </c>
    </row>
    <row r="83" spans="1:3" hidden="1" x14ac:dyDescent="0.35">
      <c r="A83" s="128" t="s">
        <v>154</v>
      </c>
      <c r="B83" s="128"/>
      <c r="C83" s="24">
        <v>32.462848000000001</v>
      </c>
    </row>
    <row r="84" spans="1:3" hidden="1" x14ac:dyDescent="0.35">
      <c r="A84" s="128" t="s">
        <v>155</v>
      </c>
      <c r="B84" s="128"/>
      <c r="C84" s="24">
        <v>32.788156000000001</v>
      </c>
    </row>
    <row r="85" spans="1:3" hidden="1" x14ac:dyDescent="0.35">
      <c r="A85" s="128" t="s">
        <v>156</v>
      </c>
      <c r="B85" s="128"/>
      <c r="C85" s="24">
        <v>32.891596</v>
      </c>
    </row>
    <row r="86" spans="1:3" hidden="1" x14ac:dyDescent="0.35">
      <c r="A86" s="127" t="s">
        <v>159</v>
      </c>
      <c r="B86" s="127"/>
      <c r="C86" s="91">
        <f>AVERAGE(C74:C85)</f>
        <v>32.476194333333332</v>
      </c>
    </row>
    <row r="87" spans="1:3" hidden="1" x14ac:dyDescent="0.35"/>
  </sheetData>
  <mergeCells count="4">
    <mergeCell ref="B42:D42"/>
    <mergeCell ref="D62:E62"/>
    <mergeCell ref="F62:G62"/>
    <mergeCell ref="B62:C6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94"/>
  <sheetViews>
    <sheetView workbookViewId="0">
      <selection activeCell="C5" sqref="C5"/>
    </sheetView>
  </sheetViews>
  <sheetFormatPr defaultColWidth="9.08984375" defaultRowHeight="14.5" x14ac:dyDescent="0.35"/>
  <cols>
    <col min="1" max="1" width="16.6328125" style="1" customWidth="1"/>
    <col min="2" max="2" width="10.08984375" style="1" customWidth="1"/>
    <col min="3" max="3" width="13.6328125" style="2" customWidth="1"/>
    <col min="4" max="4" width="17.54296875" style="1" customWidth="1"/>
    <col min="5" max="5" width="10.36328125" style="2" customWidth="1"/>
    <col min="6" max="6" width="16.6328125" style="1" customWidth="1"/>
    <col min="7" max="7" width="9.90625" style="1" customWidth="1"/>
    <col min="8" max="8" width="19.453125" style="1" customWidth="1"/>
    <col min="9" max="9" width="15.54296875" style="92" bestFit="1" customWidth="1"/>
    <col min="10" max="10" width="15.54296875" style="91" customWidth="1"/>
    <col min="11" max="11" width="17.90625" style="92" customWidth="1"/>
    <col min="12" max="14" width="14.54296875" style="2" customWidth="1"/>
    <col min="15" max="15" width="11.90625" style="91" hidden="1" customWidth="1"/>
    <col min="16" max="16" width="8.6328125" style="69" hidden="1" customWidth="1"/>
    <col min="17" max="17" width="18.6328125" style="2" hidden="1" customWidth="1"/>
    <col min="18" max="18" width="22.36328125" style="2" hidden="1" customWidth="1"/>
    <col min="19" max="19" width="12.90625" style="2" hidden="1" customWidth="1"/>
    <col min="20" max="20" width="21.453125" style="2" hidden="1" customWidth="1"/>
    <col min="21" max="22" width="14.54296875" style="2" hidden="1" customWidth="1"/>
    <col min="23" max="23" width="19.453125" style="2" hidden="1" customWidth="1"/>
    <col min="24" max="25" width="0" style="2" hidden="1" customWidth="1"/>
    <col min="26" max="27" width="0" style="1" hidden="1" customWidth="1"/>
    <col min="28" max="28" width="14" style="1" hidden="1" customWidth="1"/>
    <col min="29" max="30" width="0" style="1" hidden="1" customWidth="1"/>
    <col min="31" max="16384" width="9.08984375" style="1"/>
  </cols>
  <sheetData>
    <row r="1" spans="1:28" ht="43.5" x14ac:dyDescent="0.35">
      <c r="A1" s="1" t="s">
        <v>0</v>
      </c>
      <c r="B1" s="1" t="s">
        <v>19</v>
      </c>
      <c r="H1" s="9">
        <f>SUM(I2/$G$3)</f>
        <v>0.875</v>
      </c>
      <c r="I1" s="92" t="s">
        <v>131</v>
      </c>
      <c r="J1" s="24" t="s">
        <v>216</v>
      </c>
      <c r="K1" s="109" t="s">
        <v>127</v>
      </c>
      <c r="L1" s="83" t="s">
        <v>128</v>
      </c>
      <c r="M1" s="83" t="s">
        <v>129</v>
      </c>
      <c r="N1" s="93" t="s">
        <v>130</v>
      </c>
      <c r="O1" s="88" t="s">
        <v>15</v>
      </c>
      <c r="P1" s="72" t="s">
        <v>119</v>
      </c>
      <c r="Q1" s="72" t="s">
        <v>122</v>
      </c>
      <c r="R1" s="72" t="s">
        <v>123</v>
      </c>
      <c r="S1" s="72" t="s">
        <v>25</v>
      </c>
      <c r="T1" s="221" t="s">
        <v>124</v>
      </c>
      <c r="U1" s="4" t="s">
        <v>125</v>
      </c>
      <c r="V1" s="222" t="s">
        <v>126</v>
      </c>
      <c r="W1" s="97" t="s">
        <v>134</v>
      </c>
      <c r="X1" s="4" t="s">
        <v>16</v>
      </c>
      <c r="Y1" s="222" t="s">
        <v>17</v>
      </c>
    </row>
    <row r="2" spans="1:28" ht="19" thickBot="1" x14ac:dyDescent="0.4">
      <c r="A2" s="1" t="s">
        <v>137</v>
      </c>
      <c r="B2" s="52">
        <v>2</v>
      </c>
      <c r="C2" s="2" t="s">
        <v>138</v>
      </c>
      <c r="F2" s="2" t="s">
        <v>21</v>
      </c>
      <c r="H2" s="2" t="s">
        <v>6</v>
      </c>
      <c r="I2" s="94">
        <v>7</v>
      </c>
      <c r="J2" s="181">
        <f>H1*F3*D6*B12</f>
        <v>8.3825748406358442E-3</v>
      </c>
      <c r="K2" s="110">
        <f>(L2*(T2+N2)+(M2*(T2+N2+N2)))</f>
        <v>944.55</v>
      </c>
      <c r="L2" s="84">
        <v>0.55000000000000004</v>
      </c>
      <c r="M2" s="84">
        <v>0.45</v>
      </c>
      <c r="N2" s="86">
        <f>$B$4</f>
        <v>139</v>
      </c>
      <c r="O2" s="89">
        <f>(S2*Q2)+(S7*R2)</f>
        <v>0.86487671232876717</v>
      </c>
      <c r="P2" s="74">
        <v>8.5</v>
      </c>
      <c r="Q2" s="75">
        <f>P2/365</f>
        <v>2.3287671232876714E-2</v>
      </c>
      <c r="R2" s="75">
        <f>1-Q2</f>
        <v>0.97671232876712333</v>
      </c>
      <c r="S2" s="76">
        <f>IF(B2=1, C45, IF(B2=2, C46, IF(B2=3, C47, IF(B2=6, C50, IF(B2=7, C51, IF(B2=8, C52, 0))))))</f>
        <v>0.65</v>
      </c>
      <c r="T2" s="32">
        <v>743</v>
      </c>
      <c r="U2" s="8">
        <v>602</v>
      </c>
      <c r="V2" s="7">
        <v>1022</v>
      </c>
      <c r="W2" s="6">
        <v>828</v>
      </c>
      <c r="X2" s="8">
        <f>W2-Z2</f>
        <v>496.40137130955986</v>
      </c>
      <c r="Y2" s="7">
        <f>W2+Z2</f>
        <v>1159.5986286904401</v>
      </c>
      <c r="Z2" s="1">
        <f>CONFIDENCE(0.05, 447.6243, 7)</f>
        <v>331.59862869044014</v>
      </c>
    </row>
    <row r="3" spans="1:28" ht="15" thickBot="1" x14ac:dyDescent="0.4">
      <c r="F3" s="9">
        <f>SUM(G3/E5)</f>
        <v>4.9382716049382713E-2</v>
      </c>
      <c r="G3" s="5">
        <v>8</v>
      </c>
      <c r="J3" s="24"/>
      <c r="K3" s="110"/>
      <c r="L3" s="84"/>
      <c r="M3" s="84"/>
      <c r="N3" s="86"/>
      <c r="O3" s="89"/>
      <c r="P3" s="74"/>
      <c r="Q3" s="75"/>
      <c r="R3" s="75"/>
      <c r="S3" s="76"/>
      <c r="T3" s="6"/>
      <c r="U3" s="8"/>
      <c r="V3" s="7"/>
      <c r="W3" s="6"/>
      <c r="X3" s="8"/>
      <c r="Y3" s="7"/>
      <c r="AA3" s="11"/>
      <c r="AB3" s="1" t="s">
        <v>10</v>
      </c>
    </row>
    <row r="4" spans="1:28" x14ac:dyDescent="0.35">
      <c r="A4" s="1" t="s">
        <v>258</v>
      </c>
      <c r="B4" s="1">
        <f>139*C4</f>
        <v>139</v>
      </c>
      <c r="C4" s="2">
        <v>1</v>
      </c>
      <c r="G4" s="12">
        <f>(H1*K2+H5*K5)</f>
        <v>1964.0500000000002</v>
      </c>
      <c r="H4" s="2" t="s">
        <v>7</v>
      </c>
      <c r="J4" s="24"/>
      <c r="K4" s="110"/>
      <c r="L4" s="84"/>
      <c r="M4" s="84"/>
      <c r="N4" s="86"/>
      <c r="O4" s="89"/>
      <c r="P4" s="74"/>
      <c r="Q4" s="75"/>
      <c r="R4" s="75"/>
      <c r="S4" s="76"/>
      <c r="T4" s="6"/>
      <c r="U4" s="8"/>
      <c r="V4" s="7"/>
      <c r="W4" s="6"/>
      <c r="X4" s="8"/>
      <c r="Y4" s="7"/>
      <c r="AA4" s="13"/>
      <c r="AB4" s="1" t="s">
        <v>11</v>
      </c>
    </row>
    <row r="5" spans="1:28" x14ac:dyDescent="0.35">
      <c r="D5" s="2" t="s">
        <v>23</v>
      </c>
      <c r="E5" s="14">
        <v>162</v>
      </c>
      <c r="G5" s="15">
        <f>(H1*I2)+(H5*I5)</f>
        <v>6.25</v>
      </c>
      <c r="H5" s="2">
        <f>SUM(I5/$G$3)</f>
        <v>0.125</v>
      </c>
      <c r="I5" s="94">
        <v>1</v>
      </c>
      <c r="J5" s="181">
        <f>H5*F3*D6*B12</f>
        <v>1.1975106915194061E-3</v>
      </c>
      <c r="K5" s="110">
        <f>(L5*(T5+N5)+(M5*(T5+N5+N5)))</f>
        <v>9100.5500000000011</v>
      </c>
      <c r="L5" s="84">
        <v>0.55000000000000004</v>
      </c>
      <c r="M5" s="84">
        <v>0.45</v>
      </c>
      <c r="N5" s="86">
        <f>$B$4</f>
        <v>139</v>
      </c>
      <c r="O5" s="89">
        <f>(Q5*S5)+(R5*S7)</f>
        <v>0.86087671232876717</v>
      </c>
      <c r="P5" s="74">
        <v>9</v>
      </c>
      <c r="Q5" s="75">
        <f>P5/365</f>
        <v>2.4657534246575342E-2</v>
      </c>
      <c r="R5" s="75">
        <f>1-Q5</f>
        <v>0.97534246575342465</v>
      </c>
      <c r="S5" s="76">
        <f>IF(B2=1, D45, IF(B2=2, D46, IF(B2=3, D47, IF(B2=6, D50, IF(B2=7, D51, IF(B2=8, D52, 0))))))</f>
        <v>0.5</v>
      </c>
      <c r="T5" s="32">
        <v>8899</v>
      </c>
      <c r="U5" s="8">
        <v>8899</v>
      </c>
      <c r="V5" s="7">
        <v>8899</v>
      </c>
      <c r="W5" s="6">
        <v>8899</v>
      </c>
      <c r="X5" s="8"/>
      <c r="Y5" s="7"/>
      <c r="AA5" s="5"/>
      <c r="AB5" s="1" t="s">
        <v>12</v>
      </c>
    </row>
    <row r="6" spans="1:28" ht="15" thickBot="1" x14ac:dyDescent="0.4">
      <c r="D6" s="9">
        <f>1-D13</f>
        <v>0.66700000000000004</v>
      </c>
      <c r="E6" s="16">
        <f>(F3*G4+F6*G8)</f>
        <v>288.58703703703708</v>
      </c>
      <c r="F6" s="9">
        <f>SUM(G7/E5)</f>
        <v>0.95061728395061729</v>
      </c>
      <c r="J6" s="24"/>
      <c r="K6" s="110"/>
      <c r="L6" s="84"/>
      <c r="M6" s="84"/>
      <c r="N6" s="86"/>
      <c r="O6" s="89"/>
      <c r="P6" s="74"/>
      <c r="Q6" s="75"/>
      <c r="R6" s="75"/>
      <c r="S6" s="76"/>
      <c r="T6" s="6"/>
      <c r="U6" s="8"/>
      <c r="V6" s="7"/>
      <c r="W6" s="6"/>
      <c r="X6" s="8"/>
      <c r="Y6" s="7"/>
      <c r="AA6" s="15"/>
      <c r="AB6" s="1" t="s">
        <v>15</v>
      </c>
    </row>
    <row r="7" spans="1:28" ht="15" thickBot="1" x14ac:dyDescent="0.4">
      <c r="C7" s="14">
        <v>267</v>
      </c>
      <c r="E7" s="17">
        <f>(F3*G5)+(F6*G9)</f>
        <v>0.30864197530864196</v>
      </c>
      <c r="F7" s="2" t="s">
        <v>22</v>
      </c>
      <c r="G7" s="18">
        <v>154</v>
      </c>
      <c r="H7" s="2">
        <f>SUM(I11/$G$13)</f>
        <v>1</v>
      </c>
      <c r="J7" s="24">
        <f>H7*F6*D6*B12</f>
        <v>0.18441664649398859</v>
      </c>
      <c r="K7" s="110">
        <f>(L7*(T7+N7)+(M7*(T7+N7+N7)))</f>
        <v>201.55</v>
      </c>
      <c r="L7" s="84">
        <v>0.55000000000000004</v>
      </c>
      <c r="M7" s="84">
        <v>0.45</v>
      </c>
      <c r="N7" s="86">
        <f>$B$4</f>
        <v>139</v>
      </c>
      <c r="O7" s="89">
        <f>(R7*S7)</f>
        <v>0.87</v>
      </c>
      <c r="P7" s="74">
        <v>0</v>
      </c>
      <c r="Q7" s="75">
        <f>P7/365</f>
        <v>0</v>
      </c>
      <c r="R7" s="75">
        <f>1-Q7</f>
        <v>1</v>
      </c>
      <c r="S7" s="76">
        <f>IF(B2=1, B45, IF(B2=2, B46, IF(B2=3, B47, IF(B2=6, B50, IF(B2=7, B51, IF(B2=8, B52, 0))))))</f>
        <v>0.87</v>
      </c>
      <c r="T7" s="32">
        <v>0</v>
      </c>
      <c r="U7" s="8"/>
      <c r="V7" s="7"/>
      <c r="W7" s="6"/>
      <c r="X7" s="8"/>
      <c r="Y7" s="7"/>
    </row>
    <row r="8" spans="1:28" x14ac:dyDescent="0.35">
      <c r="B8" s="31">
        <f>C8/31.1</f>
        <v>8.6767658517497761</v>
      </c>
      <c r="C8" s="16">
        <f>(D6*E6+D13*E16)</f>
        <v>269.84741798941803</v>
      </c>
      <c r="D8" s="1" t="s">
        <v>120</v>
      </c>
      <c r="E8" s="19"/>
      <c r="G8" s="20">
        <f>K7</f>
        <v>201.55</v>
      </c>
      <c r="H8" s="2"/>
      <c r="J8" s="24"/>
      <c r="K8" s="110"/>
      <c r="L8" s="84"/>
      <c r="M8" s="84"/>
      <c r="N8" s="86"/>
      <c r="O8" s="89"/>
      <c r="P8" s="74"/>
      <c r="Q8" s="75"/>
      <c r="R8" s="75"/>
      <c r="S8" s="76"/>
      <c r="T8" s="32"/>
      <c r="U8" s="8"/>
      <c r="V8" s="7"/>
      <c r="W8" s="6"/>
      <c r="X8" s="8"/>
      <c r="Y8" s="7"/>
    </row>
    <row r="9" spans="1:28" x14ac:dyDescent="0.35">
      <c r="C9" s="239">
        <f>(D6*E7)+(D13*E17)</f>
        <v>0.21854991181657848</v>
      </c>
      <c r="D9" s="1" t="s">
        <v>121</v>
      </c>
      <c r="E9" s="19"/>
      <c r="G9" s="70">
        <f>I7</f>
        <v>0</v>
      </c>
      <c r="H9" s="2"/>
      <c r="J9" s="24"/>
      <c r="K9" s="110"/>
      <c r="L9" s="84"/>
      <c r="M9" s="84"/>
      <c r="N9" s="86"/>
      <c r="O9" s="89"/>
      <c r="P9" s="74"/>
      <c r="Q9" s="75"/>
      <c r="R9" s="75"/>
      <c r="S9" s="76"/>
      <c r="T9" s="32"/>
      <c r="U9" s="8"/>
      <c r="V9" s="7"/>
      <c r="W9" s="6"/>
      <c r="X9" s="8"/>
      <c r="Y9" s="7"/>
    </row>
    <row r="10" spans="1:28" x14ac:dyDescent="0.35">
      <c r="E10" s="19"/>
      <c r="G10" s="21"/>
      <c r="H10" s="2" t="s">
        <v>6</v>
      </c>
      <c r="J10" s="24"/>
      <c r="K10" s="110"/>
      <c r="L10" s="84"/>
      <c r="M10" s="84"/>
      <c r="N10" s="86"/>
      <c r="O10" s="89"/>
      <c r="P10" s="74"/>
      <c r="Q10" s="75"/>
      <c r="R10" s="75"/>
      <c r="S10" s="76"/>
      <c r="T10" s="32"/>
      <c r="U10" s="8"/>
      <c r="V10" s="7"/>
      <c r="W10" s="6"/>
      <c r="X10" s="8"/>
      <c r="Y10" s="7"/>
    </row>
    <row r="11" spans="1:28" x14ac:dyDescent="0.35">
      <c r="C11" s="27"/>
      <c r="H11" s="2">
        <f>I11/G13</f>
        <v>1</v>
      </c>
      <c r="I11" s="94">
        <v>2</v>
      </c>
      <c r="J11" s="181">
        <f>H11*F13*D13*B12</f>
        <v>1.8448179271708688E-3</v>
      </c>
      <c r="K11" s="110">
        <f>(L11*(T11+N11)+(M11*(T11+N11+N11)))</f>
        <v>1816.5500000000002</v>
      </c>
      <c r="L11" s="84">
        <v>0.55000000000000004</v>
      </c>
      <c r="M11" s="84">
        <v>0.45</v>
      </c>
      <c r="N11" s="86">
        <f>$B$4</f>
        <v>139</v>
      </c>
      <c r="O11" s="89">
        <f>(Q11*S11)+(R11*S7)</f>
        <v>0.86487671232876717</v>
      </c>
      <c r="P11" s="74">
        <v>8.5</v>
      </c>
      <c r="Q11" s="75">
        <f>P11/365</f>
        <v>2.3287671232876714E-2</v>
      </c>
      <c r="R11" s="75">
        <f>1-Q11</f>
        <v>0.97671232876712333</v>
      </c>
      <c r="S11" s="76">
        <f>IF(B2=1, C45, IF(B2=2, C46, IF(B2=3, C47, IF(B2=6, C50, IF(B2=7, C51, IF(B2=8, C52, 0))))))</f>
        <v>0.65</v>
      </c>
      <c r="T11" s="32">
        <v>1615</v>
      </c>
      <c r="U11" s="8">
        <v>490</v>
      </c>
      <c r="V11" s="7">
        <v>2740</v>
      </c>
      <c r="W11" s="6">
        <v>1615</v>
      </c>
      <c r="X11" s="8">
        <f>W11-Z11</f>
        <v>-589.95912550209323</v>
      </c>
      <c r="Y11" s="7">
        <f>W11+Z11</f>
        <v>3819.9591255020932</v>
      </c>
      <c r="Z11" s="1">
        <f>CONFIDENCE(0.05, 1590.99, 2)</f>
        <v>2204.9591255020932</v>
      </c>
    </row>
    <row r="12" spans="1:28" x14ac:dyDescent="0.35">
      <c r="B12" s="1">
        <f>C7/(C7+C27)</f>
        <v>0.2908496732026144</v>
      </c>
      <c r="C12" s="1"/>
      <c r="D12" s="1" t="s">
        <v>243</v>
      </c>
      <c r="G12" s="22"/>
      <c r="I12" s="95"/>
      <c r="J12" s="129"/>
      <c r="K12" s="110"/>
      <c r="L12" s="84"/>
      <c r="M12" s="84"/>
      <c r="N12" s="86"/>
      <c r="O12" s="89"/>
      <c r="P12" s="74"/>
      <c r="Q12" s="75"/>
      <c r="R12" s="75"/>
      <c r="S12" s="76"/>
      <c r="T12" s="32"/>
      <c r="U12" s="8"/>
      <c r="V12" s="7"/>
      <c r="W12" s="6"/>
      <c r="X12" s="8"/>
      <c r="Y12" s="7"/>
    </row>
    <row r="13" spans="1:28" x14ac:dyDescent="0.35">
      <c r="C13" s="1"/>
      <c r="D13" s="9">
        <v>0.33300000000000002</v>
      </c>
      <c r="F13" s="9">
        <f>SUM(G13/E15)</f>
        <v>1.9047619047619049E-2</v>
      </c>
      <c r="G13" s="5">
        <v>2</v>
      </c>
      <c r="J13" s="24"/>
      <c r="K13" s="110"/>
      <c r="L13" s="84"/>
      <c r="M13" s="84"/>
      <c r="N13" s="86"/>
      <c r="O13" s="89"/>
      <c r="P13" s="74"/>
      <c r="Q13" s="75"/>
      <c r="R13" s="75"/>
      <c r="S13" s="76"/>
      <c r="T13" s="6"/>
      <c r="U13" s="8"/>
      <c r="V13" s="7"/>
      <c r="W13" s="6"/>
      <c r="X13" s="8"/>
      <c r="Y13" s="7"/>
    </row>
    <row r="14" spans="1:28" x14ac:dyDescent="0.35">
      <c r="D14" s="2" t="s">
        <v>24</v>
      </c>
      <c r="F14" s="2" t="s">
        <v>21</v>
      </c>
      <c r="G14" s="12">
        <f>(H11*K11+H15*K15)</f>
        <v>1816.5500000000002</v>
      </c>
      <c r="H14" s="2" t="s">
        <v>7</v>
      </c>
      <c r="J14" s="24"/>
      <c r="K14" s="110"/>
      <c r="L14" s="84"/>
      <c r="M14" s="84"/>
      <c r="N14" s="86"/>
      <c r="O14" s="89"/>
      <c r="P14" s="74"/>
      <c r="Q14" s="75"/>
      <c r="R14" s="75"/>
      <c r="S14" s="76"/>
      <c r="T14" s="6"/>
      <c r="U14" s="8"/>
      <c r="V14" s="7"/>
      <c r="W14" s="6"/>
      <c r="X14" s="8"/>
      <c r="Y14" s="7"/>
    </row>
    <row r="15" spans="1:28" x14ac:dyDescent="0.35">
      <c r="B15" s="1" t="s">
        <v>1</v>
      </c>
      <c r="C15" s="25"/>
      <c r="E15" s="14">
        <v>105</v>
      </c>
      <c r="G15" s="15">
        <f>(H11*I11)+(H15*I15)</f>
        <v>2</v>
      </c>
      <c r="H15" s="2">
        <f>SUM(I15/$G$13)</f>
        <v>0</v>
      </c>
      <c r="I15" s="94">
        <v>0</v>
      </c>
      <c r="J15" s="181">
        <f>H15*F13*D13*B12</f>
        <v>0</v>
      </c>
      <c r="K15" s="110">
        <f>(L15*(T15+N15)+(M15*(T15+N15+N15)))</f>
        <v>201.55</v>
      </c>
      <c r="L15" s="84">
        <v>0.55000000000000004</v>
      </c>
      <c r="M15" s="84">
        <v>0.45</v>
      </c>
      <c r="N15" s="86">
        <f>$B$4</f>
        <v>139</v>
      </c>
      <c r="O15" s="89">
        <f>(Q15*S15)+(R15*S7)</f>
        <v>0.87</v>
      </c>
      <c r="P15" s="74">
        <v>0</v>
      </c>
      <c r="Q15" s="75">
        <f>P15/365</f>
        <v>0</v>
      </c>
      <c r="R15" s="75">
        <f>1-Q15</f>
        <v>1</v>
      </c>
      <c r="S15" s="76">
        <f>IF($B$2=1, D45, IF(B2=2, D46, IF(B2=3, D47, IF(B2=6, D50, IF(B2=7, D51, IF(B2=8, D51, 0))))))</f>
        <v>0.5</v>
      </c>
      <c r="T15" s="32">
        <v>0</v>
      </c>
      <c r="U15" s="8"/>
      <c r="V15" s="7"/>
      <c r="W15" s="6"/>
      <c r="X15" s="8"/>
      <c r="Y15" s="7"/>
    </row>
    <row r="16" spans="1:28" ht="15" thickBot="1" x14ac:dyDescent="0.4">
      <c r="E16" s="16">
        <f>(F13*G14+F16*G18)</f>
        <v>232.31190476190477</v>
      </c>
      <c r="F16" s="9">
        <f>SUM(G17/E15)</f>
        <v>0.98095238095238091</v>
      </c>
      <c r="J16" s="24"/>
      <c r="K16" s="110"/>
      <c r="L16" s="84"/>
      <c r="M16" s="84"/>
      <c r="N16" s="86"/>
      <c r="O16" s="89"/>
      <c r="P16" s="74"/>
      <c r="Q16" s="75"/>
      <c r="R16" s="75"/>
      <c r="S16" s="76"/>
      <c r="T16" s="6"/>
      <c r="U16" s="8"/>
      <c r="V16" s="7"/>
      <c r="W16" s="6"/>
      <c r="X16" s="8"/>
      <c r="Y16" s="7"/>
    </row>
    <row r="17" spans="1:26" ht="15" thickBot="1" x14ac:dyDescent="0.4">
      <c r="E17" s="17">
        <f>(F13*G15)+(F16*G19)</f>
        <v>3.8095238095238099E-2</v>
      </c>
      <c r="F17" s="2" t="s">
        <v>22</v>
      </c>
      <c r="G17" s="18">
        <v>103</v>
      </c>
      <c r="H17" s="24">
        <f>SUM(I21/$G$23)</f>
        <v>0.87878787878787878</v>
      </c>
      <c r="J17" s="24">
        <f>F16*D13*B12</f>
        <v>9.5008123249299734E-2</v>
      </c>
      <c r="K17" s="110">
        <f>(L17*(T17+N17)+(M17*(T17+N17+N17)))</f>
        <v>201.55</v>
      </c>
      <c r="L17" s="84">
        <v>0.55000000000000004</v>
      </c>
      <c r="M17" s="84">
        <v>0.45</v>
      </c>
      <c r="N17" s="86">
        <f>$B$4</f>
        <v>139</v>
      </c>
      <c r="O17" s="89">
        <f>(R17*S17)</f>
        <v>0.87</v>
      </c>
      <c r="P17" s="74">
        <v>0</v>
      </c>
      <c r="Q17" s="75">
        <f>P17/365</f>
        <v>0</v>
      </c>
      <c r="R17" s="75">
        <f>1-Q17</f>
        <v>1</v>
      </c>
      <c r="S17" s="76">
        <f>IF($B$2=1, B45, IF(B2=2, B46, IF(B2=3, B47, IF(B2=6, B50, IF(B2=7, B51, IF(B2=8, B52, 0))))))</f>
        <v>0.87</v>
      </c>
      <c r="T17" s="32">
        <v>0</v>
      </c>
      <c r="U17" s="8"/>
      <c r="V17" s="7"/>
      <c r="W17" s="6"/>
      <c r="X17" s="8"/>
      <c r="Y17" s="7"/>
    </row>
    <row r="18" spans="1:26" x14ac:dyDescent="0.35">
      <c r="C18" s="25"/>
      <c r="E18" s="26"/>
      <c r="G18" s="20">
        <f>K17</f>
        <v>201.55</v>
      </c>
      <c r="H18" s="24"/>
      <c r="J18" s="24"/>
      <c r="K18" s="121"/>
      <c r="L18" s="84"/>
      <c r="M18" s="84"/>
      <c r="N18" s="86"/>
      <c r="O18" s="89"/>
      <c r="P18" s="74"/>
      <c r="Q18" s="75"/>
      <c r="R18" s="75"/>
      <c r="S18" s="76"/>
      <c r="T18" s="32"/>
      <c r="U18" s="8"/>
      <c r="V18" s="7"/>
      <c r="W18" s="6"/>
      <c r="X18" s="8"/>
      <c r="Y18" s="7"/>
    </row>
    <row r="19" spans="1:26" x14ac:dyDescent="0.35">
      <c r="C19" s="25"/>
      <c r="E19" s="26"/>
      <c r="G19" s="70">
        <f>I17</f>
        <v>0</v>
      </c>
      <c r="H19" s="24"/>
      <c r="J19" s="24"/>
      <c r="K19" s="121"/>
      <c r="L19" s="84"/>
      <c r="M19" s="84"/>
      <c r="N19" s="86"/>
      <c r="O19" s="89"/>
      <c r="P19" s="74"/>
      <c r="Q19" s="75"/>
      <c r="R19" s="75"/>
      <c r="S19" s="76"/>
      <c r="T19" s="32"/>
      <c r="U19" s="8"/>
      <c r="V19" s="7"/>
      <c r="W19" s="6"/>
      <c r="X19" s="8"/>
      <c r="Y19" s="7"/>
    </row>
    <row r="20" spans="1:26" x14ac:dyDescent="0.35">
      <c r="C20" s="25"/>
      <c r="E20" s="26"/>
      <c r="G20" s="21"/>
      <c r="H20" s="24"/>
      <c r="J20" s="24"/>
      <c r="K20" s="121"/>
      <c r="L20" s="84"/>
      <c r="M20" s="84"/>
      <c r="N20" s="86"/>
      <c r="O20" s="89"/>
      <c r="P20" s="74"/>
      <c r="Q20" s="75"/>
      <c r="R20" s="75"/>
      <c r="S20" s="76"/>
      <c r="T20" s="32"/>
      <c r="U20" s="8"/>
      <c r="V20" s="7"/>
      <c r="W20" s="6"/>
      <c r="X20" s="8"/>
      <c r="Y20" s="7"/>
    </row>
    <row r="21" spans="1:26" ht="15" customHeight="1" x14ac:dyDescent="0.35">
      <c r="A21" s="1" t="s">
        <v>8</v>
      </c>
      <c r="H21" s="2" t="s">
        <v>6</v>
      </c>
      <c r="I21" s="94">
        <v>29</v>
      </c>
      <c r="J21" s="181">
        <f>H22*F23*D26*B24</f>
        <v>3.1592838721074018E-2</v>
      </c>
      <c r="K21" s="110">
        <f>T21</f>
        <v>870</v>
      </c>
      <c r="L21" s="84">
        <v>0</v>
      </c>
      <c r="M21" s="84">
        <v>0</v>
      </c>
      <c r="N21" s="86">
        <f>$B$4</f>
        <v>139</v>
      </c>
      <c r="O21" s="89">
        <f>(Q21*S21)+(R21*S7)</f>
        <v>0.86457534246575352</v>
      </c>
      <c r="P21" s="74">
        <v>9</v>
      </c>
      <c r="Q21" s="75">
        <f>P21/365</f>
        <v>2.4657534246575342E-2</v>
      </c>
      <c r="R21" s="75">
        <f>1-Q21</f>
        <v>0.97534246575342465</v>
      </c>
      <c r="S21" s="76">
        <f>IF(B2=1, C45, IF(B2=2, C46, IF(B2=3, C47, IF(B2=6, C50, IF(B2=7, C51, IF(B2=8, C52, 0))))))</f>
        <v>0.65</v>
      </c>
      <c r="T21" s="32">
        <v>870</v>
      </c>
      <c r="U21" s="80">
        <v>430</v>
      </c>
      <c r="V21" s="81">
        <v>1025</v>
      </c>
      <c r="W21" s="6">
        <v>1195</v>
      </c>
      <c r="X21" s="8">
        <f>W21-Z21</f>
        <v>666.83516994230376</v>
      </c>
      <c r="Y21" s="7">
        <f>W21+Z21</f>
        <v>1723.1648300576962</v>
      </c>
      <c r="Z21" s="1">
        <f>CONFIDENCE(0.05, 1451.177, 29)</f>
        <v>528.16483005769624</v>
      </c>
    </row>
    <row r="22" spans="1:26" ht="15" customHeight="1" x14ac:dyDescent="0.35">
      <c r="A22" s="1" t="s">
        <v>9</v>
      </c>
      <c r="F22" s="2" t="s">
        <v>21</v>
      </c>
      <c r="G22" s="22"/>
      <c r="H22" s="24">
        <f>I21/G23</f>
        <v>0.87878787878787878</v>
      </c>
      <c r="I22" s="95"/>
      <c r="J22" s="129"/>
      <c r="K22" s="121"/>
      <c r="L22" s="84"/>
      <c r="M22" s="84"/>
      <c r="N22" s="86"/>
      <c r="O22" s="89"/>
      <c r="P22" s="74"/>
      <c r="Q22" s="75"/>
      <c r="R22" s="75"/>
      <c r="S22" s="76"/>
      <c r="T22" s="32"/>
      <c r="U22" s="8"/>
      <c r="V22" s="7"/>
      <c r="W22" s="6"/>
      <c r="X22" s="8"/>
      <c r="Y22" s="7"/>
    </row>
    <row r="23" spans="1:26" x14ac:dyDescent="0.35">
      <c r="A23" s="14">
        <v>918</v>
      </c>
      <c r="F23" s="9">
        <f>SUM(G23/E25)</f>
        <v>8.9189189189189194E-2</v>
      </c>
      <c r="G23" s="5">
        <v>33</v>
      </c>
      <c r="J23" s="24"/>
      <c r="K23" s="121"/>
      <c r="L23" s="84"/>
      <c r="M23" s="84"/>
      <c r="N23" s="86"/>
      <c r="O23" s="89"/>
      <c r="P23" s="74"/>
      <c r="Q23" s="75"/>
      <c r="R23" s="75"/>
      <c r="S23" s="76"/>
      <c r="T23" s="6"/>
      <c r="U23" s="8"/>
      <c r="V23" s="7"/>
      <c r="W23" s="6"/>
      <c r="X23" s="8"/>
      <c r="Y23" s="7"/>
    </row>
    <row r="24" spans="1:26" x14ac:dyDescent="0.35">
      <c r="B24" s="1">
        <f>1-B12</f>
        <v>0.70915032679738554</v>
      </c>
      <c r="G24" s="12">
        <f>(H22*K21+H25*K25)</f>
        <v>1416.3030303030303</v>
      </c>
      <c r="H24" s="2" t="s">
        <v>7</v>
      </c>
      <c r="J24" s="24"/>
      <c r="K24" s="121"/>
      <c r="L24" s="84"/>
      <c r="M24" s="84"/>
      <c r="N24" s="86"/>
      <c r="O24" s="89"/>
      <c r="P24" s="74"/>
      <c r="Q24" s="75"/>
      <c r="R24" s="75"/>
      <c r="S24" s="76"/>
      <c r="T24" s="6"/>
      <c r="U24" s="8"/>
      <c r="V24" s="7"/>
      <c r="W24" s="6"/>
      <c r="X24" s="8"/>
      <c r="Y24" s="7"/>
    </row>
    <row r="25" spans="1:26" x14ac:dyDescent="0.35">
      <c r="B25" s="1" t="s">
        <v>2</v>
      </c>
      <c r="D25" s="2" t="s">
        <v>23</v>
      </c>
      <c r="E25" s="14">
        <v>370</v>
      </c>
      <c r="G25" s="15">
        <f>(H22*I21)+(H25*I25)</f>
        <v>25.969696969696969</v>
      </c>
      <c r="H25" s="24">
        <f>SUM(I25/$G$23)</f>
        <v>0.12121212121212122</v>
      </c>
      <c r="I25" s="94">
        <v>4</v>
      </c>
      <c r="J25" s="181">
        <f>H25*F23*D26*B24</f>
        <v>4.3576329270446921E-3</v>
      </c>
      <c r="K25" s="110">
        <f>T25</f>
        <v>5377</v>
      </c>
      <c r="L25" s="84">
        <v>0</v>
      </c>
      <c r="M25" s="84">
        <v>0</v>
      </c>
      <c r="N25" s="86">
        <f>$B$4</f>
        <v>139</v>
      </c>
      <c r="O25" s="89">
        <f>(Q25*S25)+(R25*S7)</f>
        <v>0.85986301369863005</v>
      </c>
      <c r="P25" s="74">
        <v>10</v>
      </c>
      <c r="Q25" s="75">
        <f>P25/365</f>
        <v>2.7397260273972601E-2</v>
      </c>
      <c r="R25" s="75">
        <f>1-Q25</f>
        <v>0.9726027397260274</v>
      </c>
      <c r="S25" s="76">
        <f>IF(B2=1, D45, IF(B2=2, D46, IF(B2=3, D47, IF(B2=6, D50, IF(B2=7, D51, IF(B2=8, D52, 0))))))</f>
        <v>0.5</v>
      </c>
      <c r="T25" s="32">
        <v>5377</v>
      </c>
      <c r="U25" s="8">
        <v>4489</v>
      </c>
      <c r="V25" s="7">
        <v>6059</v>
      </c>
      <c r="W25" s="6">
        <v>5274</v>
      </c>
      <c r="X25" s="8">
        <f>W25-Z25</f>
        <v>4170.9910684203942</v>
      </c>
      <c r="Y25" s="7">
        <f>W25+Z25</f>
        <v>6377.0089315796058</v>
      </c>
      <c r="Z25" s="1">
        <f>CONFIDENCE(0.05, 1125.54, 4)</f>
        <v>1103.008931579606</v>
      </c>
    </row>
    <row r="26" spans="1:26" ht="15" thickBot="1" x14ac:dyDescent="0.4">
      <c r="D26" s="9">
        <f>1-D32</f>
        <v>0.56840000000000002</v>
      </c>
      <c r="E26" s="16">
        <f>(F23*G24+F26*G28)</f>
        <v>126.31891891891892</v>
      </c>
      <c r="F26" s="9">
        <f>SUM(G27/E25)</f>
        <v>0.91081081081081083</v>
      </c>
      <c r="J26" s="24"/>
      <c r="K26" s="121"/>
      <c r="L26" s="84"/>
      <c r="M26" s="84"/>
      <c r="N26" s="86"/>
      <c r="O26" s="89"/>
      <c r="P26" s="74"/>
      <c r="Q26" s="75"/>
      <c r="R26" s="75"/>
      <c r="S26" s="76"/>
      <c r="T26" s="6"/>
      <c r="U26" s="8"/>
      <c r="V26" s="7"/>
      <c r="W26" s="6"/>
      <c r="X26" s="8"/>
      <c r="Y26" s="7"/>
    </row>
    <row r="27" spans="1:26" ht="15" thickBot="1" x14ac:dyDescent="0.4">
      <c r="C27" s="14">
        <v>651</v>
      </c>
      <c r="E27" s="17">
        <f>(F23*G25)+(F26*G29)</f>
        <v>2.3162162162162163</v>
      </c>
      <c r="F27" s="2" t="s">
        <v>22</v>
      </c>
      <c r="G27" s="18">
        <v>337</v>
      </c>
      <c r="H27" s="2">
        <f>SUM(I31/$G$33)</f>
        <v>0.8125</v>
      </c>
      <c r="J27" s="24">
        <f>F26*D26*B24</f>
        <v>0.36713057410351524</v>
      </c>
      <c r="K27" s="110">
        <f>T27</f>
        <v>0</v>
      </c>
      <c r="L27" s="84">
        <v>0</v>
      </c>
      <c r="M27" s="84">
        <v>0</v>
      </c>
      <c r="N27" s="86">
        <f>$B$4</f>
        <v>139</v>
      </c>
      <c r="O27" s="89">
        <f>(R27*S27)</f>
        <v>0.87</v>
      </c>
      <c r="P27" s="74">
        <v>0</v>
      </c>
      <c r="Q27" s="75">
        <f>P27/365</f>
        <v>0</v>
      </c>
      <c r="R27" s="75">
        <f>1-Q27</f>
        <v>1</v>
      </c>
      <c r="S27" s="76">
        <f>IF(B2=1, B45, IF(B2=2, B46, IF(B2=3, B47, IF(B2=6, B50, IF(B2=7, B51, IF(B2=8, B52, 0))))))</f>
        <v>0.87</v>
      </c>
      <c r="T27" s="32">
        <v>0</v>
      </c>
      <c r="U27" s="8"/>
      <c r="V27" s="7"/>
      <c r="W27" s="6"/>
      <c r="X27" s="8"/>
      <c r="Y27" s="7"/>
    </row>
    <row r="28" spans="1:26" x14ac:dyDescent="0.35">
      <c r="C28" s="16">
        <f>(D26*E26+D32*E36)</f>
        <v>118.13907564874484</v>
      </c>
      <c r="D28" s="1" t="s">
        <v>133</v>
      </c>
      <c r="E28" s="26"/>
      <c r="G28" s="43">
        <f>K27</f>
        <v>0</v>
      </c>
      <c r="H28" s="2"/>
      <c r="J28" s="24"/>
      <c r="K28" s="121"/>
      <c r="L28" s="84"/>
      <c r="M28" s="84"/>
      <c r="N28" s="86"/>
      <c r="O28" s="89"/>
      <c r="P28" s="74"/>
      <c r="Q28" s="75"/>
      <c r="R28" s="75"/>
      <c r="S28" s="76"/>
      <c r="T28" s="32"/>
      <c r="U28" s="8"/>
      <c r="V28" s="7"/>
      <c r="W28" s="6"/>
      <c r="X28" s="8"/>
      <c r="Y28" s="7"/>
    </row>
    <row r="29" spans="1:26" x14ac:dyDescent="0.35">
      <c r="C29" s="239">
        <f>(D26*E27)+(D32*E37)</f>
        <v>1.5899351620659805</v>
      </c>
      <c r="D29" s="1" t="s">
        <v>132</v>
      </c>
      <c r="E29" s="26"/>
      <c r="G29" s="70">
        <f>I27</f>
        <v>0</v>
      </c>
      <c r="H29" s="2"/>
      <c r="J29" s="24"/>
      <c r="K29" s="121"/>
      <c r="L29" s="84"/>
      <c r="M29" s="84"/>
      <c r="N29" s="86"/>
      <c r="O29" s="89"/>
      <c r="P29" s="74"/>
      <c r="Q29" s="75"/>
      <c r="R29" s="75"/>
      <c r="S29" s="76"/>
      <c r="T29" s="32"/>
      <c r="U29" s="8"/>
      <c r="V29" s="7"/>
      <c r="W29" s="6"/>
      <c r="X29" s="8"/>
      <c r="Y29" s="7"/>
    </row>
    <row r="30" spans="1:26" x14ac:dyDescent="0.35">
      <c r="C30" s="27"/>
      <c r="E30" s="26"/>
      <c r="G30" s="21"/>
      <c r="H30" s="2"/>
      <c r="J30" s="24"/>
      <c r="K30" s="121"/>
      <c r="L30" s="84"/>
      <c r="M30" s="84"/>
      <c r="N30" s="86"/>
      <c r="O30" s="89"/>
      <c r="P30" s="74"/>
      <c r="Q30" s="75"/>
      <c r="R30" s="75"/>
      <c r="S30" s="76"/>
      <c r="T30" s="32"/>
      <c r="U30" s="8"/>
      <c r="V30" s="7"/>
      <c r="W30" s="6"/>
      <c r="X30" s="8"/>
      <c r="Y30" s="7"/>
    </row>
    <row r="31" spans="1:26" x14ac:dyDescent="0.35">
      <c r="C31" s="1"/>
      <c r="D31" s="1" t="s">
        <v>244</v>
      </c>
      <c r="H31" s="2" t="s">
        <v>6</v>
      </c>
      <c r="I31" s="94">
        <v>13</v>
      </c>
      <c r="J31" s="181">
        <f>H32*F33*D32*B24</f>
        <v>1.4159788802828366E-2</v>
      </c>
      <c r="K31" s="110">
        <f>T31</f>
        <v>590</v>
      </c>
      <c r="L31" s="84">
        <v>0</v>
      </c>
      <c r="M31" s="84">
        <v>0</v>
      </c>
      <c r="N31" s="86">
        <f>$B$4</f>
        <v>139</v>
      </c>
      <c r="O31" s="89">
        <f>(Q31*S31)+(R31*S7)</f>
        <v>0.86517808219178083</v>
      </c>
      <c r="P31" s="74">
        <v>8</v>
      </c>
      <c r="Q31" s="75">
        <f>P31/365</f>
        <v>2.1917808219178082E-2</v>
      </c>
      <c r="R31" s="75">
        <f>1-Q31</f>
        <v>0.9780821917808219</v>
      </c>
      <c r="S31" s="76">
        <f>IF(B2=1, C45, IF(B2=2, C46, IF(B2=3, C47, IF(B2=6, C50, IF(B2=7, C51, IF(B2=8, C52, 0))))))</f>
        <v>0.65</v>
      </c>
      <c r="T31" s="32">
        <v>590</v>
      </c>
      <c r="U31" s="8">
        <v>490</v>
      </c>
      <c r="V31" s="7">
        <v>1201</v>
      </c>
      <c r="W31" s="6">
        <v>881</v>
      </c>
      <c r="X31" s="8"/>
      <c r="Y31" s="7"/>
      <c r="Z31" s="1">
        <f>CONFIDENCE(0.05, 489.0285, 13)</f>
        <v>265.83403595898147</v>
      </c>
    </row>
    <row r="32" spans="1:26" x14ac:dyDescent="0.35">
      <c r="C32" s="26"/>
      <c r="D32" s="9">
        <v>0.43159999999999998</v>
      </c>
      <c r="F32" s="2" t="s">
        <v>21</v>
      </c>
      <c r="G32" s="23"/>
      <c r="H32" s="2">
        <f>I31/G33</f>
        <v>0.8125</v>
      </c>
      <c r="I32" s="95"/>
      <c r="J32" s="129"/>
      <c r="K32" s="121"/>
      <c r="L32" s="84"/>
      <c r="M32" s="84"/>
      <c r="N32" s="86"/>
      <c r="O32" s="89"/>
      <c r="P32" s="74"/>
      <c r="Q32" s="75"/>
      <c r="R32" s="75"/>
      <c r="S32" s="76"/>
      <c r="T32" s="32"/>
      <c r="U32" s="8"/>
      <c r="V32" s="7"/>
      <c r="W32" s="6"/>
      <c r="X32" s="8"/>
      <c r="Y32" s="7"/>
    </row>
    <row r="33" spans="1:26" x14ac:dyDescent="0.35">
      <c r="C33" s="1"/>
      <c r="D33" s="2" t="s">
        <v>24</v>
      </c>
      <c r="E33" s="2" t="s">
        <v>5</v>
      </c>
      <c r="F33" s="9">
        <f>SUM(G33/E35)</f>
        <v>5.6939501779359428E-2</v>
      </c>
      <c r="G33" s="5">
        <v>16</v>
      </c>
      <c r="J33" s="24"/>
      <c r="K33" s="121"/>
      <c r="L33" s="84"/>
      <c r="M33" s="84"/>
      <c r="N33" s="86"/>
      <c r="O33" s="89"/>
      <c r="P33" s="74"/>
      <c r="Q33" s="75"/>
      <c r="R33" s="75"/>
      <c r="S33" s="76"/>
      <c r="T33" s="6"/>
      <c r="U33" s="8"/>
      <c r="V33" s="7"/>
      <c r="W33" s="6"/>
      <c r="X33" s="8"/>
      <c r="Y33" s="7"/>
    </row>
    <row r="34" spans="1:26" x14ac:dyDescent="0.35">
      <c r="G34" s="12">
        <f>(H32*K31+H35*K35)</f>
        <v>1885.625</v>
      </c>
      <c r="H34" s="2" t="s">
        <v>7</v>
      </c>
      <c r="J34" s="24"/>
      <c r="K34" s="121"/>
      <c r="L34" s="84"/>
      <c r="M34" s="84"/>
      <c r="N34" s="86"/>
      <c r="O34" s="89"/>
      <c r="P34" s="74"/>
      <c r="Q34" s="75"/>
      <c r="R34" s="75"/>
      <c r="S34" s="76"/>
      <c r="T34" s="6"/>
      <c r="U34" s="8"/>
      <c r="V34" s="7"/>
      <c r="W34" s="6"/>
      <c r="X34" s="8"/>
      <c r="Y34" s="7"/>
    </row>
    <row r="35" spans="1:26" x14ac:dyDescent="0.35">
      <c r="E35" s="14">
        <v>281</v>
      </c>
      <c r="G35" s="15">
        <f>(H32*I31)+(H35*I35)</f>
        <v>11.125</v>
      </c>
      <c r="H35" s="2">
        <f>SUM(I35/$G$33)</f>
        <v>0.1875</v>
      </c>
      <c r="I35" s="94">
        <v>3</v>
      </c>
      <c r="J35" s="181">
        <f>H35*F33*D32*B24</f>
        <v>3.2676435698834692E-3</v>
      </c>
      <c r="K35" s="110">
        <f>T35</f>
        <v>7500</v>
      </c>
      <c r="L35" s="84">
        <v>0</v>
      </c>
      <c r="M35" s="84">
        <v>0</v>
      </c>
      <c r="N35" s="86">
        <f>$B$4</f>
        <v>139</v>
      </c>
      <c r="O35" s="89">
        <f>(Q35*S35)+(R35*S7)</f>
        <v>0.85986301369863005</v>
      </c>
      <c r="P35" s="74">
        <v>10</v>
      </c>
      <c r="Q35" s="75">
        <f>P35/365</f>
        <v>2.7397260273972601E-2</v>
      </c>
      <c r="R35" s="75">
        <f>1-Q35</f>
        <v>0.9726027397260274</v>
      </c>
      <c r="S35" s="76">
        <f>IF(B2=1, D45, IF(B2=2, D46, IF(B2=3, D47, IF(B2=6, D50, IF(B2=7, D51, IF(B2=8, D52, 0))))))</f>
        <v>0.5</v>
      </c>
      <c r="T35" s="32">
        <v>7500</v>
      </c>
      <c r="U35" s="8">
        <v>6809</v>
      </c>
      <c r="V35" s="7">
        <v>9856</v>
      </c>
      <c r="W35" s="6">
        <v>8055</v>
      </c>
      <c r="X35" s="8">
        <f>W35-Z35</f>
        <v>6247.2691580986348</v>
      </c>
      <c r="Y35" s="7">
        <f>W35+Z35</f>
        <v>9862.7308419013661</v>
      </c>
      <c r="Z35" s="1">
        <f>CONFIDENCE(0.05, 1597.52, 3)</f>
        <v>1807.7308419013655</v>
      </c>
    </row>
    <row r="36" spans="1:26" ht="15" thickBot="1" x14ac:dyDescent="0.4">
      <c r="E36" s="177">
        <f>(F33*G34+F36*T37)</f>
        <v>107.36654804270462</v>
      </c>
      <c r="F36" s="9">
        <f>1-F33</f>
        <v>0.94306049822064053</v>
      </c>
      <c r="J36" s="24"/>
      <c r="K36" s="121"/>
      <c r="L36" s="84"/>
      <c r="M36" s="84"/>
      <c r="N36" s="86"/>
      <c r="O36" s="89"/>
      <c r="P36" s="74"/>
      <c r="Q36" s="75"/>
      <c r="R36" s="75"/>
      <c r="S36" s="76"/>
      <c r="T36" s="6"/>
      <c r="U36" s="8"/>
      <c r="V36" s="7"/>
      <c r="W36" s="6"/>
      <c r="X36" s="8"/>
      <c r="Y36" s="7"/>
    </row>
    <row r="37" spans="1:26" ht="15" thickBot="1" x14ac:dyDescent="0.4">
      <c r="A37" s="23"/>
      <c r="B37" s="100"/>
      <c r="C37" s="27"/>
      <c r="E37" s="17">
        <f>(F33*G35)+(F36*G39)</f>
        <v>0.63345195729537362</v>
      </c>
      <c r="F37" s="2" t="s">
        <v>22</v>
      </c>
      <c r="G37" s="18">
        <v>265</v>
      </c>
      <c r="J37" s="24">
        <f>F36*D32*B24</f>
        <v>0.28864184867303971</v>
      </c>
      <c r="K37" s="110">
        <f>T37</f>
        <v>0</v>
      </c>
      <c r="L37" s="84">
        <v>0</v>
      </c>
      <c r="M37" s="84">
        <v>0</v>
      </c>
      <c r="N37" s="86">
        <f>$B$4</f>
        <v>139</v>
      </c>
      <c r="O37" s="89">
        <f>(R37*S37)</f>
        <v>0.87</v>
      </c>
      <c r="P37" s="74">
        <v>0</v>
      </c>
      <c r="Q37" s="75">
        <f>P37/365</f>
        <v>0</v>
      </c>
      <c r="R37" s="75">
        <f>1-Q37</f>
        <v>1</v>
      </c>
      <c r="S37" s="76">
        <f>IF(B2=1, B45, IF(B2=2, B46, IF(B2=3, B47, IF(B2=6, B50, IF(B2=7, B51, IF(B2=8, B52, 0))))))</f>
        <v>0.87</v>
      </c>
      <c r="T37" s="32">
        <v>0</v>
      </c>
      <c r="U37" s="8"/>
      <c r="V37" s="7"/>
      <c r="W37" s="6"/>
      <c r="X37" s="8"/>
      <c r="Y37" s="7"/>
    </row>
    <row r="38" spans="1:26" x14ac:dyDescent="0.35">
      <c r="A38" s="23"/>
      <c r="B38" s="100"/>
      <c r="C38" s="26"/>
      <c r="E38" s="26"/>
      <c r="G38" s="43">
        <f>K37</f>
        <v>0</v>
      </c>
      <c r="J38" s="24"/>
      <c r="K38" s="121"/>
      <c r="L38" s="84"/>
      <c r="M38" s="84"/>
      <c r="N38" s="86"/>
      <c r="O38" s="89"/>
      <c r="P38" s="74"/>
      <c r="Q38" s="75"/>
      <c r="R38" s="75"/>
      <c r="S38" s="76"/>
      <c r="T38" s="32"/>
      <c r="U38" s="8"/>
      <c r="V38" s="7"/>
      <c r="W38" s="6"/>
      <c r="X38" s="8"/>
      <c r="Y38" s="7"/>
    </row>
    <row r="39" spans="1:26" ht="15" thickBot="1" x14ac:dyDescent="0.4">
      <c r="A39" s="23"/>
      <c r="B39" s="23"/>
      <c r="C39" s="101"/>
      <c r="G39" s="70">
        <f>I37</f>
        <v>0</v>
      </c>
      <c r="J39" s="24"/>
      <c r="K39" s="124"/>
      <c r="L39" s="85"/>
      <c r="M39" s="85"/>
      <c r="N39" s="87"/>
      <c r="O39" s="90"/>
      <c r="P39" s="77"/>
      <c r="Q39" s="78"/>
      <c r="R39" s="78"/>
      <c r="S39" s="79"/>
      <c r="T39" s="28"/>
      <c r="U39" s="30"/>
      <c r="V39" s="29"/>
      <c r="W39" s="28"/>
      <c r="X39" s="30"/>
      <c r="Y39" s="29"/>
    </row>
    <row r="40" spans="1:26" x14ac:dyDescent="0.35">
      <c r="A40" s="23"/>
      <c r="B40" s="23"/>
      <c r="C40" s="26"/>
      <c r="J40" s="24">
        <f>SUM(J2:J39)</f>
        <v>1</v>
      </c>
    </row>
    <row r="41" spans="1:26" x14ac:dyDescent="0.35">
      <c r="A41" s="23"/>
      <c r="B41" s="23"/>
      <c r="C41" s="26"/>
      <c r="J41" s="24"/>
    </row>
    <row r="42" spans="1:26" x14ac:dyDescent="0.35">
      <c r="A42" s="23"/>
      <c r="B42" s="23"/>
      <c r="C42" s="26"/>
    </row>
    <row r="43" spans="1:26" x14ac:dyDescent="0.35">
      <c r="A43" s="34"/>
      <c r="B43" s="270" t="s">
        <v>25</v>
      </c>
      <c r="C43" s="270"/>
      <c r="D43" s="270"/>
      <c r="E43" s="220" t="s">
        <v>28</v>
      </c>
      <c r="F43" s="34"/>
      <c r="G43" s="34"/>
      <c r="H43" s="34"/>
      <c r="I43" s="96"/>
      <c r="J43" s="178"/>
    </row>
    <row r="44" spans="1:26" x14ac:dyDescent="0.35">
      <c r="A44" s="220" t="s">
        <v>26</v>
      </c>
      <c r="B44" s="220" t="s">
        <v>22</v>
      </c>
      <c r="C44" s="220" t="s">
        <v>32</v>
      </c>
      <c r="D44" s="220" t="s">
        <v>33</v>
      </c>
      <c r="E44" s="220"/>
      <c r="F44" s="34"/>
      <c r="G44" s="34"/>
      <c r="H44" s="34"/>
      <c r="I44" s="96"/>
      <c r="J44" s="178"/>
    </row>
    <row r="45" spans="1:26" x14ac:dyDescent="0.35">
      <c r="A45" s="220">
        <v>1</v>
      </c>
      <c r="B45" s="220">
        <v>0.95</v>
      </c>
      <c r="C45" s="220">
        <v>0.57999999999999996</v>
      </c>
      <c r="D45" s="220">
        <v>0.57999999999999996</v>
      </c>
      <c r="E45" s="220" t="s">
        <v>27</v>
      </c>
      <c r="F45" s="34" t="s">
        <v>34</v>
      </c>
      <c r="G45" s="34"/>
      <c r="H45" s="34"/>
      <c r="I45" s="96"/>
      <c r="J45" s="178"/>
    </row>
    <row r="46" spans="1:26" ht="18.5" x14ac:dyDescent="0.35">
      <c r="A46" s="216">
        <v>2</v>
      </c>
      <c r="B46" s="216">
        <v>0.87</v>
      </c>
      <c r="C46" s="216">
        <v>0.65</v>
      </c>
      <c r="D46" s="217">
        <v>0.5</v>
      </c>
      <c r="E46" s="216" t="s">
        <v>29</v>
      </c>
      <c r="F46" s="218" t="s">
        <v>35</v>
      </c>
      <c r="G46" s="218"/>
      <c r="H46" s="218"/>
      <c r="I46" s="96"/>
      <c r="J46" s="178"/>
    </row>
    <row r="47" spans="1:26" x14ac:dyDescent="0.35">
      <c r="A47" s="220">
        <v>3</v>
      </c>
      <c r="B47" s="220">
        <v>0.87</v>
      </c>
      <c r="C47" s="220">
        <v>0.52</v>
      </c>
      <c r="D47" s="220">
        <v>0.05</v>
      </c>
      <c r="E47" s="220" t="s">
        <v>30</v>
      </c>
      <c r="F47" s="34" t="s">
        <v>35</v>
      </c>
      <c r="G47" s="34"/>
      <c r="H47" s="34"/>
      <c r="I47" s="96"/>
      <c r="J47" s="178"/>
    </row>
    <row r="48" spans="1:26" x14ac:dyDescent="0.35">
      <c r="A48" s="220">
        <v>4</v>
      </c>
      <c r="B48" s="220">
        <v>0.87</v>
      </c>
      <c r="C48" s="220"/>
      <c r="D48" s="34"/>
      <c r="E48" s="220" t="s">
        <v>31</v>
      </c>
      <c r="F48" s="34" t="s">
        <v>37</v>
      </c>
      <c r="G48" s="34"/>
      <c r="H48" s="34"/>
      <c r="I48" s="96"/>
      <c r="J48" s="178"/>
    </row>
    <row r="49" spans="1:15" x14ac:dyDescent="0.35">
      <c r="A49" s="220">
        <v>5</v>
      </c>
      <c r="B49" s="220">
        <v>0.73</v>
      </c>
      <c r="C49" s="220"/>
      <c r="D49" s="34"/>
      <c r="E49" s="220" t="s">
        <v>31</v>
      </c>
      <c r="F49" s="34" t="s">
        <v>36</v>
      </c>
      <c r="G49" s="34"/>
      <c r="H49" s="34"/>
      <c r="I49" s="96"/>
      <c r="J49" s="178"/>
    </row>
    <row r="50" spans="1:15" x14ac:dyDescent="0.35">
      <c r="A50" s="220">
        <v>6</v>
      </c>
      <c r="B50" s="220"/>
      <c r="C50" s="220">
        <v>0.99</v>
      </c>
      <c r="D50" s="220">
        <v>0.95</v>
      </c>
      <c r="E50" s="220" t="s">
        <v>69</v>
      </c>
      <c r="F50" s="34" t="s">
        <v>162</v>
      </c>
      <c r="G50" s="34"/>
      <c r="H50" s="34"/>
      <c r="I50" s="96"/>
      <c r="J50" s="178"/>
    </row>
    <row r="51" spans="1:15" x14ac:dyDescent="0.35">
      <c r="A51" s="184">
        <v>7</v>
      </c>
      <c r="B51" s="184">
        <v>0.93300000000000005</v>
      </c>
      <c r="C51" s="184">
        <v>0.55800000000000005</v>
      </c>
      <c r="D51" s="184">
        <v>0.55800000000000005</v>
      </c>
      <c r="E51" s="184" t="s">
        <v>223</v>
      </c>
      <c r="F51" s="185" t="s">
        <v>224</v>
      </c>
      <c r="G51" s="185"/>
      <c r="H51" s="185"/>
      <c r="I51" s="186"/>
      <c r="J51" s="178"/>
    </row>
    <row r="52" spans="1:15" x14ac:dyDescent="0.35">
      <c r="A52" s="184">
        <v>8</v>
      </c>
      <c r="B52" s="184">
        <v>0.92</v>
      </c>
      <c r="C52" s="184">
        <v>0.65900000000000003</v>
      </c>
      <c r="D52" s="184">
        <v>0.51400000000000001</v>
      </c>
      <c r="E52" s="184" t="s">
        <v>226</v>
      </c>
      <c r="F52" s="185" t="s">
        <v>227</v>
      </c>
      <c r="G52" s="185"/>
      <c r="H52" s="185"/>
      <c r="I52" s="186"/>
      <c r="J52" s="178"/>
    </row>
    <row r="54" spans="1:15" ht="58" x14ac:dyDescent="0.35">
      <c r="A54" s="220" t="s">
        <v>73</v>
      </c>
      <c r="B54" s="53" t="s">
        <v>135</v>
      </c>
      <c r="C54" s="53" t="s">
        <v>136</v>
      </c>
      <c r="D54" s="53" t="s">
        <v>260</v>
      </c>
      <c r="E54" s="53" t="s">
        <v>259</v>
      </c>
      <c r="F54" s="130" t="s">
        <v>261</v>
      </c>
    </row>
    <row r="55" spans="1:15" hidden="1" x14ac:dyDescent="0.35">
      <c r="A55" s="220">
        <v>1</v>
      </c>
      <c r="B55" s="99">
        <f>266.46/$B$91</f>
        <v>8.5775707673194912</v>
      </c>
      <c r="C55" s="99">
        <f>118.14/$B$91</f>
        <v>3.803025634058113</v>
      </c>
      <c r="D55" s="98">
        <v>0.2185</v>
      </c>
      <c r="E55" s="98">
        <v>1.5899000000000001</v>
      </c>
      <c r="F55" s="106">
        <f>(B55-C55)/(D55-E55)</f>
        <v>-3.4815116911633206</v>
      </c>
    </row>
    <row r="56" spans="1:15" ht="21" x14ac:dyDescent="0.35">
      <c r="A56" s="232">
        <v>2</v>
      </c>
      <c r="B56" s="233">
        <f>266.46/$B$91</f>
        <v>8.5775707673194912</v>
      </c>
      <c r="C56" s="233">
        <f>118.14/$B$91</f>
        <v>3.803025634058113</v>
      </c>
      <c r="D56" s="233">
        <v>0.2185</v>
      </c>
      <c r="E56" s="233">
        <v>1.5899000000000001</v>
      </c>
      <c r="F56" s="234">
        <f>(B56-C56)/(D56-E56)</f>
        <v>-3.4815116911633206</v>
      </c>
    </row>
    <row r="57" spans="1:15" hidden="1" x14ac:dyDescent="0.35">
      <c r="A57" s="220">
        <v>3</v>
      </c>
      <c r="B57" s="99">
        <f>266.46/$B$91</f>
        <v>8.5775707673194912</v>
      </c>
      <c r="C57" s="99">
        <f>118.14/$B$91</f>
        <v>3.803025634058113</v>
      </c>
      <c r="D57" s="98">
        <v>0.219</v>
      </c>
      <c r="E57" s="98">
        <v>1.5899000000000001</v>
      </c>
      <c r="F57" s="106">
        <f>(B57-C57)/(D57-E57)</f>
        <v>-3.4827814816991602</v>
      </c>
    </row>
    <row r="58" spans="1:15" hidden="1" x14ac:dyDescent="0.35">
      <c r="A58" s="184">
        <v>7</v>
      </c>
      <c r="B58" s="191">
        <f>266.46/$B$91</f>
        <v>8.5775707673194912</v>
      </c>
      <c r="C58" s="191">
        <f>118.14/$B$91</f>
        <v>3.803025634058113</v>
      </c>
      <c r="D58" s="192">
        <v>0.219</v>
      </c>
      <c r="E58" s="192">
        <v>1.5899000000000001</v>
      </c>
      <c r="F58" s="193">
        <f>(B58-C58)/(D58-E58)</f>
        <v>-3.4827814816991602</v>
      </c>
      <c r="O58" s="2"/>
    </row>
    <row r="59" spans="1:15" hidden="1" x14ac:dyDescent="0.35">
      <c r="A59" s="184">
        <v>8</v>
      </c>
      <c r="B59" s="191">
        <f>266.46/$B$91</f>
        <v>8.5775707673194912</v>
      </c>
      <c r="C59" s="191">
        <f>118.14/$B$91</f>
        <v>3.803025634058113</v>
      </c>
      <c r="D59" s="184">
        <v>0.219</v>
      </c>
      <c r="E59" s="184">
        <v>1.5899000000000001</v>
      </c>
      <c r="F59" s="193">
        <f>(B59-C59)/(D59-E59)</f>
        <v>-3.4827814816991602</v>
      </c>
      <c r="O59" s="2"/>
    </row>
    <row r="60" spans="1:15" x14ac:dyDescent="0.35">
      <c r="O60" s="2"/>
    </row>
    <row r="61" spans="1:15" hidden="1" x14ac:dyDescent="0.35">
      <c r="A61" s="1" t="s">
        <v>74</v>
      </c>
      <c r="O61" s="2"/>
    </row>
    <row r="62" spans="1:15" hidden="1" x14ac:dyDescent="0.35">
      <c r="A62" s="1" t="s">
        <v>75</v>
      </c>
      <c r="O62" s="2"/>
    </row>
    <row r="63" spans="1:15" hidden="1" x14ac:dyDescent="0.35">
      <c r="A63" s="1" t="s">
        <v>76</v>
      </c>
      <c r="O63" s="2"/>
    </row>
    <row r="64" spans="1:15" hidden="1" x14ac:dyDescent="0.35">
      <c r="A64" s="1" t="s">
        <v>77</v>
      </c>
      <c r="O64" s="2"/>
    </row>
    <row r="65" spans="1:15" hidden="1" x14ac:dyDescent="0.35">
      <c r="O65" s="2"/>
    </row>
    <row r="66" spans="1:15" ht="15" hidden="1" thickBot="1" x14ac:dyDescent="0.4">
      <c r="O66" s="2"/>
    </row>
    <row r="67" spans="1:15" hidden="1" x14ac:dyDescent="0.35">
      <c r="B67" s="271" t="s">
        <v>97</v>
      </c>
      <c r="C67" s="272"/>
      <c r="D67" s="271" t="s">
        <v>98</v>
      </c>
      <c r="E67" s="272"/>
      <c r="F67" s="271" t="s">
        <v>99</v>
      </c>
      <c r="G67" s="272"/>
      <c r="O67" s="2"/>
    </row>
    <row r="68" spans="1:15" hidden="1" x14ac:dyDescent="0.35">
      <c r="A68" s="1" t="s">
        <v>87</v>
      </c>
      <c r="B68" s="6" t="s">
        <v>81</v>
      </c>
      <c r="C68" s="7" t="s">
        <v>82</v>
      </c>
      <c r="D68" s="6" t="s">
        <v>81</v>
      </c>
      <c r="E68" s="7" t="s">
        <v>82</v>
      </c>
      <c r="F68" s="6" t="s">
        <v>81</v>
      </c>
      <c r="G68" s="7" t="s">
        <v>82</v>
      </c>
      <c r="O68" s="2"/>
    </row>
    <row r="69" spans="1:15" hidden="1" x14ac:dyDescent="0.35">
      <c r="A69" s="1" t="s">
        <v>80</v>
      </c>
      <c r="B69" s="6">
        <v>8.5</v>
      </c>
      <c r="C69" s="54" t="s">
        <v>86</v>
      </c>
      <c r="D69" s="6">
        <v>8.5</v>
      </c>
      <c r="E69" s="58" t="s">
        <v>86</v>
      </c>
      <c r="F69" s="6">
        <v>8.5</v>
      </c>
      <c r="G69" s="58" t="s">
        <v>102</v>
      </c>
      <c r="O69" s="2"/>
    </row>
    <row r="70" spans="1:15" hidden="1" x14ac:dyDescent="0.35">
      <c r="A70" s="1" t="s">
        <v>83</v>
      </c>
      <c r="B70" s="6">
        <v>9</v>
      </c>
      <c r="C70" s="55" t="s">
        <v>88</v>
      </c>
      <c r="D70" s="6">
        <v>9</v>
      </c>
      <c r="E70" s="58" t="s">
        <v>88</v>
      </c>
      <c r="F70" s="6"/>
      <c r="G70" s="7"/>
      <c r="O70" s="2"/>
    </row>
    <row r="71" spans="1:15" hidden="1" x14ac:dyDescent="0.35">
      <c r="A71" s="1" t="s">
        <v>84</v>
      </c>
      <c r="B71" s="6">
        <v>9</v>
      </c>
      <c r="C71" s="56" t="s">
        <v>88</v>
      </c>
      <c r="D71" s="6">
        <v>9</v>
      </c>
      <c r="E71" s="58" t="s">
        <v>100</v>
      </c>
      <c r="F71" s="6">
        <v>8</v>
      </c>
      <c r="G71" s="58" t="s">
        <v>101</v>
      </c>
    </row>
    <row r="72" spans="1:15" ht="15" hidden="1" thickBot="1" x14ac:dyDescent="0.4">
      <c r="A72" s="1" t="s">
        <v>85</v>
      </c>
      <c r="B72" s="28">
        <v>10</v>
      </c>
      <c r="C72" s="57" t="s">
        <v>89</v>
      </c>
      <c r="D72" s="28">
        <v>10</v>
      </c>
      <c r="E72" s="59" t="s">
        <v>89</v>
      </c>
      <c r="F72" s="28">
        <v>10</v>
      </c>
      <c r="G72" s="59" t="s">
        <v>103</v>
      </c>
    </row>
    <row r="73" spans="1:15" hidden="1" x14ac:dyDescent="0.35"/>
    <row r="74" spans="1:15" hidden="1" x14ac:dyDescent="0.35"/>
    <row r="75" spans="1:15" ht="29" hidden="1" x14ac:dyDescent="0.35">
      <c r="A75" s="118" t="s">
        <v>143</v>
      </c>
      <c r="B75" s="119">
        <v>5917.9</v>
      </c>
      <c r="C75" s="127" t="s">
        <v>141</v>
      </c>
      <c r="D75" s="2"/>
    </row>
    <row r="76" spans="1:15" hidden="1" x14ac:dyDescent="0.35">
      <c r="A76" s="92"/>
      <c r="B76" s="2"/>
      <c r="D76" s="2"/>
    </row>
    <row r="77" spans="1:15" hidden="1" x14ac:dyDescent="0.35">
      <c r="A77" s="92"/>
      <c r="B77" s="2"/>
      <c r="D77" s="2"/>
    </row>
    <row r="78" spans="1:15" hidden="1" x14ac:dyDescent="0.35">
      <c r="A78" s="92"/>
      <c r="B78" s="2" t="s">
        <v>157</v>
      </c>
      <c r="D78" s="2"/>
    </row>
    <row r="79" spans="1:15" hidden="1" x14ac:dyDescent="0.35">
      <c r="A79" s="128" t="s">
        <v>145</v>
      </c>
      <c r="B79" s="33">
        <v>31.531565000000001</v>
      </c>
      <c r="C79" s="92"/>
      <c r="D79" s="2"/>
    </row>
    <row r="80" spans="1:15" hidden="1" x14ac:dyDescent="0.35">
      <c r="A80" s="128" t="s">
        <v>146</v>
      </c>
      <c r="B80" s="33">
        <v>30.708935</v>
      </c>
      <c r="C80" s="92"/>
      <c r="D80" s="2"/>
    </row>
    <row r="81" spans="1:4" hidden="1" x14ac:dyDescent="0.35">
      <c r="A81" s="128" t="s">
        <v>147</v>
      </c>
      <c r="B81" s="33">
        <v>30.699726999999999</v>
      </c>
      <c r="C81" s="92"/>
      <c r="D81" s="2"/>
    </row>
    <row r="82" spans="1:4" hidden="1" x14ac:dyDescent="0.35">
      <c r="A82" s="128" t="s">
        <v>148</v>
      </c>
      <c r="B82" s="33">
        <v>30.865102</v>
      </c>
      <c r="C82" s="92"/>
      <c r="D82" s="2"/>
    </row>
    <row r="83" spans="1:4" hidden="1" x14ac:dyDescent="0.35">
      <c r="A83" s="128" t="s">
        <v>149</v>
      </c>
      <c r="B83" s="33">
        <v>31.302795</v>
      </c>
      <c r="C83" s="92"/>
      <c r="D83" s="2"/>
    </row>
    <row r="84" spans="1:4" hidden="1" x14ac:dyDescent="0.35">
      <c r="A84" s="128" t="s">
        <v>150</v>
      </c>
      <c r="B84" s="33">
        <v>31.631855999999999</v>
      </c>
      <c r="C84" s="92"/>
      <c r="D84" s="2"/>
    </row>
    <row r="85" spans="1:4" hidden="1" x14ac:dyDescent="0.35">
      <c r="A85" s="128" t="s">
        <v>151</v>
      </c>
      <c r="B85" s="33">
        <v>31.627683000000001</v>
      </c>
      <c r="C85" s="92"/>
      <c r="D85" s="2"/>
    </row>
    <row r="86" spans="1:4" hidden="1" x14ac:dyDescent="0.35">
      <c r="A86" s="128" t="s">
        <v>152</v>
      </c>
      <c r="B86" s="33">
        <v>31.422575999999999</v>
      </c>
      <c r="C86" s="92"/>
      <c r="D86" s="2"/>
    </row>
    <row r="87" spans="1:4" hidden="1" x14ac:dyDescent="0.35">
      <c r="A87" s="128" t="s">
        <v>153</v>
      </c>
      <c r="B87" s="33">
        <v>30.967063</v>
      </c>
      <c r="C87" s="92"/>
      <c r="D87" s="2"/>
    </row>
    <row r="88" spans="1:4" hidden="1" x14ac:dyDescent="0.35">
      <c r="A88" s="128" t="s">
        <v>154</v>
      </c>
      <c r="B88" s="33">
        <v>30.679175000000001</v>
      </c>
      <c r="C88" s="92"/>
      <c r="D88" s="2"/>
    </row>
    <row r="89" spans="1:4" hidden="1" x14ac:dyDescent="0.35">
      <c r="A89" s="128" t="s">
        <v>155</v>
      </c>
      <c r="B89" s="33">
        <v>30.708076999999999</v>
      </c>
      <c r="C89" s="92"/>
      <c r="D89" s="2"/>
    </row>
    <row r="90" spans="1:4" hidden="1" x14ac:dyDescent="0.35">
      <c r="A90" s="128" t="s">
        <v>156</v>
      </c>
      <c r="B90" s="33">
        <v>30.632318000000001</v>
      </c>
      <c r="C90" s="92"/>
      <c r="D90" s="2"/>
    </row>
    <row r="91" spans="1:4" hidden="1" x14ac:dyDescent="0.35">
      <c r="A91" s="1" t="s">
        <v>159</v>
      </c>
      <c r="B91" s="33">
        <f>AVERAGE(B79:B90)</f>
        <v>31.064739333333332</v>
      </c>
      <c r="C91" s="92"/>
      <c r="D91" s="2"/>
    </row>
    <row r="92" spans="1:4" hidden="1" x14ac:dyDescent="0.35">
      <c r="A92" s="92"/>
      <c r="B92" s="2"/>
      <c r="D92" s="2"/>
    </row>
    <row r="93" spans="1:4" hidden="1" x14ac:dyDescent="0.35">
      <c r="A93" s="127" t="s">
        <v>158</v>
      </c>
      <c r="B93" s="2"/>
      <c r="D93" s="2"/>
    </row>
    <row r="94" spans="1:4" x14ac:dyDescent="0.35">
      <c r="A94" s="92"/>
      <c r="B94" s="2"/>
      <c r="D94" s="2"/>
    </row>
  </sheetData>
  <mergeCells count="4">
    <mergeCell ref="B43:D43"/>
    <mergeCell ref="B67:C67"/>
    <mergeCell ref="D67:E67"/>
    <mergeCell ref="F67:G67"/>
  </mergeCells>
  <pageMargins left="0.7" right="0.7" top="0.75" bottom="0.75" header="0.3" footer="0.3"/>
  <pageSetup scale="81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4"/>
  <sheetViews>
    <sheetView workbookViewId="0">
      <selection activeCell="C5" sqref="C5"/>
    </sheetView>
  </sheetViews>
  <sheetFormatPr defaultColWidth="9.08984375" defaultRowHeight="14.5" x14ac:dyDescent="0.35"/>
  <cols>
    <col min="1" max="1" width="16.6328125" style="1" customWidth="1"/>
    <col min="2" max="2" width="10.08984375" style="1" customWidth="1"/>
    <col min="3" max="3" width="16.453125" style="2" customWidth="1"/>
    <col min="4" max="4" width="21.08984375" style="2" customWidth="1"/>
    <col min="5" max="5" width="10.36328125" style="2" customWidth="1"/>
    <col min="6" max="6" width="16.6328125" style="2" customWidth="1"/>
    <col min="7" max="7" width="9.90625" style="1" customWidth="1"/>
    <col min="8" max="8" width="19.453125" style="24" customWidth="1"/>
    <col min="9" max="9" width="15.54296875" style="92" bestFit="1" customWidth="1"/>
    <col min="10" max="10" width="15.54296875" style="92" customWidth="1"/>
    <col min="11" max="11" width="17.90625" style="92" customWidth="1"/>
    <col min="12" max="12" width="16.90625" style="2" customWidth="1"/>
    <col min="13" max="13" width="16" style="2" customWidth="1"/>
    <col min="14" max="14" width="13" style="2" customWidth="1"/>
    <col min="15" max="15" width="12.90625" style="92" hidden="1" customWidth="1"/>
    <col min="16" max="16" width="8.6328125" style="2" hidden="1" customWidth="1"/>
    <col min="17" max="17" width="12.453125" style="2" hidden="1" customWidth="1"/>
    <col min="18" max="18" width="14.08984375" style="2" hidden="1" customWidth="1"/>
    <col min="19" max="19" width="8" style="2" hidden="1" customWidth="1"/>
    <col min="20" max="20" width="16" style="2" hidden="1" customWidth="1"/>
    <col min="21" max="21" width="8.54296875" style="2" hidden="1" customWidth="1"/>
    <col min="22" max="22" width="8.6328125" style="2" hidden="1" customWidth="1"/>
    <col min="23" max="25" width="0" style="2" hidden="1" customWidth="1"/>
    <col min="26" max="29" width="0" style="1" hidden="1" customWidth="1"/>
    <col min="30" max="30" width="14" style="1" hidden="1" customWidth="1"/>
    <col min="31" max="32" width="0" style="1" hidden="1" customWidth="1"/>
    <col min="33" max="16384" width="9.08984375" style="1"/>
  </cols>
  <sheetData>
    <row r="1" spans="1:30" ht="43.5" x14ac:dyDescent="0.35">
      <c r="A1" s="1" t="s">
        <v>13</v>
      </c>
      <c r="B1" s="1" t="s">
        <v>18</v>
      </c>
      <c r="H1" s="24">
        <f>SUM(I2/$G$3)</f>
        <v>1</v>
      </c>
      <c r="I1" s="92" t="s">
        <v>131</v>
      </c>
      <c r="J1" s="2" t="s">
        <v>216</v>
      </c>
      <c r="K1" s="109" t="s">
        <v>127</v>
      </c>
      <c r="L1" s="83" t="s">
        <v>128</v>
      </c>
      <c r="M1" s="83" t="s">
        <v>129</v>
      </c>
      <c r="N1" s="93" t="s">
        <v>130</v>
      </c>
      <c r="O1" s="113" t="s">
        <v>15</v>
      </c>
      <c r="P1" s="72" t="s">
        <v>119</v>
      </c>
      <c r="Q1" s="82" t="s">
        <v>122</v>
      </c>
      <c r="R1" s="82" t="s">
        <v>123</v>
      </c>
      <c r="S1" s="114" t="s">
        <v>25</v>
      </c>
      <c r="T1" s="71" t="s">
        <v>139</v>
      </c>
      <c r="U1" s="4" t="s">
        <v>125</v>
      </c>
      <c r="V1" s="222" t="s">
        <v>126</v>
      </c>
      <c r="W1" s="97" t="s">
        <v>140</v>
      </c>
      <c r="X1" s="4" t="s">
        <v>16</v>
      </c>
      <c r="Y1" s="222" t="s">
        <v>17</v>
      </c>
      <c r="Z1" s="112"/>
      <c r="AA1" s="112"/>
    </row>
    <row r="2" spans="1:30" ht="19" thickBot="1" x14ac:dyDescent="0.4">
      <c r="A2" s="1" t="s">
        <v>137</v>
      </c>
      <c r="B2" s="44">
        <v>2</v>
      </c>
      <c r="C2" s="2" t="s">
        <v>138</v>
      </c>
      <c r="H2" s="24" t="s">
        <v>6</v>
      </c>
      <c r="I2" s="94">
        <v>9</v>
      </c>
      <c r="J2" s="181">
        <f>H1*F3*D6*B11</f>
        <v>8.6040258601565549E-3</v>
      </c>
      <c r="K2" s="110">
        <f>(L2*(T2+N2)+(M2*(T2+N2+N2)))</f>
        <v>1136.31</v>
      </c>
      <c r="L2" s="84">
        <v>0.71</v>
      </c>
      <c r="M2" s="84">
        <v>0.28999999999999998</v>
      </c>
      <c r="N2" s="86">
        <f>$B$4</f>
        <v>139</v>
      </c>
      <c r="O2" s="89">
        <f>(Q2*S2)+(R2*S7)</f>
        <v>0.86517808219178083</v>
      </c>
      <c r="P2" s="76">
        <v>8</v>
      </c>
      <c r="Q2" s="73">
        <f>(P2/365)</f>
        <v>2.1917808219178082E-2</v>
      </c>
      <c r="R2" s="73">
        <f>1-Q2</f>
        <v>0.9780821917808219</v>
      </c>
      <c r="S2" s="115">
        <f>IF(B2=1,C43,IF(B2=2,C44,IF(B2=3,C45, IF(B2=6, C48, IF(B2=7, C49, IF(B2=8, C50, 0))))))</f>
        <v>0.65</v>
      </c>
      <c r="T2" s="37">
        <v>957</v>
      </c>
      <c r="U2" s="37">
        <v>529</v>
      </c>
      <c r="V2" s="38">
        <v>1339</v>
      </c>
      <c r="W2" s="32">
        <v>1820</v>
      </c>
      <c r="X2" s="37">
        <f>W2-Z2</f>
        <v>-65.232517773525842</v>
      </c>
      <c r="Y2" s="38">
        <f>W2+Z2</f>
        <v>3705.2325177735256</v>
      </c>
      <c r="Z2" s="116">
        <f>CONFIDENCE(0.05, 2885.613, 9)</f>
        <v>1885.2325177735258</v>
      </c>
      <c r="AA2" s="112"/>
    </row>
    <row r="3" spans="1:30" ht="15" thickBot="1" x14ac:dyDescent="0.4">
      <c r="F3" s="9">
        <f>SUM(G3/E5)</f>
        <v>4.9723756906077346E-2</v>
      </c>
      <c r="G3" s="5">
        <v>9</v>
      </c>
      <c r="J3" s="24"/>
      <c r="K3" s="110"/>
      <c r="L3" s="84"/>
      <c r="M3" s="84"/>
      <c r="N3" s="86"/>
      <c r="O3" s="89"/>
      <c r="P3" s="76"/>
      <c r="Q3" s="73"/>
      <c r="R3" s="73"/>
      <c r="S3" s="115"/>
      <c r="T3" s="8"/>
      <c r="U3" s="8"/>
      <c r="V3" s="7"/>
      <c r="W3" s="6"/>
      <c r="X3" s="8"/>
      <c r="Y3" s="7"/>
      <c r="Z3" s="112"/>
      <c r="AA3" s="112"/>
      <c r="AC3" s="11"/>
      <c r="AD3" s="1" t="s">
        <v>10</v>
      </c>
    </row>
    <row r="4" spans="1:30" x14ac:dyDescent="0.35">
      <c r="A4" s="1" t="s">
        <v>258</v>
      </c>
      <c r="B4" s="1">
        <f>139*C4</f>
        <v>139</v>
      </c>
      <c r="C4" s="2">
        <v>1</v>
      </c>
      <c r="F4" s="2" t="s">
        <v>21</v>
      </c>
      <c r="G4" s="12">
        <f>(H1*K2+H5*K5)</f>
        <v>1136.31</v>
      </c>
      <c r="H4" s="24" t="s">
        <v>7</v>
      </c>
      <c r="J4" s="24"/>
      <c r="K4" s="110"/>
      <c r="L4" s="84"/>
      <c r="M4" s="84"/>
      <c r="N4" s="86"/>
      <c r="O4" s="89"/>
      <c r="P4" s="76"/>
      <c r="Q4" s="73"/>
      <c r="R4" s="73"/>
      <c r="S4" s="115"/>
      <c r="T4" s="8"/>
      <c r="U4" s="8"/>
      <c r="V4" s="7"/>
      <c r="W4" s="6"/>
      <c r="X4" s="8"/>
      <c r="Y4" s="7"/>
      <c r="Z4" s="112"/>
      <c r="AA4" s="112"/>
      <c r="AC4" s="13"/>
      <c r="AD4" s="1" t="s">
        <v>11</v>
      </c>
    </row>
    <row r="5" spans="1:30" x14ac:dyDescent="0.35">
      <c r="D5" s="2" t="s">
        <v>23</v>
      </c>
      <c r="E5" s="14">
        <v>181</v>
      </c>
      <c r="G5" s="39">
        <f>(H1*I2)+(H5*I5)</f>
        <v>9</v>
      </c>
      <c r="H5" s="24">
        <f>SUM(I5/$G$3)</f>
        <v>0</v>
      </c>
      <c r="I5" s="94">
        <v>0</v>
      </c>
      <c r="J5" s="181">
        <f>H5*F3*D6*B11</f>
        <v>0</v>
      </c>
      <c r="K5" s="110">
        <f>(L5*(T5+N5)+(M5*(T5+N5+N5)))</f>
        <v>179.31</v>
      </c>
      <c r="L5" s="84">
        <v>0.71</v>
      </c>
      <c r="M5" s="84">
        <v>0.28999999999999998</v>
      </c>
      <c r="N5" s="86">
        <f>$B$4</f>
        <v>139</v>
      </c>
      <c r="O5" s="89">
        <f>(Q5*S5)+(R5*S7)</f>
        <v>0.87</v>
      </c>
      <c r="P5" s="76">
        <v>0</v>
      </c>
      <c r="Q5" s="73">
        <f>(P5/365)</f>
        <v>0</v>
      </c>
      <c r="R5" s="73">
        <f>1-Q5</f>
        <v>1</v>
      </c>
      <c r="S5" s="115">
        <f>IF(B2=1,D43,IF(B2=2,D44,IF(B2=3,D45, IF(B2=6, D48, IF(B2=7, D49, IF(B2=8, D50, 0))))))</f>
        <v>0.5</v>
      </c>
      <c r="T5" s="37">
        <v>0</v>
      </c>
      <c r="U5" s="37"/>
      <c r="V5" s="38"/>
      <c r="W5" s="32"/>
      <c r="X5" s="37"/>
      <c r="Y5" s="38"/>
      <c r="Z5" s="116"/>
      <c r="AA5" s="112"/>
      <c r="AC5" s="5"/>
      <c r="AD5" s="1" t="s">
        <v>12</v>
      </c>
    </row>
    <row r="6" spans="1:30" ht="15" thickBot="1" x14ac:dyDescent="0.4">
      <c r="D6" s="9">
        <f>1-D12</f>
        <v>0.56210000000000004</v>
      </c>
      <c r="E6" s="16">
        <f>(F3*G4+F6*G8)</f>
        <v>226.895635359116</v>
      </c>
      <c r="F6" s="9">
        <f>SUM(G7/E5)</f>
        <v>0.95027624309392267</v>
      </c>
      <c r="J6" s="24"/>
      <c r="K6" s="110"/>
      <c r="L6" s="84"/>
      <c r="M6" s="84"/>
      <c r="N6" s="86"/>
      <c r="O6" s="89"/>
      <c r="P6" s="76"/>
      <c r="Q6" s="73"/>
      <c r="R6" s="73"/>
      <c r="S6" s="115"/>
      <c r="T6" s="8"/>
      <c r="U6" s="8"/>
      <c r="V6" s="7"/>
      <c r="W6" s="6"/>
      <c r="X6" s="8"/>
      <c r="Y6" s="7"/>
      <c r="Z6" s="112"/>
      <c r="AA6" s="112"/>
      <c r="AC6" s="42"/>
      <c r="AD6" s="1" t="s">
        <v>66</v>
      </c>
    </row>
    <row r="7" spans="1:30" ht="15" thickBot="1" x14ac:dyDescent="0.4">
      <c r="A7" s="31"/>
      <c r="C7" s="14">
        <v>322</v>
      </c>
      <c r="E7" s="219">
        <f>(F3*G5)+(F6*G9)</f>
        <v>0.4475138121546961</v>
      </c>
      <c r="F7" s="2" t="s">
        <v>22</v>
      </c>
      <c r="G7" s="18">
        <v>172</v>
      </c>
      <c r="J7" s="24">
        <f>F6*D6*B11</f>
        <v>0.16443249421632528</v>
      </c>
      <c r="K7" s="110">
        <f>(L7*(T7+N7)+(M7*(T7+N7+N7)))</f>
        <v>179.31</v>
      </c>
      <c r="L7" s="84">
        <v>0.71</v>
      </c>
      <c r="M7" s="84">
        <v>0.28999999999999998</v>
      </c>
      <c r="N7" s="86">
        <f>$B$4</f>
        <v>139</v>
      </c>
      <c r="O7" s="89">
        <f>(R7*S7)</f>
        <v>0.87</v>
      </c>
      <c r="P7" s="76">
        <v>0</v>
      </c>
      <c r="Q7" s="73">
        <f>(P7/365)</f>
        <v>0</v>
      </c>
      <c r="R7" s="73">
        <f>1-Q7</f>
        <v>1</v>
      </c>
      <c r="S7" s="115">
        <f>IF(B2=1,B43,IF(B2=2,B44,IF(B2=3,B45,IF(B2=6,B48,IF(B2=7,B49, IF(B2=8, B50, 0))))))</f>
        <v>0.87</v>
      </c>
      <c r="T7" s="37">
        <v>0</v>
      </c>
      <c r="U7" s="37"/>
      <c r="V7" s="38"/>
      <c r="W7" s="32"/>
      <c r="X7" s="37"/>
      <c r="Y7" s="38"/>
      <c r="Z7" s="116"/>
      <c r="AA7" s="112"/>
    </row>
    <row r="8" spans="1:30" x14ac:dyDescent="0.35">
      <c r="A8" s="31"/>
      <c r="B8" s="31">
        <f>C8/30.7</f>
        <v>10.316082235910468</v>
      </c>
      <c r="C8" s="16">
        <f>(D6*E6+D12*E15)</f>
        <v>316.70372464245133</v>
      </c>
      <c r="G8" s="41">
        <f>K7</f>
        <v>179.31</v>
      </c>
      <c r="J8" s="24"/>
      <c r="K8" s="110"/>
      <c r="L8" s="84"/>
      <c r="M8" s="84"/>
      <c r="N8" s="86"/>
      <c r="O8" s="89"/>
      <c r="P8" s="76"/>
      <c r="Q8" s="73"/>
      <c r="R8" s="73"/>
      <c r="S8" s="115"/>
      <c r="T8" s="8"/>
      <c r="U8" s="8"/>
      <c r="V8" s="7"/>
      <c r="W8" s="6"/>
      <c r="X8" s="8"/>
      <c r="Y8" s="7"/>
      <c r="Z8" s="116">
        <f>CONFIDENCE(0.05, 784.2155, 7)</f>
        <v>580.94429725505927</v>
      </c>
      <c r="AA8" s="112"/>
    </row>
    <row r="9" spans="1:30" x14ac:dyDescent="0.35">
      <c r="A9" s="31"/>
      <c r="C9" s="240">
        <f>(D6*E7)+(D12*E16)</f>
        <v>0.41614822303201282</v>
      </c>
      <c r="G9" s="105">
        <f>I7</f>
        <v>0</v>
      </c>
      <c r="I9" s="95"/>
      <c r="J9" s="129"/>
      <c r="K9" s="110"/>
      <c r="L9" s="84"/>
      <c r="M9" s="84"/>
      <c r="N9" s="86"/>
      <c r="O9" s="89"/>
      <c r="P9" s="76"/>
      <c r="Q9" s="73"/>
      <c r="R9" s="73"/>
      <c r="S9" s="115"/>
      <c r="T9" s="37"/>
      <c r="U9" s="37"/>
      <c r="V9" s="38"/>
      <c r="W9" s="32"/>
      <c r="X9" s="37"/>
      <c r="Y9" s="38"/>
      <c r="Z9" s="116"/>
      <c r="AA9" s="112"/>
    </row>
    <row r="10" spans="1:30" x14ac:dyDescent="0.35">
      <c r="A10" s="31"/>
      <c r="G10" s="23"/>
      <c r="H10" s="24" t="s">
        <v>6</v>
      </c>
      <c r="I10" s="95"/>
      <c r="J10" s="129"/>
      <c r="K10" s="110"/>
      <c r="L10" s="84"/>
      <c r="M10" s="84"/>
      <c r="N10" s="86"/>
      <c r="O10" s="89"/>
      <c r="P10" s="76"/>
      <c r="Q10" s="73"/>
      <c r="R10" s="73"/>
      <c r="S10" s="115"/>
      <c r="T10" s="37"/>
      <c r="U10" s="37"/>
      <c r="V10" s="38"/>
      <c r="W10" s="32"/>
      <c r="X10" s="37"/>
      <c r="Y10" s="38"/>
      <c r="Z10" s="116"/>
      <c r="AA10" s="112"/>
    </row>
    <row r="11" spans="1:30" x14ac:dyDescent="0.35">
      <c r="A11" s="31"/>
      <c r="B11" s="1">
        <f>C7/(C7+C26)</f>
        <v>0.30783938814531547</v>
      </c>
      <c r="C11" s="27"/>
      <c r="D11" s="2" t="s">
        <v>245</v>
      </c>
      <c r="G11" s="23"/>
      <c r="H11" s="24">
        <f>I11/G12</f>
        <v>0.77777777777777779</v>
      </c>
      <c r="I11" s="94">
        <v>7</v>
      </c>
      <c r="J11" s="181">
        <f>H11*F12*D12*B11</f>
        <v>6.69234096795628E-3</v>
      </c>
      <c r="K11" s="110">
        <f>(L11*(T11+N11)+(M11*(T11+N11+N11)))</f>
        <v>1026.31</v>
      </c>
      <c r="L11" s="84">
        <v>0.71</v>
      </c>
      <c r="M11" s="84">
        <v>0.28999999999999998</v>
      </c>
      <c r="N11" s="86">
        <f>$B$4</f>
        <v>139</v>
      </c>
      <c r="O11" s="89">
        <f>(Q11*S11)+(R11*S7)</f>
        <v>0.86487671232876717</v>
      </c>
      <c r="P11" s="76">
        <v>8.5</v>
      </c>
      <c r="Q11" s="73">
        <f>(P11/365)</f>
        <v>2.3287671232876714E-2</v>
      </c>
      <c r="R11" s="73">
        <f>1-Q11</f>
        <v>0.97671232876712333</v>
      </c>
      <c r="S11" s="115">
        <f>IF(B2=1, C43, IF(B2=2, C44, IF(B2=3, C45, IF(B2=6, C48, IF(B2=7, C49, IF(B2=8, C50, 0))))))</f>
        <v>0.65</v>
      </c>
      <c r="T11" s="37">
        <v>847</v>
      </c>
      <c r="U11" s="37">
        <v>601</v>
      </c>
      <c r="V11" s="38">
        <v>1035</v>
      </c>
      <c r="W11" s="32">
        <v>970</v>
      </c>
      <c r="X11" s="37">
        <f>W11-Z8</f>
        <v>389.05570274494073</v>
      </c>
      <c r="Y11" s="38">
        <f>W11+Z8</f>
        <v>1550.9442972550592</v>
      </c>
      <c r="Z11" s="116"/>
      <c r="AA11" s="112"/>
    </row>
    <row r="12" spans="1:30" x14ac:dyDescent="0.35">
      <c r="D12" s="9">
        <v>0.43790000000000001</v>
      </c>
      <c r="F12" s="24">
        <f>SUM(G12/E14)</f>
        <v>6.3829787234042548E-2</v>
      </c>
      <c r="G12" s="5">
        <v>9</v>
      </c>
      <c r="J12" s="24"/>
      <c r="K12" s="110"/>
      <c r="L12" s="84"/>
      <c r="M12" s="84"/>
      <c r="N12" s="86"/>
      <c r="O12" s="89"/>
      <c r="P12" s="76"/>
      <c r="Q12" s="73"/>
      <c r="R12" s="73"/>
      <c r="S12" s="115"/>
      <c r="T12" s="8"/>
      <c r="U12" s="8"/>
      <c r="V12" s="7"/>
      <c r="W12" s="6"/>
      <c r="X12" s="8"/>
      <c r="Y12" s="7"/>
      <c r="Z12" s="112"/>
      <c r="AA12" s="112"/>
    </row>
    <row r="13" spans="1:30" x14ac:dyDescent="0.35">
      <c r="D13" s="2" t="s">
        <v>24</v>
      </c>
      <c r="F13" s="2" t="s">
        <v>21</v>
      </c>
      <c r="G13" s="12">
        <f>(H11*K11+H14*K14)</f>
        <v>4137.8655555555551</v>
      </c>
      <c r="H13" s="24" t="s">
        <v>7</v>
      </c>
      <c r="J13" s="24"/>
      <c r="K13" s="110"/>
      <c r="L13" s="84"/>
      <c r="M13" s="84"/>
      <c r="N13" s="86"/>
      <c r="O13" s="89"/>
      <c r="P13" s="76"/>
      <c r="Q13" s="73"/>
      <c r="R13" s="73"/>
      <c r="S13" s="115"/>
      <c r="T13" s="8"/>
      <c r="U13" s="8"/>
      <c r="V13" s="7"/>
      <c r="W13" s="6"/>
      <c r="X13" s="8"/>
      <c r="Y13" s="7"/>
      <c r="Z13" s="112"/>
      <c r="AA13" s="112"/>
    </row>
    <row r="14" spans="1:30" x14ac:dyDescent="0.35">
      <c r="B14" s="1" t="s">
        <v>1</v>
      </c>
      <c r="C14" s="25"/>
      <c r="E14" s="14">
        <v>141</v>
      </c>
      <c r="G14" s="42">
        <f>(H11*I11)+(H14*I14)</f>
        <v>5.8888888888888893</v>
      </c>
      <c r="H14" s="24">
        <f>SUM(I14/$G$12)</f>
        <v>0.22222222222222221</v>
      </c>
      <c r="I14" s="94">
        <v>2</v>
      </c>
      <c r="J14" s="181">
        <f>H14*F12*D12*B11</f>
        <v>1.9120974194160797E-3</v>
      </c>
      <c r="K14" s="110">
        <f>(L14*(T14+N14)+(M14*(T14+N14+N14)))</f>
        <v>15028.31</v>
      </c>
      <c r="L14" s="84">
        <v>0.71</v>
      </c>
      <c r="M14" s="84">
        <v>0.28999999999999998</v>
      </c>
      <c r="N14" s="86">
        <f>$B$4</f>
        <v>139</v>
      </c>
      <c r="O14" s="89">
        <f>(Q14*S14)+(R14*S7)</f>
        <v>0.85935616438356155</v>
      </c>
      <c r="P14" s="76">
        <v>10.5</v>
      </c>
      <c r="Q14" s="73">
        <f>(P14/365)</f>
        <v>2.8767123287671233E-2</v>
      </c>
      <c r="R14" s="73">
        <f>1-Q14</f>
        <v>0.97123287671232872</v>
      </c>
      <c r="S14" s="115">
        <f>IF(B2=1, D43, IF(B2=2, D44, IF(B2=3, D45, IF(B2=6, D48, IF(B2=7, D49, IF(B2=8, D50, 0))))))</f>
        <v>0.5</v>
      </c>
      <c r="T14" s="37">
        <v>14849</v>
      </c>
      <c r="U14" s="37">
        <v>3554</v>
      </c>
      <c r="V14" s="38">
        <v>26144</v>
      </c>
      <c r="W14" s="32">
        <v>14849</v>
      </c>
      <c r="X14" s="37">
        <f>W14-Z14</f>
        <v>-7288.7901744025476</v>
      </c>
      <c r="Y14" s="38">
        <f>W14+Z14</f>
        <v>36986.790174402544</v>
      </c>
      <c r="Z14" s="116">
        <f>CONFIDENCE(0.05, 15973.54, 2)</f>
        <v>22137.790174402548</v>
      </c>
      <c r="AA14" s="112"/>
    </row>
    <row r="15" spans="1:30" ht="15" thickBot="1" x14ac:dyDescent="0.4">
      <c r="E15" s="16">
        <f>(F12*G13+F15*G17)</f>
        <v>431.98375886524821</v>
      </c>
      <c r="F15" s="24">
        <f>SUM(G16/E14)</f>
        <v>0.93617021276595747</v>
      </c>
      <c r="J15" s="24"/>
      <c r="K15" s="110"/>
      <c r="L15" s="84"/>
      <c r="M15" s="84"/>
      <c r="N15" s="86"/>
      <c r="O15" s="89"/>
      <c r="P15" s="76"/>
      <c r="Q15" s="73"/>
      <c r="R15" s="73"/>
      <c r="S15" s="115"/>
      <c r="T15" s="8"/>
      <c r="U15" s="8"/>
      <c r="V15" s="7"/>
      <c r="W15" s="6"/>
      <c r="X15" s="8"/>
      <c r="Y15" s="7"/>
      <c r="Z15" s="112"/>
      <c r="AA15" s="112"/>
    </row>
    <row r="16" spans="1:30" ht="15" thickBot="1" x14ac:dyDescent="0.4">
      <c r="E16" s="219">
        <f>(F12*G14)+((F15*G18))</f>
        <v>0.37588652482269502</v>
      </c>
      <c r="F16" s="2" t="s">
        <v>22</v>
      </c>
      <c r="G16" s="18">
        <v>132</v>
      </c>
      <c r="J16" s="24">
        <f>F15*D12*B11</f>
        <v>0.12619842968146128</v>
      </c>
      <c r="K16" s="110">
        <f>(L16*(T16+N16)+(M16*(T16+N16+N16)))</f>
        <v>179.31</v>
      </c>
      <c r="L16" s="84">
        <v>0.71</v>
      </c>
      <c r="M16" s="84">
        <v>0.28999999999999998</v>
      </c>
      <c r="N16" s="86">
        <f>$B$4</f>
        <v>139</v>
      </c>
      <c r="O16" s="89">
        <f>(R16*S16)</f>
        <v>0.87</v>
      </c>
      <c r="P16" s="76">
        <v>0</v>
      </c>
      <c r="Q16" s="73">
        <f>(P16/365)</f>
        <v>0</v>
      </c>
      <c r="R16" s="73">
        <f>1-Q16</f>
        <v>1</v>
      </c>
      <c r="S16" s="115">
        <f>IF(B2=1,B43,IF(B2=2,B44,IF(B2=3,B45, IF(B2=6, B48, IF(B2=7, B49, IF(B2=8, B50, 0))))))</f>
        <v>0.87</v>
      </c>
      <c r="T16" s="37">
        <v>0</v>
      </c>
      <c r="U16" s="37"/>
      <c r="V16" s="38"/>
      <c r="W16" s="32"/>
      <c r="X16" s="37"/>
      <c r="Y16" s="38"/>
      <c r="Z16" s="116"/>
      <c r="AA16" s="112"/>
    </row>
    <row r="17" spans="1:27" ht="15" customHeight="1" x14ac:dyDescent="0.35">
      <c r="A17" s="1" t="s">
        <v>8</v>
      </c>
      <c r="C17" s="25" t="s">
        <v>233</v>
      </c>
      <c r="D17" s="2" t="s">
        <v>235</v>
      </c>
      <c r="G17" s="41">
        <f>K16</f>
        <v>179.31</v>
      </c>
      <c r="H17" s="1"/>
      <c r="J17" s="24"/>
      <c r="K17" s="110"/>
      <c r="L17" s="84"/>
      <c r="M17" s="84"/>
      <c r="N17" s="86"/>
      <c r="O17" s="89"/>
      <c r="P17" s="76"/>
      <c r="Q17" s="73"/>
      <c r="R17" s="73"/>
      <c r="S17" s="115"/>
      <c r="T17" s="112"/>
      <c r="U17" s="112"/>
      <c r="V17" s="117"/>
      <c r="W17" s="10"/>
      <c r="X17" s="112"/>
      <c r="Y17" s="117"/>
      <c r="Z17" s="116">
        <f>CONFIDENCE(0.05, 894.8645, 34)</f>
        <v>300.79174424229666</v>
      </c>
      <c r="AA17" s="112"/>
    </row>
    <row r="18" spans="1:27" ht="15" customHeight="1" x14ac:dyDescent="0.35">
      <c r="A18" s="1" t="s">
        <v>9</v>
      </c>
      <c r="C18" s="25" t="s">
        <v>234</v>
      </c>
      <c r="D18" s="2" t="s">
        <v>235</v>
      </c>
      <c r="G18" s="105">
        <f>I16</f>
        <v>0</v>
      </c>
      <c r="I18" s="95"/>
      <c r="J18" s="129"/>
      <c r="K18" s="110"/>
      <c r="L18" s="84"/>
      <c r="M18" s="84"/>
      <c r="N18" s="86"/>
      <c r="O18" s="89"/>
      <c r="P18" s="76"/>
      <c r="Q18" s="73"/>
      <c r="R18" s="73"/>
      <c r="S18" s="115"/>
      <c r="T18" s="37"/>
      <c r="U18" s="37"/>
      <c r="V18" s="38"/>
      <c r="W18" s="32"/>
      <c r="X18" s="37"/>
      <c r="Y18" s="38"/>
      <c r="Z18" s="116"/>
      <c r="AA18" s="112"/>
    </row>
    <row r="19" spans="1:27" ht="15" customHeight="1" x14ac:dyDescent="0.35">
      <c r="A19" s="14">
        <v>1046</v>
      </c>
      <c r="C19" s="25" t="s">
        <v>232</v>
      </c>
      <c r="D19" s="2" t="s">
        <v>236</v>
      </c>
      <c r="G19" s="23"/>
      <c r="I19" s="95"/>
      <c r="J19" s="129"/>
      <c r="K19" s="110"/>
      <c r="L19" s="84"/>
      <c r="M19" s="84"/>
      <c r="N19" s="86"/>
      <c r="O19" s="89"/>
      <c r="P19" s="76"/>
      <c r="Q19" s="73"/>
      <c r="R19" s="73"/>
      <c r="S19" s="115"/>
      <c r="T19" s="37"/>
      <c r="U19" s="37"/>
      <c r="V19" s="38"/>
      <c r="W19" s="32"/>
      <c r="X19" s="37"/>
      <c r="Y19" s="38"/>
      <c r="Z19" s="116"/>
      <c r="AA19" s="112"/>
    </row>
    <row r="20" spans="1:27" ht="15" customHeight="1" x14ac:dyDescent="0.35">
      <c r="C20" s="25"/>
      <c r="G20" s="23"/>
      <c r="H20" s="24" t="s">
        <v>6</v>
      </c>
      <c r="I20" s="94">
        <v>34</v>
      </c>
      <c r="J20" s="181">
        <f>H21*F22*D25*B22</f>
        <v>3.2503461080167377E-2</v>
      </c>
      <c r="K20" s="110">
        <f>T20</f>
        <v>710</v>
      </c>
      <c r="L20" s="84">
        <v>0</v>
      </c>
      <c r="M20" s="84">
        <v>0</v>
      </c>
      <c r="N20" s="86">
        <f>$B$4</f>
        <v>139</v>
      </c>
      <c r="O20" s="89">
        <f>(Q20*S20)+(R20*S7)</f>
        <v>0.86517808219178083</v>
      </c>
      <c r="P20" s="76">
        <v>8</v>
      </c>
      <c r="Q20" s="73">
        <f>(P20/365)</f>
        <v>2.1917808219178082E-2</v>
      </c>
      <c r="R20" s="73">
        <f>1-Q20</f>
        <v>0.9780821917808219</v>
      </c>
      <c r="S20" s="115">
        <f>IF(B2=1, C43, IF(B2=2, C44, IF(B2=3, C45, IF(B2=6, C48, IF(B2=7, C49, IF(B2=8, C50, 0))))))</f>
        <v>0.65</v>
      </c>
      <c r="T20" s="37">
        <v>710</v>
      </c>
      <c r="U20" s="37">
        <v>347</v>
      </c>
      <c r="V20" s="38">
        <v>1160</v>
      </c>
      <c r="W20" s="32">
        <v>915</v>
      </c>
      <c r="X20" s="37">
        <f>W20-Z17</f>
        <v>614.20825575770334</v>
      </c>
      <c r="Y20" s="38">
        <f>W20+Z17</f>
        <v>1215.7917442422968</v>
      </c>
      <c r="Z20" s="116"/>
      <c r="AA20" s="112"/>
    </row>
    <row r="21" spans="1:27" ht="15" customHeight="1" x14ac:dyDescent="0.35">
      <c r="C21" s="25"/>
      <c r="G21" s="23"/>
      <c r="H21" s="24">
        <f>I20/G22</f>
        <v>0.97142857142857142</v>
      </c>
      <c r="I21" s="95"/>
      <c r="J21" s="129"/>
      <c r="K21" s="110"/>
      <c r="L21" s="84"/>
      <c r="M21" s="84"/>
      <c r="N21" s="86"/>
      <c r="O21" s="89"/>
      <c r="P21" s="76"/>
      <c r="Q21" s="73"/>
      <c r="R21" s="73"/>
      <c r="S21" s="115"/>
      <c r="T21" s="37"/>
      <c r="U21" s="37"/>
      <c r="V21" s="38"/>
      <c r="W21" s="32"/>
      <c r="X21" s="37"/>
      <c r="Y21" s="38"/>
      <c r="Z21" s="116"/>
      <c r="AA21" s="112"/>
    </row>
    <row r="22" spans="1:27" x14ac:dyDescent="0.35">
      <c r="B22" s="1">
        <f>1-B11</f>
        <v>0.69216061185468458</v>
      </c>
      <c r="F22" s="9">
        <f>SUM(G22/E24)</f>
        <v>8.4541062801932368E-2</v>
      </c>
      <c r="G22" s="5">
        <v>35</v>
      </c>
      <c r="J22" s="24"/>
      <c r="K22" s="110"/>
      <c r="L22" s="84"/>
      <c r="M22" s="84"/>
      <c r="N22" s="86"/>
      <c r="O22" s="89"/>
      <c r="P22" s="76"/>
      <c r="Q22" s="73"/>
      <c r="R22" s="73"/>
      <c r="S22" s="115"/>
      <c r="T22" s="8"/>
      <c r="U22" s="8"/>
      <c r="V22" s="7"/>
      <c r="W22" s="6"/>
      <c r="X22" s="8"/>
      <c r="Y22" s="7"/>
      <c r="Z22" s="112"/>
      <c r="AA22" s="112"/>
    </row>
    <row r="23" spans="1:27" x14ac:dyDescent="0.35">
      <c r="F23" s="2" t="s">
        <v>21</v>
      </c>
      <c r="G23" s="12">
        <f>(H21*K20+H24*K24)</f>
        <v>772.91428571428571</v>
      </c>
      <c r="H23" s="24" t="s">
        <v>7</v>
      </c>
      <c r="J23" s="24"/>
      <c r="K23" s="110"/>
      <c r="L23" s="84"/>
      <c r="M23" s="84"/>
      <c r="N23" s="86"/>
      <c r="O23" s="89"/>
      <c r="P23" s="76"/>
      <c r="Q23" s="73"/>
      <c r="R23" s="73"/>
      <c r="S23" s="115"/>
      <c r="T23" s="8"/>
      <c r="U23" s="8"/>
      <c r="V23" s="7"/>
      <c r="W23" s="6"/>
      <c r="X23" s="8"/>
      <c r="Y23" s="7"/>
      <c r="Z23" s="112"/>
      <c r="AA23" s="112"/>
    </row>
    <row r="24" spans="1:27" x14ac:dyDescent="0.35">
      <c r="B24" s="1" t="s">
        <v>2</v>
      </c>
      <c r="D24" s="2" t="s">
        <v>23</v>
      </c>
      <c r="E24" s="14">
        <v>414</v>
      </c>
      <c r="G24" s="42">
        <f>(H21*I20)+(H247*I24)</f>
        <v>33.028571428571425</v>
      </c>
      <c r="H24" s="24">
        <f>SUM(I24/$G$22)</f>
        <v>2.8571428571428571E-2</v>
      </c>
      <c r="I24" s="94">
        <v>1</v>
      </c>
      <c r="J24" s="181">
        <f>H24*F22*D25*B22</f>
        <v>9.5598414941668736E-4</v>
      </c>
      <c r="K24" s="110">
        <f>T24</f>
        <v>2912</v>
      </c>
      <c r="L24" s="84">
        <v>0</v>
      </c>
      <c r="M24" s="84">
        <v>0</v>
      </c>
      <c r="N24" s="86">
        <f>$B$4</f>
        <v>139</v>
      </c>
      <c r="O24" s="89">
        <f>(Q24*S24)+(R24*S7)</f>
        <v>0.86391780821917796</v>
      </c>
      <c r="P24" s="76">
        <v>6</v>
      </c>
      <c r="Q24" s="73">
        <f>(P24/365)</f>
        <v>1.643835616438356E-2</v>
      </c>
      <c r="R24" s="73">
        <f>1-Q24</f>
        <v>0.98356164383561639</v>
      </c>
      <c r="S24" s="115">
        <f>IF(B2=1, D43, IF(B2=2, D44, IF(B2=3, D45, IF(B2=6, D48, IF(B2=7, D49, IF(B2=8, D50, 0))))))</f>
        <v>0.5</v>
      </c>
      <c r="T24" s="37">
        <v>2912</v>
      </c>
      <c r="U24" s="37">
        <v>2912</v>
      </c>
      <c r="V24" s="38">
        <v>2912</v>
      </c>
      <c r="W24" s="32">
        <v>2912</v>
      </c>
      <c r="X24" s="37">
        <v>2912</v>
      </c>
      <c r="Y24" s="38"/>
      <c r="Z24" s="116"/>
      <c r="AA24" s="112"/>
    </row>
    <row r="25" spans="1:27" ht="15" thickBot="1" x14ac:dyDescent="0.4">
      <c r="D25" s="9">
        <f>1-D32</f>
        <v>0.57179999999999997</v>
      </c>
      <c r="E25" s="16">
        <f>(F22*G23+F25*G27)</f>
        <v>65.34299516908213</v>
      </c>
      <c r="F25" s="9">
        <f>SUM(G26/E24)</f>
        <v>0.91545893719806759</v>
      </c>
      <c r="J25" s="24"/>
      <c r="K25" s="110"/>
      <c r="L25" s="84"/>
      <c r="M25" s="84"/>
      <c r="N25" s="86"/>
      <c r="O25" s="89"/>
      <c r="P25" s="76"/>
      <c r="Q25" s="73"/>
      <c r="R25" s="73"/>
      <c r="S25" s="115"/>
      <c r="T25" s="8"/>
      <c r="U25" s="8"/>
      <c r="V25" s="7"/>
      <c r="W25" s="6"/>
      <c r="X25" s="8"/>
      <c r="Y25" s="7"/>
      <c r="Z25" s="112"/>
      <c r="AA25" s="112"/>
    </row>
    <row r="26" spans="1:27" ht="15" thickBot="1" x14ac:dyDescent="0.4">
      <c r="C26" s="14">
        <v>724</v>
      </c>
      <c r="E26" s="40">
        <f>(F22*G24)+(F25*G28)</f>
        <v>2.7922705314009657</v>
      </c>
      <c r="F26" s="2" t="s">
        <v>4</v>
      </c>
      <c r="G26" s="18">
        <v>379</v>
      </c>
      <c r="J26" s="24">
        <f>F25*D25*B22</f>
        <v>0.36231799262892456</v>
      </c>
      <c r="K26" s="110">
        <f>T26</f>
        <v>0</v>
      </c>
      <c r="L26" s="84">
        <v>0</v>
      </c>
      <c r="M26" s="84">
        <v>0</v>
      </c>
      <c r="N26" s="86">
        <f>$B$4</f>
        <v>139</v>
      </c>
      <c r="O26" s="89">
        <f>(R26*S26)</f>
        <v>0.87</v>
      </c>
      <c r="P26" s="76">
        <v>0</v>
      </c>
      <c r="Q26" s="73">
        <f>(P26/365)</f>
        <v>0</v>
      </c>
      <c r="R26" s="73">
        <f>1-Q26</f>
        <v>1</v>
      </c>
      <c r="S26" s="115">
        <f>IF(B2=1, B43, IF(B2=2, B44, IF(B2=3, B45, IF(B2=6, B48, IF(B2=7, B49, IF(B2=8, B50, 0))))))</f>
        <v>0.87</v>
      </c>
      <c r="T26" s="37">
        <v>0</v>
      </c>
      <c r="U26" s="37"/>
      <c r="V26" s="38"/>
      <c r="W26" s="32"/>
      <c r="X26" s="37"/>
      <c r="Y26" s="38"/>
      <c r="Z26" s="116"/>
      <c r="AA26" s="112"/>
    </row>
    <row r="27" spans="1:27" x14ac:dyDescent="0.35">
      <c r="C27" s="16">
        <f>(D25*E25+D32*E34)</f>
        <v>294.64502270219725</v>
      </c>
      <c r="G27" s="41">
        <f>K26</f>
        <v>0</v>
      </c>
      <c r="J27" s="24"/>
      <c r="K27" s="110"/>
      <c r="L27" s="84"/>
      <c r="M27" s="84"/>
      <c r="N27" s="86"/>
      <c r="O27" s="89"/>
      <c r="P27" s="76"/>
      <c r="Q27" s="73"/>
      <c r="R27" s="73"/>
      <c r="S27" s="115"/>
      <c r="T27" s="112"/>
      <c r="U27" s="112"/>
      <c r="V27" s="117"/>
      <c r="W27" s="10"/>
      <c r="X27" s="112"/>
      <c r="Y27" s="117"/>
      <c r="Z27" s="116">
        <f>CONFIDENCE(0.05, 874.6346, 17)</f>
        <v>415.76725684193281</v>
      </c>
      <c r="AA27" s="112"/>
    </row>
    <row r="28" spans="1:27" x14ac:dyDescent="0.35">
      <c r="C28" s="240">
        <f>(D25*E26)+(D32*E35)</f>
        <v>2.0013383543712013</v>
      </c>
      <c r="G28" s="105">
        <f>I26</f>
        <v>0</v>
      </c>
      <c r="I28" s="95"/>
      <c r="J28" s="129"/>
      <c r="K28" s="110"/>
      <c r="L28" s="84"/>
      <c r="M28" s="84"/>
      <c r="N28" s="86"/>
      <c r="O28" s="89"/>
      <c r="P28" s="76"/>
      <c r="Q28" s="73"/>
      <c r="R28" s="73"/>
      <c r="S28" s="115"/>
      <c r="T28" s="37"/>
      <c r="U28" s="37"/>
      <c r="V28" s="38"/>
      <c r="W28" s="32"/>
      <c r="X28" s="37"/>
      <c r="Y28" s="38"/>
      <c r="Z28" s="116"/>
      <c r="AA28" s="112"/>
    </row>
    <row r="29" spans="1:27" x14ac:dyDescent="0.35">
      <c r="C29" s="26"/>
      <c r="G29" s="23"/>
      <c r="H29" s="24" t="s">
        <v>6</v>
      </c>
      <c r="I29" s="95"/>
      <c r="J29" s="129"/>
      <c r="K29" s="110"/>
      <c r="L29" s="84"/>
      <c r="M29" s="84"/>
      <c r="N29" s="86"/>
      <c r="O29" s="89"/>
      <c r="P29" s="76"/>
      <c r="Q29" s="73"/>
      <c r="R29" s="73"/>
      <c r="S29" s="115"/>
      <c r="T29" s="37"/>
      <c r="U29" s="37"/>
      <c r="V29" s="38"/>
      <c r="W29" s="32"/>
      <c r="X29" s="37"/>
      <c r="Y29" s="38"/>
      <c r="Z29" s="116"/>
      <c r="AA29" s="112"/>
    </row>
    <row r="30" spans="1:27" x14ac:dyDescent="0.35">
      <c r="C30" s="27"/>
      <c r="D30" s="2" t="s">
        <v>246</v>
      </c>
      <c r="G30" s="23"/>
      <c r="H30" s="24">
        <f>I30/G31</f>
        <v>0.89473684210526316</v>
      </c>
      <c r="I30" s="94">
        <v>17</v>
      </c>
      <c r="J30" s="181">
        <f>H30*F31*D32*B22</f>
        <v>1.6253270832048358E-2</v>
      </c>
      <c r="K30" s="110">
        <f>T30</f>
        <v>670</v>
      </c>
      <c r="L30" s="84">
        <v>0</v>
      </c>
      <c r="M30" s="84">
        <v>0</v>
      </c>
      <c r="N30" s="86">
        <f>$B$4</f>
        <v>139</v>
      </c>
      <c r="O30" s="89">
        <f>(Q30*S30)+(R30*S7)</f>
        <v>0.86397260273972598</v>
      </c>
      <c r="P30" s="76">
        <v>10</v>
      </c>
      <c r="Q30" s="73">
        <f>(P30/365)</f>
        <v>2.7397260273972601E-2</v>
      </c>
      <c r="R30" s="73">
        <f>1-Q30</f>
        <v>0.9726027397260274</v>
      </c>
      <c r="S30" s="115">
        <f>IF(B2=1, C43, IF(B2=2, C44, IF(B2=3, C45, IF(B2=6, C48, IF(B2=7, C49, IF(B2=8, C50, 0))))))</f>
        <v>0.65</v>
      </c>
      <c r="T30" s="37">
        <v>670</v>
      </c>
      <c r="U30" s="37">
        <v>500</v>
      </c>
      <c r="V30" s="38">
        <v>670</v>
      </c>
      <c r="W30" s="32">
        <v>999</v>
      </c>
      <c r="X30" s="37">
        <f>W30-Z27</f>
        <v>583.23274315806725</v>
      </c>
      <c r="Y30" s="38">
        <f>W30+Z27</f>
        <v>1414.7672568419327</v>
      </c>
      <c r="Z30" s="116"/>
      <c r="AA30" s="112"/>
    </row>
    <row r="31" spans="1:27" x14ac:dyDescent="0.35">
      <c r="C31" s="1"/>
      <c r="D31" s="2" t="s">
        <v>24</v>
      </c>
      <c r="E31" s="2" t="s">
        <v>5</v>
      </c>
      <c r="F31" s="9">
        <f>SUM(G31/E33)</f>
        <v>6.1290322580645158E-2</v>
      </c>
      <c r="G31" s="5">
        <v>19</v>
      </c>
      <c r="J31" s="24"/>
      <c r="K31" s="110"/>
      <c r="L31" s="84"/>
      <c r="M31" s="84"/>
      <c r="N31" s="86"/>
      <c r="O31" s="89"/>
      <c r="P31" s="76"/>
      <c r="Q31" s="73"/>
      <c r="R31" s="73"/>
      <c r="S31" s="115"/>
      <c r="T31" s="8"/>
      <c r="U31" s="8"/>
      <c r="V31" s="7"/>
      <c r="W31" s="6"/>
      <c r="X31" s="8"/>
      <c r="Y31" s="7"/>
      <c r="Z31" s="112"/>
      <c r="AA31" s="112"/>
    </row>
    <row r="32" spans="1:27" x14ac:dyDescent="0.35">
      <c r="D32" s="9">
        <v>0.42820000000000003</v>
      </c>
      <c r="F32" s="2" t="s">
        <v>21</v>
      </c>
      <c r="G32" s="12">
        <f>(H30*K30+H33*K33)</f>
        <v>9803.2631578947367</v>
      </c>
      <c r="H32" s="24" t="s">
        <v>7</v>
      </c>
      <c r="J32" s="24"/>
      <c r="K32" s="110"/>
      <c r="L32" s="84"/>
      <c r="M32" s="84"/>
      <c r="N32" s="86"/>
      <c r="O32" s="89"/>
      <c r="P32" s="76"/>
      <c r="Q32" s="73"/>
      <c r="R32" s="73"/>
      <c r="S32" s="115"/>
      <c r="T32" s="8"/>
      <c r="U32" s="8"/>
      <c r="V32" s="7"/>
      <c r="W32" s="6"/>
      <c r="X32" s="8"/>
      <c r="Y32" s="7"/>
      <c r="Z32" s="112"/>
      <c r="AA32" s="112"/>
    </row>
    <row r="33" spans="1:27" x14ac:dyDescent="0.35">
      <c r="E33" s="14">
        <v>310</v>
      </c>
      <c r="G33" s="42">
        <f>(H30*I30)+(H33*I33)</f>
        <v>15.421052631578949</v>
      </c>
      <c r="H33" s="24">
        <f>SUM(I33/$G$31)</f>
        <v>0.10526315789473684</v>
      </c>
      <c r="I33" s="94">
        <v>2</v>
      </c>
      <c r="J33" s="181">
        <f>H33*F31*D32*B22</f>
        <v>1.9121495096527477E-3</v>
      </c>
      <c r="K33" s="110">
        <f>T33</f>
        <v>87436</v>
      </c>
      <c r="L33" s="84">
        <v>0</v>
      </c>
      <c r="M33" s="84">
        <v>0</v>
      </c>
      <c r="N33" s="86">
        <f>$B$4</f>
        <v>139</v>
      </c>
      <c r="O33" s="89">
        <f>(Q33*S33)+(R33*S7)</f>
        <v>0.85783561643835626</v>
      </c>
      <c r="P33" s="76">
        <v>12</v>
      </c>
      <c r="Q33" s="73">
        <f>(P33/365)</f>
        <v>3.287671232876712E-2</v>
      </c>
      <c r="R33" s="73">
        <f>1-Q33</f>
        <v>0.9671232876712329</v>
      </c>
      <c r="S33" s="115">
        <f>IF(B2=1, D43, IF(B2=2, D44, IF(B2=3, D45, IF(B2=6, D48, IF(B2=7, D49, IF(B2=8, D50, 0))))))</f>
        <v>0.5</v>
      </c>
      <c r="T33" s="37">
        <v>87436</v>
      </c>
      <c r="U33" s="37">
        <v>13887</v>
      </c>
      <c r="V33" s="38">
        <v>160985</v>
      </c>
      <c r="W33" s="32">
        <v>87436</v>
      </c>
      <c r="X33" s="37">
        <f>W33-Z33</f>
        <v>-56717.400385907356</v>
      </c>
      <c r="Y33" s="38">
        <f>W33+Z33</f>
        <v>231589.40038590736</v>
      </c>
      <c r="Z33" s="116">
        <f>CONFIDENCE(0.05, 104014, 2)</f>
        <v>144153.40038590736</v>
      </c>
      <c r="AA33" s="112"/>
    </row>
    <row r="34" spans="1:27" ht="15" thickBot="1" x14ac:dyDescent="0.4">
      <c r="E34" s="16">
        <f>(F31*G32+F34*G36)</f>
        <v>600.84516129032249</v>
      </c>
      <c r="F34" s="9">
        <f>SUM(G35/E33)</f>
        <v>0.93870967741935485</v>
      </c>
      <c r="J34" s="24"/>
      <c r="K34" s="110"/>
      <c r="L34" s="84"/>
      <c r="M34" s="84"/>
      <c r="N34" s="86"/>
      <c r="O34" s="89"/>
      <c r="P34" s="76"/>
      <c r="Q34" s="73"/>
      <c r="R34" s="73"/>
      <c r="S34" s="115"/>
      <c r="T34" s="8"/>
      <c r="U34" s="8"/>
      <c r="V34" s="7"/>
      <c r="W34" s="6"/>
      <c r="X34" s="8"/>
      <c r="Y34" s="7"/>
      <c r="Z34" s="112"/>
      <c r="AA34" s="112"/>
    </row>
    <row r="35" spans="1:27" ht="15" thickBot="1" x14ac:dyDescent="0.4">
      <c r="E35" s="40">
        <f>(F31*G33)+(F34*G37)</f>
        <v>0.94516129032258067</v>
      </c>
      <c r="F35" s="2" t="s">
        <v>4</v>
      </c>
      <c r="G35" s="18">
        <v>291</v>
      </c>
      <c r="J35" s="24">
        <f>F34*D32*B22</f>
        <v>0.27821775365447482</v>
      </c>
      <c r="K35" s="110">
        <f>T35</f>
        <v>0</v>
      </c>
      <c r="L35" s="84">
        <v>0</v>
      </c>
      <c r="M35" s="84">
        <v>0</v>
      </c>
      <c r="N35" s="86">
        <f>$B$4</f>
        <v>139</v>
      </c>
      <c r="O35" s="89">
        <f>(R35*S35)</f>
        <v>0.87</v>
      </c>
      <c r="P35" s="76">
        <v>0</v>
      </c>
      <c r="Q35" s="73">
        <f>(P35/365)</f>
        <v>0</v>
      </c>
      <c r="R35" s="73">
        <f>1-Q35</f>
        <v>1</v>
      </c>
      <c r="S35" s="115">
        <f>IF(B2=1, B43, IF(B2=2, B44, IF(B2=3, B45, IF(B2=6, B48, IF(B2=7, B49, IF(B2=8, B50, 0))))))</f>
        <v>0.87</v>
      </c>
      <c r="T35" s="37">
        <v>0</v>
      </c>
      <c r="U35" s="37"/>
      <c r="V35" s="38"/>
      <c r="W35" s="32"/>
      <c r="X35" s="37"/>
      <c r="Y35" s="38"/>
      <c r="Z35" s="116"/>
      <c r="AA35" s="112"/>
    </row>
    <row r="36" spans="1:27" x14ac:dyDescent="0.35">
      <c r="E36" s="26"/>
      <c r="G36" s="43">
        <f>T35</f>
        <v>0</v>
      </c>
      <c r="J36" s="2"/>
      <c r="K36" s="121"/>
      <c r="L36" s="84"/>
      <c r="M36" s="84"/>
      <c r="N36" s="86"/>
      <c r="O36" s="122"/>
      <c r="P36" s="76"/>
      <c r="Q36" s="76"/>
      <c r="R36" s="76"/>
      <c r="S36" s="115"/>
      <c r="Z36" s="116"/>
      <c r="AA36" s="112"/>
    </row>
    <row r="37" spans="1:27" ht="15" thickBot="1" x14ac:dyDescent="0.4">
      <c r="G37" s="105">
        <f>I35</f>
        <v>0</v>
      </c>
      <c r="J37" s="2"/>
      <c r="K37" s="111"/>
      <c r="L37" s="85"/>
      <c r="M37" s="85"/>
      <c r="N37" s="87"/>
      <c r="O37" s="120"/>
      <c r="P37" s="79"/>
      <c r="Q37" s="79"/>
      <c r="R37" s="79"/>
      <c r="S37" s="123"/>
      <c r="T37" s="30"/>
      <c r="U37" s="30"/>
      <c r="V37" s="29"/>
      <c r="W37" s="28"/>
      <c r="X37" s="30"/>
      <c r="Y37" s="29"/>
      <c r="Z37" s="112"/>
      <c r="AA37" s="112"/>
    </row>
    <row r="38" spans="1:27" x14ac:dyDescent="0.35">
      <c r="I38" s="92">
        <f>SUM(I2:I37)</f>
        <v>72</v>
      </c>
      <c r="J38" s="92">
        <f>SUM(J2:J37)</f>
        <v>1</v>
      </c>
    </row>
    <row r="41" spans="1:27" x14ac:dyDescent="0.35">
      <c r="A41" s="34"/>
      <c r="B41" s="270" t="s">
        <v>25</v>
      </c>
      <c r="C41" s="270"/>
      <c r="D41" s="270"/>
      <c r="E41" s="220"/>
      <c r="F41" s="34"/>
      <c r="G41" s="34"/>
      <c r="H41" s="34"/>
      <c r="I41" s="96"/>
      <c r="J41" s="96"/>
    </row>
    <row r="42" spans="1:27" x14ac:dyDescent="0.35">
      <c r="A42" s="220" t="s">
        <v>26</v>
      </c>
      <c r="B42" s="220" t="s">
        <v>22</v>
      </c>
      <c r="C42" s="220" t="s">
        <v>32</v>
      </c>
      <c r="D42" s="220" t="s">
        <v>33</v>
      </c>
      <c r="E42" s="220" t="s">
        <v>28</v>
      </c>
      <c r="F42" s="34"/>
      <c r="G42" s="34"/>
      <c r="H42" s="34"/>
      <c r="I42" s="96"/>
      <c r="J42" s="96"/>
    </row>
    <row r="43" spans="1:27" x14ac:dyDescent="0.35">
      <c r="A43" s="220">
        <v>1</v>
      </c>
      <c r="B43" s="220">
        <v>0.95</v>
      </c>
      <c r="C43" s="220">
        <v>0.57999999999999996</v>
      </c>
      <c r="D43" s="220">
        <v>0.57999999999999996</v>
      </c>
      <c r="E43" s="220" t="s">
        <v>27</v>
      </c>
      <c r="F43" s="34" t="s">
        <v>34</v>
      </c>
      <c r="G43" s="34"/>
      <c r="H43" s="34"/>
      <c r="I43" s="96"/>
      <c r="J43" s="96"/>
    </row>
    <row r="44" spans="1:27" x14ac:dyDescent="0.35">
      <c r="A44" s="220">
        <v>2</v>
      </c>
      <c r="B44" s="220">
        <v>0.87</v>
      </c>
      <c r="C44" s="220">
        <v>0.65</v>
      </c>
      <c r="D44" s="36">
        <v>0.5</v>
      </c>
      <c r="E44" s="220" t="s">
        <v>29</v>
      </c>
      <c r="F44" s="34" t="s">
        <v>35</v>
      </c>
      <c r="G44" s="34"/>
      <c r="H44" s="34"/>
      <c r="I44" s="96"/>
      <c r="J44" s="96"/>
    </row>
    <row r="45" spans="1:27" x14ac:dyDescent="0.35">
      <c r="A45" s="220">
        <v>3</v>
      </c>
      <c r="B45" s="220">
        <v>0.87</v>
      </c>
      <c r="C45" s="220">
        <v>0.52</v>
      </c>
      <c r="D45" s="220">
        <v>0.05</v>
      </c>
      <c r="E45" s="220" t="s">
        <v>30</v>
      </c>
      <c r="F45" s="34" t="s">
        <v>35</v>
      </c>
      <c r="G45" s="34"/>
      <c r="H45" s="34"/>
      <c r="I45" s="96"/>
      <c r="J45" s="96"/>
    </row>
    <row r="46" spans="1:27" x14ac:dyDescent="0.35">
      <c r="A46" s="220">
        <v>4</v>
      </c>
      <c r="B46" s="220">
        <v>0.87</v>
      </c>
      <c r="C46" s="220"/>
      <c r="D46" s="34"/>
      <c r="E46" s="220" t="s">
        <v>31</v>
      </c>
      <c r="F46" s="34" t="s">
        <v>37</v>
      </c>
      <c r="G46" s="34"/>
      <c r="H46" s="34"/>
      <c r="I46" s="96"/>
      <c r="J46" s="96"/>
    </row>
    <row r="47" spans="1:27" x14ac:dyDescent="0.35">
      <c r="A47" s="220">
        <v>5</v>
      </c>
      <c r="B47" s="220">
        <v>0.73</v>
      </c>
      <c r="C47" s="220"/>
      <c r="D47" s="34"/>
      <c r="E47" s="220" t="s">
        <v>31</v>
      </c>
      <c r="F47" s="34" t="s">
        <v>36</v>
      </c>
      <c r="G47" s="34"/>
      <c r="H47" s="34"/>
      <c r="I47" s="96"/>
      <c r="J47" s="96"/>
    </row>
    <row r="48" spans="1:27" x14ac:dyDescent="0.35">
      <c r="A48" s="220">
        <v>6</v>
      </c>
      <c r="B48" s="220"/>
      <c r="C48" s="220">
        <v>0.99</v>
      </c>
      <c r="D48" s="220">
        <v>0.95</v>
      </c>
      <c r="E48" s="220" t="s">
        <v>69</v>
      </c>
      <c r="F48" s="34" t="s">
        <v>162</v>
      </c>
      <c r="G48" s="34"/>
      <c r="H48" s="34"/>
      <c r="I48" s="104"/>
      <c r="J48" s="104"/>
    </row>
    <row r="49" spans="1:25" x14ac:dyDescent="0.35">
      <c r="A49" s="184">
        <v>7</v>
      </c>
      <c r="B49" s="184">
        <v>0.93300000000000005</v>
      </c>
      <c r="C49" s="184">
        <v>0.55800000000000005</v>
      </c>
      <c r="D49" s="184">
        <v>0.55800000000000005</v>
      </c>
      <c r="E49" s="184" t="s">
        <v>223</v>
      </c>
      <c r="F49" s="185" t="s">
        <v>224</v>
      </c>
      <c r="G49" s="185"/>
      <c r="H49" s="185"/>
      <c r="I49" s="186"/>
      <c r="J49" s="178"/>
    </row>
    <row r="50" spans="1:25" s="22" customFormat="1" x14ac:dyDescent="0.35">
      <c r="A50" s="184">
        <v>8</v>
      </c>
      <c r="B50" s="184">
        <v>0.92</v>
      </c>
      <c r="C50" s="184">
        <v>0.65900000000000003</v>
      </c>
      <c r="D50" s="184">
        <v>0.51400000000000001</v>
      </c>
      <c r="E50" s="184" t="s">
        <v>226</v>
      </c>
      <c r="F50" s="185" t="s">
        <v>227</v>
      </c>
      <c r="G50" s="185"/>
      <c r="H50" s="185"/>
      <c r="I50" s="186"/>
      <c r="J50" s="178"/>
      <c r="K50" s="107"/>
      <c r="L50" s="19"/>
      <c r="M50" s="19"/>
      <c r="N50" s="19"/>
      <c r="O50" s="107"/>
      <c r="P50" s="19"/>
      <c r="Q50" s="19"/>
      <c r="R50" s="19"/>
      <c r="S50" s="19"/>
      <c r="T50" s="19"/>
      <c r="U50" s="19"/>
      <c r="V50" s="19"/>
      <c r="W50" s="19"/>
      <c r="X50" s="19"/>
      <c r="Y50" s="19"/>
    </row>
    <row r="51" spans="1:25" s="22" customFormat="1" x14ac:dyDescent="0.35">
      <c r="A51" s="187"/>
      <c r="B51" s="187"/>
      <c r="C51" s="187"/>
      <c r="D51" s="187"/>
      <c r="E51" s="187"/>
      <c r="F51" s="188"/>
      <c r="G51" s="188"/>
      <c r="H51" s="188"/>
      <c r="I51" s="189"/>
      <c r="J51" s="190"/>
      <c r="K51" s="107"/>
      <c r="L51" s="19"/>
      <c r="M51" s="19"/>
      <c r="N51" s="19"/>
      <c r="O51" s="107"/>
      <c r="P51" s="19"/>
      <c r="Q51" s="19"/>
      <c r="R51" s="19"/>
      <c r="S51" s="19"/>
      <c r="T51" s="19"/>
      <c r="U51" s="19"/>
      <c r="V51" s="19"/>
      <c r="W51" s="19"/>
      <c r="X51" s="19"/>
      <c r="Y51" s="19"/>
    </row>
    <row r="52" spans="1:25" ht="58" x14ac:dyDescent="0.35">
      <c r="A52" s="220" t="s">
        <v>73</v>
      </c>
      <c r="B52" s="53" t="s">
        <v>135</v>
      </c>
      <c r="C52" s="53" t="s">
        <v>136</v>
      </c>
      <c r="D52" s="53" t="s">
        <v>262</v>
      </c>
      <c r="E52" s="53" t="s">
        <v>263</v>
      </c>
      <c r="F52" s="130" t="s">
        <v>261</v>
      </c>
      <c r="K52" s="1"/>
      <c r="L52" s="1"/>
    </row>
    <row r="53" spans="1:25" hidden="1" x14ac:dyDescent="0.35">
      <c r="A53" s="220">
        <v>1</v>
      </c>
      <c r="B53" s="98">
        <f>316.7/$B$83</f>
        <v>10.30992736568817</v>
      </c>
      <c r="C53" s="98">
        <f>294.63/$B$83</f>
        <v>9.5914553197117325</v>
      </c>
      <c r="D53" s="98">
        <v>0.41610000000000003</v>
      </c>
      <c r="E53" s="220">
        <v>2.0013000000000001</v>
      </c>
      <c r="F53" s="106">
        <f>(B53-C53)/(D53-E53)</f>
        <v>-0.45323747538256193</v>
      </c>
      <c r="K53" s="1"/>
      <c r="L53" s="1"/>
    </row>
    <row r="54" spans="1:25" ht="18.5" x14ac:dyDescent="0.35">
      <c r="A54" s="216">
        <v>2</v>
      </c>
      <c r="B54" s="230">
        <f>316.7/$B$83</f>
        <v>10.30992736568817</v>
      </c>
      <c r="C54" s="230">
        <f>294.63/$B$83</f>
        <v>9.5914553197117325</v>
      </c>
      <c r="D54" s="230">
        <v>0.41599999999999998</v>
      </c>
      <c r="E54" s="216">
        <v>2.0013000000000001</v>
      </c>
      <c r="F54" s="235">
        <f>(B54-C54)/(D54-E54)</f>
        <v>-0.45320888536960641</v>
      </c>
      <c r="K54" s="1"/>
      <c r="L54" s="1"/>
    </row>
    <row r="55" spans="1:25" hidden="1" x14ac:dyDescent="0.35">
      <c r="A55" s="220">
        <v>3</v>
      </c>
      <c r="B55" s="98">
        <f>316.7/$B$83</f>
        <v>10.30992736568817</v>
      </c>
      <c r="C55" s="98">
        <f>294.63/$B$83</f>
        <v>9.5914553197117325</v>
      </c>
      <c r="D55" s="98">
        <v>0.41599999999999998</v>
      </c>
      <c r="E55" s="220">
        <v>2.0013000000000001</v>
      </c>
      <c r="F55" s="106">
        <f>(B55-C55)/(D55-E55)</f>
        <v>-0.45320888536960641</v>
      </c>
      <c r="K55" s="1"/>
      <c r="L55" s="1"/>
    </row>
    <row r="56" spans="1:25" hidden="1" x14ac:dyDescent="0.35">
      <c r="A56" s="184">
        <v>7</v>
      </c>
      <c r="B56" s="192">
        <f>316.7/$B$83</f>
        <v>10.30992736568817</v>
      </c>
      <c r="C56" s="192">
        <f>294.63/$B$83</f>
        <v>9.5914553197117325</v>
      </c>
      <c r="D56" s="192">
        <v>0.41599999999999998</v>
      </c>
      <c r="E56" s="184">
        <v>2.0013000000000001</v>
      </c>
      <c r="F56" s="193">
        <f>(B56-C56)/(D56-E56)</f>
        <v>-0.45320888536960641</v>
      </c>
      <c r="K56" s="1"/>
      <c r="L56" s="1"/>
    </row>
    <row r="57" spans="1:25" hidden="1" x14ac:dyDescent="0.35">
      <c r="A57" s="184">
        <v>8</v>
      </c>
      <c r="B57" s="192">
        <f>316.7/$B$83</f>
        <v>10.30992736568817</v>
      </c>
      <c r="C57" s="192">
        <f>294.63/$B$83</f>
        <v>9.5914553197117325</v>
      </c>
      <c r="D57" s="184">
        <v>0.41599999999999998</v>
      </c>
      <c r="E57" s="184">
        <v>2.0013000000000001</v>
      </c>
      <c r="F57" s="193">
        <f>(B57-C57)/(D57-E57)</f>
        <v>-0.45320888536960641</v>
      </c>
      <c r="K57" s="1"/>
      <c r="L57" s="1"/>
    </row>
    <row r="58" spans="1:25" x14ac:dyDescent="0.35">
      <c r="K58" s="1"/>
      <c r="L58" s="1"/>
    </row>
    <row r="59" spans="1:25" hidden="1" x14ac:dyDescent="0.35">
      <c r="B59" s="271" t="s">
        <v>97</v>
      </c>
      <c r="C59" s="272"/>
      <c r="D59" s="271" t="s">
        <v>98</v>
      </c>
      <c r="E59" s="272"/>
      <c r="F59" s="271" t="s">
        <v>99</v>
      </c>
      <c r="G59" s="272"/>
      <c r="K59" s="1"/>
      <c r="L59" s="1"/>
    </row>
    <row r="60" spans="1:25" hidden="1" x14ac:dyDescent="0.35">
      <c r="A60" s="1" t="s">
        <v>90</v>
      </c>
      <c r="B60" s="6" t="s">
        <v>81</v>
      </c>
      <c r="C60" s="7" t="s">
        <v>82</v>
      </c>
      <c r="D60" s="6" t="s">
        <v>81</v>
      </c>
      <c r="E60" s="7" t="s">
        <v>82</v>
      </c>
      <c r="F60" s="6" t="s">
        <v>81</v>
      </c>
      <c r="G60" s="7" t="s">
        <v>82</v>
      </c>
      <c r="K60" s="1"/>
      <c r="L60" s="1"/>
    </row>
    <row r="61" spans="1:25" hidden="1" x14ac:dyDescent="0.35">
      <c r="A61" s="1" t="s">
        <v>80</v>
      </c>
      <c r="B61" s="6">
        <v>8</v>
      </c>
      <c r="C61" s="56" t="s">
        <v>92</v>
      </c>
      <c r="D61" s="6">
        <v>8</v>
      </c>
      <c r="E61" s="58" t="s">
        <v>92</v>
      </c>
      <c r="F61" s="6">
        <v>8.5</v>
      </c>
      <c r="G61" s="58" t="s">
        <v>105</v>
      </c>
      <c r="K61" s="1"/>
      <c r="L61" s="1"/>
    </row>
    <row r="62" spans="1:25" hidden="1" x14ac:dyDescent="0.35">
      <c r="A62" s="1" t="s">
        <v>83</v>
      </c>
      <c r="B62" s="6">
        <v>10.5</v>
      </c>
      <c r="C62" s="55" t="s">
        <v>93</v>
      </c>
      <c r="D62" s="6"/>
      <c r="E62" s="58"/>
      <c r="F62" s="6">
        <v>10.5</v>
      </c>
      <c r="G62" s="58" t="s">
        <v>93</v>
      </c>
      <c r="K62" s="1"/>
      <c r="L62" s="1"/>
    </row>
    <row r="63" spans="1:25" hidden="1" x14ac:dyDescent="0.35">
      <c r="A63" s="1" t="s">
        <v>84</v>
      </c>
      <c r="B63" s="6">
        <v>9</v>
      </c>
      <c r="C63" s="56" t="s">
        <v>88</v>
      </c>
      <c r="D63" s="6">
        <v>8</v>
      </c>
      <c r="E63" s="58" t="s">
        <v>88</v>
      </c>
      <c r="F63" s="6">
        <v>10</v>
      </c>
      <c r="G63" s="58" t="s">
        <v>104</v>
      </c>
      <c r="K63" s="1"/>
      <c r="L63" s="1"/>
    </row>
    <row r="64" spans="1:25" ht="15" hidden="1" thickBot="1" x14ac:dyDescent="0.4">
      <c r="A64" s="1" t="s">
        <v>85</v>
      </c>
      <c r="B64" s="28">
        <v>9</v>
      </c>
      <c r="C64" s="57" t="s">
        <v>91</v>
      </c>
      <c r="D64" s="28">
        <v>6</v>
      </c>
      <c r="E64" s="59" t="s">
        <v>106</v>
      </c>
      <c r="F64" s="28">
        <v>12</v>
      </c>
      <c r="G64" s="59" t="s">
        <v>107</v>
      </c>
      <c r="K64" s="1"/>
      <c r="L64" s="1"/>
    </row>
    <row r="65" spans="1:12" hidden="1" x14ac:dyDescent="0.35">
      <c r="K65" s="1"/>
      <c r="L65" s="1"/>
    </row>
    <row r="66" spans="1:12" hidden="1" x14ac:dyDescent="0.35">
      <c r="K66" s="1"/>
      <c r="L66" s="1"/>
    </row>
    <row r="67" spans="1:12" ht="29" hidden="1" x14ac:dyDescent="0.35">
      <c r="A67" s="118" t="s">
        <v>142</v>
      </c>
      <c r="B67" s="103">
        <v>6229.2</v>
      </c>
      <c r="K67" s="1"/>
      <c r="L67" s="1"/>
    </row>
    <row r="68" spans="1:12" hidden="1" x14ac:dyDescent="0.35">
      <c r="A68" s="92"/>
      <c r="B68" s="2"/>
      <c r="K68" s="1"/>
      <c r="L68" s="1"/>
    </row>
    <row r="69" spans="1:12" hidden="1" x14ac:dyDescent="0.35">
      <c r="A69" s="92"/>
      <c r="B69" s="2"/>
    </row>
    <row r="70" spans="1:12" hidden="1" x14ac:dyDescent="0.35">
      <c r="A70" s="92"/>
      <c r="B70" s="2" t="s">
        <v>160</v>
      </c>
    </row>
    <row r="71" spans="1:12" hidden="1" x14ac:dyDescent="0.35">
      <c r="A71" s="128" t="s">
        <v>145</v>
      </c>
      <c r="B71" s="24">
        <v>30.062888000000001</v>
      </c>
    </row>
    <row r="72" spans="1:12" hidden="1" x14ac:dyDescent="0.35">
      <c r="A72" s="128" t="s">
        <v>146</v>
      </c>
      <c r="B72" s="24">
        <v>29.825816</v>
      </c>
    </row>
    <row r="73" spans="1:12" hidden="1" x14ac:dyDescent="0.35">
      <c r="A73" s="128" t="s">
        <v>147</v>
      </c>
      <c r="B73" s="24">
        <v>29.512591</v>
      </c>
    </row>
    <row r="74" spans="1:12" hidden="1" x14ac:dyDescent="0.35">
      <c r="A74" s="128" t="s">
        <v>148</v>
      </c>
      <c r="B74" s="24">
        <v>29.07292</v>
      </c>
    </row>
    <row r="75" spans="1:12" hidden="1" x14ac:dyDescent="0.35">
      <c r="A75" s="128" t="s">
        <v>149</v>
      </c>
      <c r="B75" s="24">
        <v>29.789183999999999</v>
      </c>
    </row>
    <row r="76" spans="1:12" hidden="1" x14ac:dyDescent="0.35">
      <c r="A76" s="128" t="s">
        <v>150</v>
      </c>
      <c r="B76" s="24">
        <v>30.810983</v>
      </c>
    </row>
    <row r="77" spans="1:12" hidden="1" x14ac:dyDescent="0.35">
      <c r="A77" s="128" t="s">
        <v>151</v>
      </c>
      <c r="B77" s="24">
        <v>31.132722999999999</v>
      </c>
    </row>
    <row r="78" spans="1:12" hidden="1" x14ac:dyDescent="0.35">
      <c r="A78" s="128" t="s">
        <v>152</v>
      </c>
      <c r="B78" s="24">
        <v>31.555157000000001</v>
      </c>
    </row>
    <row r="79" spans="1:12" hidden="1" x14ac:dyDescent="0.35">
      <c r="A79" s="128" t="s">
        <v>153</v>
      </c>
      <c r="B79" s="24">
        <v>31.64865</v>
      </c>
    </row>
    <row r="80" spans="1:12" hidden="1" x14ac:dyDescent="0.35">
      <c r="A80" s="128" t="s">
        <v>154</v>
      </c>
      <c r="B80" s="24">
        <v>31.190569</v>
      </c>
    </row>
    <row r="81" spans="1:2" hidden="1" x14ac:dyDescent="0.35">
      <c r="A81" s="128" t="s">
        <v>155</v>
      </c>
      <c r="B81" s="24">
        <v>31.632470000000001</v>
      </c>
    </row>
    <row r="82" spans="1:2" hidden="1" x14ac:dyDescent="0.35">
      <c r="A82" s="128" t="s">
        <v>156</v>
      </c>
      <c r="B82" s="24">
        <v>32.381642999999997</v>
      </c>
    </row>
    <row r="83" spans="1:2" hidden="1" x14ac:dyDescent="0.35">
      <c r="A83" s="127" t="s">
        <v>159</v>
      </c>
      <c r="B83" s="91">
        <f>AVERAGE(B71:B82)</f>
        <v>30.717966166666667</v>
      </c>
    </row>
    <row r="84" spans="1:2" x14ac:dyDescent="0.35">
      <c r="A84" s="92"/>
      <c r="B84" s="2"/>
    </row>
  </sheetData>
  <mergeCells count="4">
    <mergeCell ref="B41:D41"/>
    <mergeCell ref="B59:C59"/>
    <mergeCell ref="D59:E59"/>
    <mergeCell ref="F59:G59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4"/>
  <sheetViews>
    <sheetView workbookViewId="0">
      <selection activeCell="B28" sqref="B28"/>
    </sheetView>
  </sheetViews>
  <sheetFormatPr defaultColWidth="9.08984375" defaultRowHeight="14.5" x14ac:dyDescent="0.35"/>
  <cols>
    <col min="1" max="1" width="16.6328125" style="1" customWidth="1"/>
    <col min="2" max="2" width="11.6328125" style="1" customWidth="1"/>
    <col min="3" max="3" width="12.453125" style="2" customWidth="1"/>
    <col min="4" max="4" width="17.54296875" style="2" customWidth="1"/>
    <col min="5" max="5" width="10.36328125" style="2" customWidth="1"/>
    <col min="6" max="6" width="16.6328125" style="2" customWidth="1"/>
    <col min="7" max="7" width="9.90625" style="1" customWidth="1"/>
    <col min="8" max="8" width="19.453125" style="2" customWidth="1"/>
    <col min="9" max="9" width="15.54296875" style="92" bestFit="1" customWidth="1"/>
    <col min="10" max="10" width="15.54296875" style="92" customWidth="1"/>
    <col min="11" max="11" width="16" style="2" customWidth="1"/>
    <col min="12" max="12" width="15.54296875" style="2" customWidth="1"/>
    <col min="13" max="13" width="14.36328125" style="2" customWidth="1"/>
    <col min="14" max="14" width="15.36328125" style="2" customWidth="1"/>
    <col min="15" max="15" width="9.36328125" style="92" hidden="1" customWidth="1"/>
    <col min="16" max="16" width="10.54296875" style="2" hidden="1" customWidth="1"/>
    <col min="17" max="17" width="12.90625" style="2" hidden="1" customWidth="1"/>
    <col min="18" max="18" width="14.08984375" style="2" hidden="1" customWidth="1"/>
    <col min="19" max="19" width="12.90625" style="2" hidden="1" customWidth="1"/>
    <col min="20" max="20" width="10.6328125" style="2" hidden="1" customWidth="1"/>
    <col min="21" max="22" width="12.90625" style="2" hidden="1" customWidth="1"/>
    <col min="23" max="23" width="13.36328125" style="2" hidden="1" customWidth="1"/>
    <col min="24" max="24" width="12.453125" style="2" hidden="1" customWidth="1"/>
    <col min="25" max="25" width="0" style="2" hidden="1" customWidth="1"/>
    <col min="26" max="27" width="0" style="1" hidden="1" customWidth="1"/>
    <col min="28" max="28" width="14" style="1" hidden="1" customWidth="1"/>
    <col min="29" max="30" width="0" style="1" hidden="1" customWidth="1"/>
    <col min="31" max="16384" width="9.08984375" style="1"/>
  </cols>
  <sheetData>
    <row r="1" spans="1:28" ht="43.5" x14ac:dyDescent="0.35">
      <c r="A1" s="1" t="s">
        <v>14</v>
      </c>
      <c r="B1" s="1" t="s">
        <v>20</v>
      </c>
      <c r="H1" s="2">
        <f>SUM(I2/$G$3)</f>
        <v>1</v>
      </c>
      <c r="I1" s="92" t="s">
        <v>131</v>
      </c>
      <c r="J1" s="24" t="s">
        <v>217</v>
      </c>
      <c r="K1" s="109" t="s">
        <v>127</v>
      </c>
      <c r="L1" s="83" t="s">
        <v>128</v>
      </c>
      <c r="M1" s="83" t="s">
        <v>129</v>
      </c>
      <c r="N1" s="93" t="s">
        <v>130</v>
      </c>
      <c r="O1" s="113" t="s">
        <v>15</v>
      </c>
      <c r="P1" s="72" t="s">
        <v>119</v>
      </c>
      <c r="Q1" s="82" t="s">
        <v>122</v>
      </c>
      <c r="R1" s="82" t="s">
        <v>123</v>
      </c>
      <c r="S1" s="72" t="s">
        <v>25</v>
      </c>
      <c r="T1" s="97" t="s">
        <v>139</v>
      </c>
      <c r="U1" s="4" t="s">
        <v>125</v>
      </c>
      <c r="V1" s="222" t="s">
        <v>126</v>
      </c>
      <c r="W1" s="97" t="s">
        <v>140</v>
      </c>
      <c r="X1" s="4" t="s">
        <v>16</v>
      </c>
      <c r="Y1" s="222" t="s">
        <v>17</v>
      </c>
    </row>
    <row r="2" spans="1:28" ht="19" thickBot="1" x14ac:dyDescent="0.4">
      <c r="A2" s="1" t="s">
        <v>137</v>
      </c>
      <c r="B2" s="44">
        <v>2</v>
      </c>
      <c r="C2" s="2" t="s">
        <v>138</v>
      </c>
      <c r="H2" s="2" t="s">
        <v>6</v>
      </c>
      <c r="I2" s="94">
        <v>3</v>
      </c>
      <c r="J2" s="181">
        <f>H1*F3*D6*B11</f>
        <v>0</v>
      </c>
      <c r="K2" s="121">
        <f>(L2*(T2+N2)+(M2*(T2+N2+N2)))</f>
        <v>857.68000000000006</v>
      </c>
      <c r="L2" s="84">
        <v>0.88</v>
      </c>
      <c r="M2" s="84">
        <v>0.12</v>
      </c>
      <c r="N2" s="86">
        <f>$B$4</f>
        <v>139</v>
      </c>
      <c r="O2" s="89">
        <f>(Q2*S2)+(R2*S7)</f>
        <v>0.86517808219178083</v>
      </c>
      <c r="P2" s="76">
        <v>8</v>
      </c>
      <c r="Q2" s="73">
        <f>P2/365</f>
        <v>2.1917808219178082E-2</v>
      </c>
      <c r="R2" s="73">
        <f>1-Q2</f>
        <v>0.9780821917808219</v>
      </c>
      <c r="S2" s="76">
        <f>IF(B2=1, C44, IF(B2=2, C45, IF(B2=3, C46, IF(B2=6, C49, IF(B2=7, C50, IF(B2=8, C51, 0))))))</f>
        <v>0.65</v>
      </c>
      <c r="T2" s="32">
        <v>702</v>
      </c>
      <c r="U2" s="37">
        <v>528</v>
      </c>
      <c r="V2" s="38">
        <v>722</v>
      </c>
      <c r="W2" s="32">
        <v>651</v>
      </c>
      <c r="X2" s="37">
        <f>W2-Z2</f>
        <v>530.25742584403088</v>
      </c>
      <c r="Y2" s="38">
        <f>W2+Z2</f>
        <v>771.74257415596912</v>
      </c>
      <c r="Z2" s="1">
        <f>CONFIDENCE(0.05, 106.7021, 3)</f>
        <v>120.74257415596907</v>
      </c>
    </row>
    <row r="3" spans="1:28" ht="15" thickBot="1" x14ac:dyDescent="0.4">
      <c r="F3" s="9">
        <f>SUM(G3/E5)</f>
        <v>3.7974683544303799E-2</v>
      </c>
      <c r="G3" s="5">
        <v>3</v>
      </c>
      <c r="J3" s="24"/>
      <c r="K3" s="121"/>
      <c r="L3" s="84"/>
      <c r="M3" s="84"/>
      <c r="N3" s="86"/>
      <c r="O3" s="89"/>
      <c r="P3" s="76"/>
      <c r="Q3" s="76"/>
      <c r="R3" s="76"/>
      <c r="S3" s="76"/>
      <c r="T3" s="6"/>
      <c r="U3" s="8"/>
      <c r="V3" s="7"/>
      <c r="W3" s="6"/>
      <c r="X3" s="8"/>
      <c r="Y3" s="7"/>
      <c r="AA3" s="11"/>
      <c r="AB3" s="1" t="s">
        <v>10</v>
      </c>
    </row>
    <row r="4" spans="1:28" x14ac:dyDescent="0.35">
      <c r="A4" s="1" t="s">
        <v>258</v>
      </c>
      <c r="B4" s="1">
        <f>139*C4</f>
        <v>139</v>
      </c>
      <c r="C4" s="2">
        <v>1</v>
      </c>
      <c r="F4" s="2" t="s">
        <v>21</v>
      </c>
      <c r="G4" s="12">
        <f>(H1*K2+H5*K5)</f>
        <v>857.68000000000006</v>
      </c>
      <c r="H4" s="2" t="s">
        <v>7</v>
      </c>
      <c r="J4" s="24"/>
      <c r="K4" s="121"/>
      <c r="L4" s="84"/>
      <c r="M4" s="84"/>
      <c r="N4" s="86"/>
      <c r="O4" s="89"/>
      <c r="P4" s="76"/>
      <c r="Q4" s="76"/>
      <c r="R4" s="76"/>
      <c r="S4" s="76"/>
      <c r="T4" s="6"/>
      <c r="U4" s="8"/>
      <c r="V4" s="7"/>
      <c r="W4" s="6"/>
      <c r="X4" s="8"/>
      <c r="Y4" s="7"/>
      <c r="AA4" s="13"/>
      <c r="AB4" s="1" t="s">
        <v>11</v>
      </c>
    </row>
    <row r="5" spans="1:28" x14ac:dyDescent="0.35">
      <c r="A5" s="31"/>
      <c r="D5" s="2" t="s">
        <v>23</v>
      </c>
      <c r="E5" s="14">
        <v>79</v>
      </c>
      <c r="G5" s="42">
        <f>(H1*I2)+(H5*I5)</f>
        <v>3</v>
      </c>
      <c r="H5" s="2">
        <f>SUM(I5/$G$3)</f>
        <v>0</v>
      </c>
      <c r="I5" s="94">
        <v>0</v>
      </c>
      <c r="J5" s="181">
        <f>H5*F3*D6*B11</f>
        <v>0</v>
      </c>
      <c r="K5" s="121">
        <f>(L5*(T5+N5)+(M5*(T5+N5+N5)))</f>
        <v>155.68</v>
      </c>
      <c r="L5" s="84">
        <v>0.88</v>
      </c>
      <c r="M5" s="84">
        <v>0.12</v>
      </c>
      <c r="N5" s="86">
        <f>$B$4</f>
        <v>139</v>
      </c>
      <c r="O5" s="89">
        <f>(Q5*S5)+(R5*S7)</f>
        <v>0.87</v>
      </c>
      <c r="P5" s="76">
        <v>0</v>
      </c>
      <c r="Q5" s="73">
        <f>P5/365</f>
        <v>0</v>
      </c>
      <c r="R5" s="73">
        <f>1-Q5</f>
        <v>1</v>
      </c>
      <c r="S5" s="76">
        <f>IF(B2=1,D44,IF(B2=2,D45,IF(B2=3,D46, IF(B2=6, D49, IF(B2=7, D50, IF(B2=8, D51, 0))))))</f>
        <v>0.5</v>
      </c>
      <c r="T5" s="32">
        <v>0</v>
      </c>
      <c r="U5" s="37"/>
      <c r="V5" s="38"/>
      <c r="W5" s="32"/>
      <c r="X5" s="8"/>
      <c r="Y5" s="7"/>
      <c r="AA5" s="5"/>
      <c r="AB5" s="1" t="s">
        <v>12</v>
      </c>
    </row>
    <row r="6" spans="1:28" ht="15" thickBot="1" x14ac:dyDescent="0.4">
      <c r="A6" s="31"/>
      <c r="D6" s="9">
        <f>1-D13</f>
        <v>0</v>
      </c>
      <c r="E6" s="16">
        <f>(F3*G4+F6*G8)</f>
        <v>182.33822784810127</v>
      </c>
      <c r="F6" s="9">
        <f>SUM(G7/E5)</f>
        <v>0.96202531645569622</v>
      </c>
      <c r="J6" s="24"/>
      <c r="K6" s="121"/>
      <c r="L6" s="84"/>
      <c r="M6" s="84"/>
      <c r="N6" s="86"/>
      <c r="O6" s="89"/>
      <c r="P6" s="76"/>
      <c r="Q6" s="76"/>
      <c r="R6" s="76"/>
      <c r="S6" s="76" t="s">
        <v>5</v>
      </c>
      <c r="T6" s="6"/>
      <c r="U6" s="8"/>
      <c r="V6" s="7"/>
      <c r="W6" s="6"/>
      <c r="X6" s="8"/>
      <c r="Y6" s="7"/>
    </row>
    <row r="7" spans="1:28" ht="15" thickBot="1" x14ac:dyDescent="0.4">
      <c r="C7" s="14">
        <v>152</v>
      </c>
      <c r="E7" s="40">
        <f>(F3*G5)+(F6*G9)</f>
        <v>0.11392405063291139</v>
      </c>
      <c r="F7" s="2" t="s">
        <v>22</v>
      </c>
      <c r="G7" s="18">
        <v>76</v>
      </c>
      <c r="J7" s="24">
        <f>F6*D6*B11</f>
        <v>0</v>
      </c>
      <c r="K7" s="121">
        <f>(L7*(T7+N7)+(M7*(T7+N7+N7)))</f>
        <v>155.68</v>
      </c>
      <c r="L7" s="84">
        <v>0.88</v>
      </c>
      <c r="M7" s="84">
        <v>0.12</v>
      </c>
      <c r="N7" s="86">
        <f>$B$4</f>
        <v>139</v>
      </c>
      <c r="O7" s="89">
        <f>(R7*S7)</f>
        <v>0.87</v>
      </c>
      <c r="P7" s="76">
        <v>0</v>
      </c>
      <c r="Q7" s="73">
        <f>P7/365</f>
        <v>0</v>
      </c>
      <c r="R7" s="73">
        <f>1-Q7</f>
        <v>1</v>
      </c>
      <c r="S7" s="76">
        <f>IF(B2=1, B44, IF(B2=2, B45, IF(B2=3, B46, IF(B2=6, B49, IF(B2=7, B50, IF(B2=8, B51, 0))))))</f>
        <v>0.87</v>
      </c>
      <c r="T7" s="32">
        <v>0</v>
      </c>
      <c r="U7" s="37"/>
      <c r="V7" s="38"/>
      <c r="W7" s="32"/>
      <c r="X7" s="8"/>
      <c r="Y7" s="7"/>
    </row>
    <row r="8" spans="1:28" x14ac:dyDescent="0.35">
      <c r="B8" s="242">
        <f>C8/32.5</f>
        <v>4.7901538461538467</v>
      </c>
      <c r="C8" s="16">
        <f>(D6*E6)+(D13*E16)</f>
        <v>155.68</v>
      </c>
      <c r="G8" s="43">
        <f>K7</f>
        <v>155.68</v>
      </c>
      <c r="J8" s="24"/>
      <c r="K8" s="121"/>
      <c r="L8" s="84"/>
      <c r="M8" s="84"/>
      <c r="N8" s="86"/>
      <c r="O8" s="89"/>
      <c r="P8" s="76"/>
      <c r="Q8" s="76"/>
      <c r="R8" s="76"/>
      <c r="S8" s="76"/>
      <c r="T8" s="32"/>
      <c r="U8" s="37"/>
      <c r="V8" s="38"/>
      <c r="W8" s="32"/>
      <c r="X8" s="8"/>
      <c r="Y8" s="7"/>
    </row>
    <row r="9" spans="1:28" x14ac:dyDescent="0.35">
      <c r="C9" s="241">
        <f>(D6*E7)+(D13*E17)</f>
        <v>0</v>
      </c>
      <c r="G9" s="105">
        <f>I7</f>
        <v>0</v>
      </c>
      <c r="J9" s="24"/>
      <c r="K9" s="121"/>
      <c r="L9" s="84"/>
      <c r="M9" s="84"/>
      <c r="N9" s="86"/>
      <c r="O9" s="89"/>
      <c r="P9" s="76"/>
      <c r="Q9" s="76"/>
      <c r="R9" s="76"/>
      <c r="S9" s="76"/>
      <c r="T9" s="10"/>
      <c r="U9" s="112"/>
      <c r="V9" s="38"/>
      <c r="W9" s="32"/>
      <c r="X9" s="8"/>
      <c r="Y9" s="7"/>
    </row>
    <row r="10" spans="1:28" x14ac:dyDescent="0.35">
      <c r="G10" s="23"/>
      <c r="I10" s="95"/>
      <c r="J10" s="129"/>
      <c r="K10" s="121"/>
      <c r="L10" s="84"/>
      <c r="M10" s="84"/>
      <c r="N10" s="86"/>
      <c r="O10" s="89"/>
      <c r="P10" s="76"/>
      <c r="Q10" s="76"/>
      <c r="R10" s="76"/>
      <c r="S10" s="76"/>
      <c r="T10" s="32"/>
      <c r="U10" s="37"/>
      <c r="V10" s="38"/>
      <c r="W10" s="32"/>
      <c r="X10" s="8"/>
      <c r="Y10" s="7"/>
    </row>
    <row r="11" spans="1:28" x14ac:dyDescent="0.35">
      <c r="B11" s="1">
        <f>C7/(C7+C26)</f>
        <v>0.29457364341085274</v>
      </c>
      <c r="C11" s="126"/>
      <c r="G11" s="23"/>
      <c r="I11" s="95"/>
      <c r="J11" s="129"/>
      <c r="K11" s="131"/>
      <c r="L11" s="84"/>
      <c r="M11" s="84"/>
      <c r="N11" s="86"/>
      <c r="O11" s="122"/>
      <c r="P11" s="76"/>
      <c r="Q11" s="76"/>
      <c r="R11" s="76"/>
      <c r="S11" s="76"/>
      <c r="T11" s="6"/>
      <c r="U11" s="8"/>
      <c r="V11" s="7"/>
      <c r="W11" s="6"/>
      <c r="X11" s="8"/>
      <c r="Y11" s="7"/>
    </row>
    <row r="12" spans="1:28" x14ac:dyDescent="0.35">
      <c r="D12" s="2" t="s">
        <v>256</v>
      </c>
      <c r="G12" s="22"/>
      <c r="I12" s="95"/>
      <c r="J12" s="129"/>
      <c r="K12" s="121"/>
      <c r="L12" s="84"/>
      <c r="M12" s="84"/>
      <c r="N12" s="86"/>
      <c r="O12" s="89"/>
      <c r="P12" s="76"/>
      <c r="Q12" s="76"/>
      <c r="R12" s="76"/>
      <c r="S12" s="76"/>
      <c r="T12" s="32"/>
      <c r="U12" s="37"/>
      <c r="V12" s="38"/>
      <c r="W12" s="32"/>
      <c r="X12" s="8"/>
      <c r="Y12" s="7"/>
    </row>
    <row r="13" spans="1:28" x14ac:dyDescent="0.35">
      <c r="D13" s="9">
        <v>1</v>
      </c>
      <c r="F13" s="24">
        <f>SUM(G13/E15)</f>
        <v>0</v>
      </c>
      <c r="G13" s="5">
        <v>0</v>
      </c>
      <c r="J13" s="24">
        <f>F13*D13*B11</f>
        <v>0</v>
      </c>
      <c r="K13" s="121">
        <f>(L13*(T13+N13)+(M13*(T13+N13+N13)))</f>
        <v>155.68</v>
      </c>
      <c r="L13" s="84">
        <v>0.88</v>
      </c>
      <c r="M13" s="84">
        <v>0.12</v>
      </c>
      <c r="N13" s="86">
        <f>$B$4</f>
        <v>139</v>
      </c>
      <c r="O13" s="89">
        <f>(R13*S7)</f>
        <v>0.87</v>
      </c>
      <c r="P13" s="76">
        <v>0</v>
      </c>
      <c r="Q13" s="73">
        <f>P13/365</f>
        <v>0</v>
      </c>
      <c r="R13" s="73">
        <f>1-Q13</f>
        <v>1</v>
      </c>
      <c r="S13" s="76">
        <f>IF(B2=1, C44, IF(B2=2, C45, IF(B2=3, C46, IF(B2=6, C49, IF(B2=7, C50, IF(B2=8, C51, 0))))))</f>
        <v>0.65</v>
      </c>
      <c r="T13" s="32">
        <v>0</v>
      </c>
      <c r="U13" s="37"/>
      <c r="V13" s="38"/>
      <c r="W13" s="32"/>
      <c r="X13" s="8"/>
      <c r="Y13" s="7"/>
    </row>
    <row r="14" spans="1:28" x14ac:dyDescent="0.35">
      <c r="D14" s="2" t="s">
        <v>24</v>
      </c>
      <c r="F14" s="2" t="s">
        <v>21</v>
      </c>
      <c r="G14" s="12">
        <f>K13</f>
        <v>155.68</v>
      </c>
      <c r="J14" s="24"/>
      <c r="K14" s="121"/>
      <c r="L14" s="84"/>
      <c r="M14" s="84"/>
      <c r="N14" s="86"/>
      <c r="O14" s="89"/>
      <c r="P14" s="76"/>
      <c r="Q14" s="76"/>
      <c r="R14" s="76"/>
      <c r="S14" s="76"/>
      <c r="T14" s="6"/>
      <c r="U14" s="8"/>
      <c r="V14" s="7"/>
      <c r="W14" s="6"/>
      <c r="X14" s="8"/>
      <c r="Y14" s="7"/>
    </row>
    <row r="15" spans="1:28" x14ac:dyDescent="0.35">
      <c r="B15" s="1" t="s">
        <v>1</v>
      </c>
      <c r="E15" s="14">
        <v>73</v>
      </c>
      <c r="G15" s="105">
        <f>I13</f>
        <v>0</v>
      </c>
      <c r="I15" s="95"/>
      <c r="J15" s="129"/>
      <c r="K15" s="121"/>
      <c r="L15" s="84"/>
      <c r="M15" s="84"/>
      <c r="N15" s="86"/>
      <c r="O15" s="89"/>
      <c r="P15" s="76"/>
      <c r="Q15" s="73"/>
      <c r="R15" s="73"/>
      <c r="S15" s="76"/>
      <c r="T15" s="32"/>
      <c r="U15" s="37"/>
      <c r="V15" s="38"/>
      <c r="W15" s="32"/>
      <c r="X15" s="8"/>
      <c r="Y15" s="7"/>
    </row>
    <row r="16" spans="1:28" ht="15" thickBot="1" x14ac:dyDescent="0.4">
      <c r="E16" s="16">
        <f>(F13*G14+F16*G18)</f>
        <v>155.68</v>
      </c>
      <c r="F16" s="24">
        <f>SUM(G17/E15)</f>
        <v>1</v>
      </c>
      <c r="J16" s="24"/>
      <c r="K16" s="121"/>
      <c r="L16" s="84"/>
      <c r="M16" s="84"/>
      <c r="N16" s="86"/>
      <c r="O16" s="89"/>
      <c r="P16" s="76"/>
      <c r="Q16" s="76"/>
      <c r="R16" s="76"/>
      <c r="S16" s="76"/>
      <c r="T16" s="6"/>
      <c r="U16" s="8"/>
      <c r="V16" s="7"/>
      <c r="W16" s="6"/>
      <c r="X16" s="8"/>
      <c r="Y16" s="7"/>
    </row>
    <row r="17" spans="1:26" ht="15" thickBot="1" x14ac:dyDescent="0.4">
      <c r="E17" s="45">
        <f>(F13*G15)+(F16*G19)</f>
        <v>0</v>
      </c>
      <c r="F17" s="24" t="s">
        <v>22</v>
      </c>
      <c r="G17" s="18">
        <v>73</v>
      </c>
      <c r="H17" s="24"/>
      <c r="J17" s="24">
        <f>F16*D13*B11</f>
        <v>0.29457364341085274</v>
      </c>
      <c r="K17" s="121">
        <f>(L17*(T17+N17)+(M17*(T17+N17+N17)))</f>
        <v>155.68</v>
      </c>
      <c r="L17" s="84">
        <v>0.88</v>
      </c>
      <c r="M17" s="84">
        <v>0.12</v>
      </c>
      <c r="N17" s="86">
        <f>$B$4</f>
        <v>139</v>
      </c>
      <c r="O17" s="89">
        <f>(R17*S17)</f>
        <v>0.87</v>
      </c>
      <c r="P17" s="76">
        <v>0</v>
      </c>
      <c r="Q17" s="73">
        <f>P17/365</f>
        <v>0</v>
      </c>
      <c r="R17" s="73">
        <f>1-Q17</f>
        <v>1</v>
      </c>
      <c r="S17" s="76">
        <f>IF(B2=1, B44, IF(B2=2, B45, IF(B2=3, B46, IF(B2=6, B49, IF(B2=7, B50, IF(B2=8, B51, 0))))))</f>
        <v>0.87</v>
      </c>
      <c r="T17" s="32">
        <v>0</v>
      </c>
      <c r="U17" s="8"/>
      <c r="V17" s="7"/>
      <c r="W17" s="6"/>
      <c r="X17" s="8"/>
      <c r="Y17" s="7"/>
    </row>
    <row r="18" spans="1:26" x14ac:dyDescent="0.35">
      <c r="E18" s="27"/>
      <c r="F18" s="24"/>
      <c r="G18" s="41">
        <f>K17</f>
        <v>155.68</v>
      </c>
      <c r="J18" s="24"/>
      <c r="K18" s="121"/>
      <c r="L18" s="84"/>
      <c r="M18" s="84"/>
      <c r="N18" s="86"/>
      <c r="O18" s="89"/>
      <c r="P18" s="76"/>
      <c r="Q18" s="76"/>
      <c r="R18" s="76"/>
      <c r="S18" s="76"/>
      <c r="T18" s="6"/>
      <c r="U18" s="8"/>
      <c r="V18" s="7"/>
      <c r="W18" s="6"/>
      <c r="X18" s="8"/>
      <c r="Y18" s="7"/>
    </row>
    <row r="19" spans="1:26" x14ac:dyDescent="0.35">
      <c r="G19" s="105">
        <f>I17</f>
        <v>0</v>
      </c>
      <c r="J19" s="24"/>
      <c r="K19" s="121"/>
      <c r="L19" s="84"/>
      <c r="M19" s="84"/>
      <c r="N19" s="86"/>
      <c r="O19" s="89"/>
      <c r="P19" s="76"/>
      <c r="Q19" s="76"/>
      <c r="R19" s="76"/>
      <c r="S19" s="76"/>
      <c r="T19" s="10"/>
      <c r="U19" s="37"/>
      <c r="V19" s="38"/>
      <c r="W19" s="32"/>
      <c r="X19" s="8"/>
      <c r="Y19" s="7"/>
    </row>
    <row r="20" spans="1:26" x14ac:dyDescent="0.35">
      <c r="C20" s="33"/>
      <c r="G20" s="21"/>
      <c r="H20" s="24" t="s">
        <v>6</v>
      </c>
      <c r="J20" s="24"/>
      <c r="K20" s="121"/>
      <c r="L20" s="84"/>
      <c r="M20" s="84"/>
      <c r="N20" s="86"/>
      <c r="O20" s="89"/>
      <c r="P20" s="76"/>
      <c r="Q20" s="76"/>
      <c r="R20" s="76"/>
      <c r="S20" s="76"/>
      <c r="T20" s="32"/>
      <c r="U20" s="37"/>
      <c r="V20" s="38"/>
      <c r="W20" s="32"/>
      <c r="X20" s="8"/>
      <c r="Y20" s="7"/>
    </row>
    <row r="21" spans="1:26" ht="15" customHeight="1" x14ac:dyDescent="0.35">
      <c r="A21" s="1" t="s">
        <v>8</v>
      </c>
      <c r="H21" s="24">
        <f>I21/G22</f>
        <v>0.9</v>
      </c>
      <c r="I21" s="94">
        <v>9</v>
      </c>
      <c r="J21" s="181">
        <f>H21*F22*D25*B23</f>
        <v>0</v>
      </c>
      <c r="K21" s="110">
        <f>T21</f>
        <v>1002</v>
      </c>
      <c r="L21" s="84">
        <v>0</v>
      </c>
      <c r="M21" s="84">
        <v>0</v>
      </c>
      <c r="N21" s="86">
        <f>$B$4</f>
        <v>139</v>
      </c>
      <c r="O21" s="89">
        <f>(Q21*S21)+(R21*S7)</f>
        <v>0.86517808219178083</v>
      </c>
      <c r="P21" s="76">
        <v>8</v>
      </c>
      <c r="Q21" s="73">
        <f>P21/365</f>
        <v>2.1917808219178082E-2</v>
      </c>
      <c r="R21" s="73">
        <f>1-Q21</f>
        <v>0.9780821917808219</v>
      </c>
      <c r="S21" s="76">
        <f>IF(B2=1, C44, IF(B2=2, C45, IF(B2=3, C46, IF(B2=6, C49, IF(B2=7, C50, IF(B2=8, C51, 0))))))</f>
        <v>0.65</v>
      </c>
      <c r="T21" s="32">
        <v>1002</v>
      </c>
      <c r="U21" s="37">
        <v>576</v>
      </c>
      <c r="V21" s="38">
        <v>1802</v>
      </c>
      <c r="W21" s="32">
        <v>1406</v>
      </c>
      <c r="X21" s="37">
        <f>W21-Z21</f>
        <v>703.40909717661418</v>
      </c>
      <c r="Y21" s="38">
        <f>W21+Z21</f>
        <v>2108.5909028233859</v>
      </c>
      <c r="Z21" s="1">
        <f>CONFIDENCE(0.05, 1075.414, 9)</f>
        <v>702.59090282338582</v>
      </c>
    </row>
    <row r="22" spans="1:26" x14ac:dyDescent="0.35">
      <c r="A22" s="1" t="s">
        <v>9</v>
      </c>
      <c r="F22" s="9">
        <f>SUM(G22/E24)</f>
        <v>4.6948356807511735E-2</v>
      </c>
      <c r="G22" s="5">
        <v>10</v>
      </c>
      <c r="J22" s="24"/>
      <c r="K22" s="121"/>
      <c r="L22" s="84"/>
      <c r="M22" s="84"/>
      <c r="N22" s="86"/>
      <c r="O22" s="89"/>
      <c r="P22" s="76"/>
      <c r="Q22" s="76"/>
      <c r="R22" s="76"/>
      <c r="S22" s="76"/>
      <c r="T22" s="6"/>
      <c r="U22" s="8"/>
      <c r="V22" s="7"/>
      <c r="W22" s="6"/>
      <c r="X22" s="8"/>
      <c r="Y22" s="7"/>
    </row>
    <row r="23" spans="1:26" x14ac:dyDescent="0.35">
      <c r="A23" s="2">
        <v>516</v>
      </c>
      <c r="B23" s="1">
        <f>1-B11</f>
        <v>0.70542635658914721</v>
      </c>
      <c r="F23" s="2" t="s">
        <v>3</v>
      </c>
      <c r="G23" s="12">
        <f>(H21*K21+H24*K24)</f>
        <v>4190.5</v>
      </c>
      <c r="H23" s="2" t="s">
        <v>7</v>
      </c>
      <c r="J23" s="24"/>
      <c r="K23" s="121"/>
      <c r="L23" s="84"/>
      <c r="M23" s="84"/>
      <c r="N23" s="86"/>
      <c r="O23" s="89"/>
      <c r="P23" s="76"/>
      <c r="Q23" s="76"/>
      <c r="R23" s="76"/>
      <c r="S23" s="76"/>
      <c r="T23" s="6"/>
      <c r="U23" s="8"/>
      <c r="V23" s="7"/>
      <c r="W23" s="6"/>
      <c r="X23" s="8"/>
      <c r="Y23" s="7"/>
    </row>
    <row r="24" spans="1:26" x14ac:dyDescent="0.35">
      <c r="B24" s="1" t="s">
        <v>2</v>
      </c>
      <c r="D24" s="2" t="s">
        <v>23</v>
      </c>
      <c r="E24" s="14">
        <v>213</v>
      </c>
      <c r="G24" s="42">
        <f>(H21*I21)+(H24*I24)</f>
        <v>8.1999999999999993</v>
      </c>
      <c r="H24" s="24">
        <f>SUM(I24/$G$22)</f>
        <v>0.1</v>
      </c>
      <c r="I24" s="94">
        <v>1</v>
      </c>
      <c r="J24" s="181">
        <f>H24*F22*D25*B23</f>
        <v>0</v>
      </c>
      <c r="K24" s="110">
        <f>T24</f>
        <v>32887</v>
      </c>
      <c r="L24" s="84">
        <v>0</v>
      </c>
      <c r="M24" s="84">
        <v>0</v>
      </c>
      <c r="N24" s="86">
        <f>$B$4</f>
        <v>139</v>
      </c>
      <c r="O24" s="89">
        <f>(Q24*S24)+(R24*S7)</f>
        <v>0.86189041095890406</v>
      </c>
      <c r="P24" s="76">
        <v>21</v>
      </c>
      <c r="Q24" s="73">
        <v>2.1917808219178082E-2</v>
      </c>
      <c r="R24" s="73">
        <v>0.9780821917808219</v>
      </c>
      <c r="S24" s="76">
        <f>IF(B2=1, D44, IF(B2=2, D45, IF(B2=3, D46, IF(B2=6, D49, IF(B2=7, D50, IF(B2=8, D51, 0))))))</f>
        <v>0.5</v>
      </c>
      <c r="T24" s="32">
        <v>32887</v>
      </c>
      <c r="U24" s="37">
        <v>32887</v>
      </c>
      <c r="V24" s="38">
        <v>32887</v>
      </c>
      <c r="W24" s="32">
        <v>32887</v>
      </c>
      <c r="X24" s="8"/>
      <c r="Y24" s="7"/>
    </row>
    <row r="25" spans="1:26" ht="15" thickBot="1" x14ac:dyDescent="0.4">
      <c r="D25" s="9">
        <f>1-D32</f>
        <v>0</v>
      </c>
      <c r="E25" s="16">
        <f>(F22*G23+F25*G27)</f>
        <v>196.73708920187792</v>
      </c>
      <c r="F25" s="9">
        <f>SUM(G26/E24)</f>
        <v>0.95305164319248825</v>
      </c>
      <c r="J25" s="24"/>
      <c r="K25" s="121"/>
      <c r="L25" s="84"/>
      <c r="M25" s="84"/>
      <c r="N25" s="86"/>
      <c r="O25" s="89"/>
      <c r="P25" s="76"/>
      <c r="Q25" s="76"/>
      <c r="R25" s="76"/>
      <c r="S25" s="76"/>
      <c r="T25" s="6"/>
      <c r="U25" s="8"/>
      <c r="V25" s="7"/>
      <c r="W25" s="6"/>
      <c r="X25" s="8"/>
      <c r="Y25" s="7"/>
    </row>
    <row r="26" spans="1:26" ht="15" thickBot="1" x14ac:dyDescent="0.4">
      <c r="C26" s="14">
        <v>364</v>
      </c>
      <c r="E26" s="40">
        <f>(F22*G24)+(F25*G28)</f>
        <v>0.38497652582159619</v>
      </c>
      <c r="F26" s="2" t="s">
        <v>4</v>
      </c>
      <c r="G26" s="18">
        <v>203</v>
      </c>
      <c r="J26" s="24">
        <f>F25*D25*B23</f>
        <v>0</v>
      </c>
      <c r="K26" s="110">
        <f>T26</f>
        <v>0</v>
      </c>
      <c r="L26" s="84">
        <v>0</v>
      </c>
      <c r="M26" s="84">
        <v>0</v>
      </c>
      <c r="N26" s="86">
        <f>$B$4</f>
        <v>139</v>
      </c>
      <c r="O26" s="89">
        <f>(R26*S26)</f>
        <v>0.87</v>
      </c>
      <c r="P26" s="76">
        <v>0</v>
      </c>
      <c r="Q26" s="73">
        <f>P26/365</f>
        <v>0</v>
      </c>
      <c r="R26" s="73">
        <f>1-Q26</f>
        <v>1</v>
      </c>
      <c r="S26" s="76">
        <f>IF(B2=1, B44, IF(B2=2, B45, IF(B2=3, B46, IF(B2=6, B49, IF(B2=7, B50, IF(B2=8, B51, 0))))))</f>
        <v>0.87</v>
      </c>
      <c r="T26" s="32">
        <v>0</v>
      </c>
      <c r="U26" s="37"/>
      <c r="V26" s="38"/>
      <c r="W26" s="32"/>
      <c r="X26" s="8"/>
      <c r="Y26" s="7"/>
    </row>
    <row r="27" spans="1:26" x14ac:dyDescent="0.35">
      <c r="B27" s="242">
        <f>C27/32.5</f>
        <v>0.12429954151808456</v>
      </c>
      <c r="C27" s="16">
        <f>(D25*E25)+(D32*E35)</f>
        <v>4.0397350993377481</v>
      </c>
      <c r="G27" s="43">
        <f>K26</f>
        <v>0</v>
      </c>
      <c r="J27" s="24"/>
      <c r="K27" s="121"/>
      <c r="L27" s="84"/>
      <c r="M27" s="84"/>
      <c r="N27" s="86"/>
      <c r="O27" s="89"/>
      <c r="P27" s="76"/>
      <c r="Q27" s="76"/>
      <c r="R27" s="76"/>
      <c r="S27" s="76"/>
      <c r="T27" s="32"/>
      <c r="U27" s="37"/>
      <c r="V27" s="38"/>
      <c r="W27" s="32"/>
      <c r="X27" s="8"/>
      <c r="Y27" s="7"/>
    </row>
    <row r="28" spans="1:26" x14ac:dyDescent="0.35">
      <c r="C28" s="240">
        <f>(D25*E26)+(D32*E36)</f>
        <v>6.6225165562913907E-3</v>
      </c>
      <c r="G28" s="125">
        <f>I26</f>
        <v>0</v>
      </c>
      <c r="J28" s="24"/>
      <c r="K28" s="121"/>
      <c r="L28" s="84"/>
      <c r="M28" s="84"/>
      <c r="N28" s="86"/>
      <c r="O28" s="89"/>
      <c r="P28" s="76"/>
      <c r="Q28" s="76"/>
      <c r="R28" s="76"/>
      <c r="S28" s="76"/>
      <c r="T28" s="32"/>
      <c r="U28" s="37"/>
      <c r="V28" s="38"/>
      <c r="W28" s="32"/>
      <c r="X28" s="8"/>
      <c r="Y28" s="7"/>
    </row>
    <row r="29" spans="1:26" x14ac:dyDescent="0.35">
      <c r="C29" s="26"/>
      <c r="G29" s="21"/>
      <c r="H29" s="2" t="s">
        <v>6</v>
      </c>
      <c r="J29" s="24"/>
      <c r="K29" s="121"/>
      <c r="L29" s="84"/>
      <c r="M29" s="84"/>
      <c r="N29" s="86"/>
      <c r="O29" s="89"/>
      <c r="P29" s="76"/>
      <c r="Q29" s="76"/>
      <c r="R29" s="76"/>
      <c r="S29" s="76"/>
      <c r="T29" s="32"/>
      <c r="U29" s="37"/>
      <c r="V29" s="38"/>
      <c r="W29" s="32"/>
      <c r="X29" s="8"/>
      <c r="Y29" s="7"/>
    </row>
    <row r="30" spans="1:26" x14ac:dyDescent="0.35">
      <c r="C30" s="1"/>
      <c r="D30" s="2" t="s">
        <v>257</v>
      </c>
      <c r="H30" s="2">
        <f>I30/G31</f>
        <v>1</v>
      </c>
      <c r="I30" s="94">
        <v>1</v>
      </c>
      <c r="J30" s="181">
        <f>H30*F31*D32*B23</f>
        <v>4.6716977257559422E-3</v>
      </c>
      <c r="K30" s="110">
        <f>T30</f>
        <v>610</v>
      </c>
      <c r="L30" s="84">
        <v>0</v>
      </c>
      <c r="M30" s="84">
        <v>0</v>
      </c>
      <c r="N30" s="86">
        <f>$B$4</f>
        <v>139</v>
      </c>
      <c r="O30" s="89">
        <f>(Q30*S30)+(R30*S7)</f>
        <v>0.86578082191780814</v>
      </c>
      <c r="P30" s="76">
        <v>7</v>
      </c>
      <c r="Q30" s="73">
        <f>P30/365</f>
        <v>1.9178082191780823E-2</v>
      </c>
      <c r="R30" s="73">
        <f>1-Q30</f>
        <v>0.98082191780821915</v>
      </c>
      <c r="S30" s="76">
        <f>IF(B2=1, C44, IF(B2=2, C45, IF(B2=3, C46, IF(B2=6, C49, IF(B2=7, C50, IF(B2=8, C51, 0))))))</f>
        <v>0.65</v>
      </c>
      <c r="T30" s="32">
        <v>610</v>
      </c>
      <c r="U30" s="37">
        <v>610</v>
      </c>
      <c r="V30" s="38">
        <v>610</v>
      </c>
      <c r="W30" s="32">
        <v>610</v>
      </c>
      <c r="X30" s="8"/>
      <c r="Y30" s="7"/>
    </row>
    <row r="31" spans="1:26" x14ac:dyDescent="0.35">
      <c r="D31" s="2" t="s">
        <v>24</v>
      </c>
      <c r="E31" s="2" t="s">
        <v>5</v>
      </c>
      <c r="F31" s="9">
        <f>SUM(G31/E34)</f>
        <v>6.6225165562913907E-3</v>
      </c>
      <c r="G31" s="5">
        <v>1</v>
      </c>
      <c r="J31" s="24"/>
      <c r="K31" s="121"/>
      <c r="L31" s="84"/>
      <c r="M31" s="84"/>
      <c r="N31" s="86"/>
      <c r="O31" s="89"/>
      <c r="P31" s="76"/>
      <c r="Q31" s="76"/>
      <c r="R31" s="76"/>
      <c r="S31" s="76"/>
      <c r="T31" s="6"/>
      <c r="U31" s="8"/>
      <c r="V31" s="7"/>
      <c r="W31" s="6"/>
      <c r="X31" s="8"/>
      <c r="Y31" s="7"/>
    </row>
    <row r="32" spans="1:26" x14ac:dyDescent="0.35">
      <c r="D32" s="9">
        <v>1</v>
      </c>
      <c r="F32" s="2" t="s">
        <v>3</v>
      </c>
      <c r="G32" s="12">
        <f>(H30*K30)</f>
        <v>610</v>
      </c>
      <c r="J32" s="24"/>
      <c r="K32" s="121"/>
      <c r="L32" s="84"/>
      <c r="M32" s="84"/>
      <c r="N32" s="86"/>
      <c r="O32" s="89"/>
      <c r="P32" s="76"/>
      <c r="Q32" s="76"/>
      <c r="R32" s="76"/>
      <c r="S32" s="76"/>
      <c r="T32" s="6"/>
      <c r="U32" s="8"/>
      <c r="V32" s="7"/>
      <c r="W32" s="6"/>
      <c r="X32" s="8"/>
      <c r="Y32" s="7"/>
    </row>
    <row r="33" spans="1:25" x14ac:dyDescent="0.35">
      <c r="D33" s="9"/>
      <c r="G33" s="39">
        <f>(H30*I30)+(H34*I34)</f>
        <v>1</v>
      </c>
      <c r="H33" s="2" t="s">
        <v>7</v>
      </c>
      <c r="J33" s="24"/>
      <c r="K33" s="121"/>
      <c r="L33" s="84"/>
      <c r="M33" s="84"/>
      <c r="N33" s="86"/>
      <c r="O33" s="89"/>
      <c r="P33" s="76"/>
      <c r="Q33" s="76"/>
      <c r="R33" s="76"/>
      <c r="S33" s="76"/>
      <c r="T33" s="6"/>
      <c r="U33" s="8"/>
      <c r="V33" s="7"/>
      <c r="W33" s="6"/>
      <c r="X33" s="8"/>
      <c r="Y33" s="7"/>
    </row>
    <row r="34" spans="1:25" x14ac:dyDescent="0.35">
      <c r="E34" s="14">
        <v>151</v>
      </c>
      <c r="H34" s="2">
        <f>SUM(I34/$G$31)</f>
        <v>0</v>
      </c>
      <c r="I34" s="94">
        <v>0</v>
      </c>
      <c r="J34" s="181">
        <f>H34*F31*D32*B23</f>
        <v>0</v>
      </c>
      <c r="K34" s="110">
        <f>T34</f>
        <v>0</v>
      </c>
      <c r="L34" s="84">
        <v>0</v>
      </c>
      <c r="M34" s="84">
        <v>0</v>
      </c>
      <c r="N34" s="86">
        <f>$B$4</f>
        <v>139</v>
      </c>
      <c r="O34" s="89">
        <f>(R34*S7)</f>
        <v>0.87</v>
      </c>
      <c r="P34" s="76">
        <v>0</v>
      </c>
      <c r="Q34" s="73">
        <f>P34/365</f>
        <v>0</v>
      </c>
      <c r="R34" s="73">
        <f>1-Q34</f>
        <v>1</v>
      </c>
      <c r="S34" s="76">
        <f>IF(B2=1, D44, IF(B2=2, D45, IF(B2=3, D46, IF(B2=6, D49, IF(B2=7, D50, IF(B2=8, D51, 0))))))</f>
        <v>0.5</v>
      </c>
      <c r="T34" s="32">
        <v>0</v>
      </c>
      <c r="U34" s="37"/>
      <c r="V34" s="38"/>
      <c r="W34" s="32"/>
      <c r="X34" s="8"/>
      <c r="Y34" s="7"/>
    </row>
    <row r="35" spans="1:25" ht="15" thickBot="1" x14ac:dyDescent="0.4">
      <c r="E35" s="16">
        <f>(F31*G32+F35*G37)</f>
        <v>4.0397350993377481</v>
      </c>
      <c r="F35" s="9">
        <f>SUM(G36/E34)</f>
        <v>0.99337748344370858</v>
      </c>
      <c r="J35" s="24"/>
      <c r="K35" s="121"/>
      <c r="L35" s="84"/>
      <c r="M35" s="84"/>
      <c r="N35" s="86"/>
      <c r="O35" s="89"/>
      <c r="P35" s="76"/>
      <c r="Q35" s="76"/>
      <c r="R35" s="76"/>
      <c r="S35" s="76"/>
      <c r="T35" s="6"/>
      <c r="U35" s="8"/>
      <c r="V35" s="7"/>
      <c r="W35" s="6"/>
      <c r="X35" s="8"/>
      <c r="Y35" s="7"/>
    </row>
    <row r="36" spans="1:25" ht="15" thickBot="1" x14ac:dyDescent="0.4">
      <c r="E36" s="40">
        <f>(F31*G33)+(F35*G38)</f>
        <v>6.6225165562913907E-3</v>
      </c>
      <c r="F36" s="2" t="s">
        <v>4</v>
      </c>
      <c r="G36" s="18">
        <v>150</v>
      </c>
      <c r="J36" s="24">
        <f>F35*D32*B23</f>
        <v>0.70075465886339128</v>
      </c>
      <c r="K36" s="110">
        <f>T36</f>
        <v>0</v>
      </c>
      <c r="L36" s="84">
        <v>0</v>
      </c>
      <c r="M36" s="84">
        <v>0</v>
      </c>
      <c r="N36" s="86">
        <f>$B$4</f>
        <v>139</v>
      </c>
      <c r="O36" s="89">
        <f>(R36*S36)</f>
        <v>0.87</v>
      </c>
      <c r="P36" s="76">
        <v>0</v>
      </c>
      <c r="Q36" s="73">
        <f>P36/365</f>
        <v>0</v>
      </c>
      <c r="R36" s="73">
        <f>1-Q36</f>
        <v>1</v>
      </c>
      <c r="S36" s="76">
        <f>IF(B2=1, B44, IF(B2=2, B45, IF(B2=3, B46, IF(B2=6, B49, IF(B2=7, B50, IF(B2=8, B51, 0))))))</f>
        <v>0.87</v>
      </c>
      <c r="T36" s="32">
        <v>0</v>
      </c>
      <c r="U36" s="37"/>
      <c r="V36" s="38"/>
      <c r="W36" s="32"/>
      <c r="X36" s="8"/>
      <c r="Y36" s="7"/>
    </row>
    <row r="37" spans="1:25" x14ac:dyDescent="0.35">
      <c r="G37" s="41">
        <f>K36</f>
        <v>0</v>
      </c>
      <c r="J37" s="24"/>
      <c r="K37" s="121"/>
      <c r="L37" s="84"/>
      <c r="M37" s="84"/>
      <c r="N37" s="86"/>
      <c r="O37" s="89"/>
      <c r="P37" s="76"/>
      <c r="Q37" s="76"/>
      <c r="R37" s="76"/>
      <c r="S37" s="76"/>
      <c r="T37" s="6"/>
      <c r="U37" s="8"/>
      <c r="V37" s="7"/>
      <c r="W37" s="6"/>
      <c r="X37" s="8"/>
      <c r="Y37" s="7"/>
    </row>
    <row r="38" spans="1:25" ht="15" thickBot="1" x14ac:dyDescent="0.4">
      <c r="G38" s="105">
        <f>I36</f>
        <v>0</v>
      </c>
      <c r="J38" s="24"/>
      <c r="K38" s="124"/>
      <c r="L38" s="85"/>
      <c r="M38" s="85"/>
      <c r="N38" s="87"/>
      <c r="O38" s="90"/>
      <c r="P38" s="79"/>
      <c r="Q38" s="79"/>
      <c r="R38" s="79"/>
      <c r="S38" s="79"/>
      <c r="T38" s="28"/>
      <c r="U38" s="30"/>
      <c r="V38" s="29"/>
      <c r="W38" s="28"/>
      <c r="X38" s="30"/>
      <c r="Y38" s="29"/>
    </row>
    <row r="39" spans="1:25" x14ac:dyDescent="0.35">
      <c r="J39" s="24">
        <f>SUM(J2:J38)</f>
        <v>1</v>
      </c>
    </row>
    <row r="40" spans="1:25" x14ac:dyDescent="0.35">
      <c r="J40" s="24"/>
    </row>
    <row r="42" spans="1:25" x14ac:dyDescent="0.35">
      <c r="A42" s="34"/>
      <c r="B42" s="270" t="s">
        <v>25</v>
      </c>
      <c r="C42" s="270"/>
      <c r="D42" s="270"/>
      <c r="E42" s="220"/>
      <c r="F42" s="34"/>
      <c r="G42" s="34"/>
      <c r="H42" s="34"/>
      <c r="I42" s="96"/>
      <c r="J42" s="96"/>
      <c r="K42" s="19"/>
      <c r="L42" s="19"/>
      <c r="M42" s="19"/>
      <c r="N42" s="19"/>
      <c r="O42" s="107"/>
      <c r="P42" s="19"/>
      <c r="Q42" s="19"/>
      <c r="R42" s="19"/>
      <c r="S42" s="19"/>
      <c r="T42" s="19"/>
    </row>
    <row r="43" spans="1:25" x14ac:dyDescent="0.35">
      <c r="A43" s="220" t="s">
        <v>26</v>
      </c>
      <c r="B43" s="220" t="s">
        <v>22</v>
      </c>
      <c r="C43" s="220" t="s">
        <v>32</v>
      </c>
      <c r="D43" s="220" t="s">
        <v>33</v>
      </c>
      <c r="E43" s="220" t="s">
        <v>28</v>
      </c>
      <c r="F43" s="34"/>
      <c r="G43" s="34"/>
      <c r="H43" s="34"/>
      <c r="I43" s="96"/>
      <c r="J43" s="96"/>
      <c r="K43" s="19"/>
      <c r="L43" s="19"/>
      <c r="M43" s="19"/>
      <c r="N43" s="19"/>
      <c r="O43" s="107"/>
      <c r="P43" s="19"/>
      <c r="Q43" s="19"/>
      <c r="R43" s="19"/>
      <c r="S43" s="19"/>
      <c r="T43" s="19"/>
    </row>
    <row r="44" spans="1:25" x14ac:dyDescent="0.35">
      <c r="A44" s="220">
        <v>1</v>
      </c>
      <c r="B44" s="220">
        <v>0.95</v>
      </c>
      <c r="C44" s="220">
        <v>0.57999999999999996</v>
      </c>
      <c r="D44" s="220">
        <v>0.57999999999999996</v>
      </c>
      <c r="E44" s="220" t="s">
        <v>27</v>
      </c>
      <c r="F44" s="34" t="s">
        <v>34</v>
      </c>
      <c r="G44" s="34"/>
      <c r="H44" s="34"/>
      <c r="I44" s="96"/>
      <c r="J44" s="96"/>
      <c r="K44" s="19"/>
      <c r="L44" s="19"/>
      <c r="M44" s="19"/>
      <c r="N44" s="19"/>
      <c r="O44" s="107"/>
      <c r="P44" s="19"/>
      <c r="Q44" s="19"/>
      <c r="R44" s="19"/>
      <c r="S44" s="19"/>
      <c r="T44" s="19"/>
    </row>
    <row r="45" spans="1:25" x14ac:dyDescent="0.35">
      <c r="A45" s="220">
        <v>2</v>
      </c>
      <c r="B45" s="220">
        <v>0.87</v>
      </c>
      <c r="C45" s="220">
        <v>0.65</v>
      </c>
      <c r="D45" s="36">
        <v>0.5</v>
      </c>
      <c r="E45" s="220" t="s">
        <v>29</v>
      </c>
      <c r="F45" s="34" t="s">
        <v>35</v>
      </c>
      <c r="G45" s="34"/>
      <c r="H45" s="34"/>
      <c r="I45" s="96"/>
      <c r="J45" s="96"/>
      <c r="K45" s="19"/>
      <c r="L45" s="19"/>
      <c r="M45" s="19"/>
      <c r="N45" s="19"/>
      <c r="O45" s="107"/>
      <c r="P45" s="19"/>
      <c r="Q45" s="19"/>
      <c r="R45" s="19"/>
      <c r="S45" s="19"/>
      <c r="T45" s="19"/>
    </row>
    <row r="46" spans="1:25" x14ac:dyDescent="0.35">
      <c r="A46" s="220">
        <v>3</v>
      </c>
      <c r="B46" s="220">
        <v>0.87</v>
      </c>
      <c r="C46" s="220">
        <v>0.52</v>
      </c>
      <c r="D46" s="220">
        <v>0.05</v>
      </c>
      <c r="E46" s="220" t="s">
        <v>30</v>
      </c>
      <c r="F46" s="34" t="s">
        <v>35</v>
      </c>
      <c r="G46" s="34"/>
      <c r="H46" s="34"/>
      <c r="I46" s="96"/>
      <c r="J46" s="96"/>
      <c r="K46" s="19"/>
      <c r="L46" s="19"/>
      <c r="M46" s="19"/>
      <c r="N46" s="19"/>
      <c r="O46" s="107"/>
      <c r="P46" s="19"/>
      <c r="Q46" s="19"/>
      <c r="R46" s="19"/>
      <c r="S46" s="19"/>
      <c r="T46" s="19"/>
    </row>
    <row r="47" spans="1:25" x14ac:dyDescent="0.35">
      <c r="A47" s="220">
        <v>4</v>
      </c>
      <c r="B47" s="220">
        <v>0.87</v>
      </c>
      <c r="C47" s="220"/>
      <c r="D47" s="34"/>
      <c r="E47" s="220" t="s">
        <v>31</v>
      </c>
      <c r="F47" s="34" t="s">
        <v>37</v>
      </c>
      <c r="G47" s="34"/>
      <c r="H47" s="34"/>
      <c r="I47" s="96"/>
      <c r="J47" s="96"/>
      <c r="K47" s="19"/>
      <c r="L47" s="19"/>
      <c r="M47" s="19"/>
      <c r="N47" s="19"/>
      <c r="O47" s="107"/>
      <c r="P47" s="19"/>
      <c r="Q47" s="19"/>
      <c r="R47" s="19"/>
      <c r="S47" s="19"/>
      <c r="T47" s="19"/>
    </row>
    <row r="48" spans="1:25" x14ac:dyDescent="0.35">
      <c r="A48" s="220">
        <v>5</v>
      </c>
      <c r="B48" s="220">
        <v>0.73</v>
      </c>
      <c r="C48" s="220"/>
      <c r="D48" s="34"/>
      <c r="E48" s="220" t="s">
        <v>31</v>
      </c>
      <c r="F48" s="34" t="s">
        <v>36</v>
      </c>
      <c r="G48" s="34"/>
      <c r="H48" s="34"/>
      <c r="I48" s="96"/>
      <c r="J48" s="96"/>
      <c r="K48" s="19"/>
      <c r="L48" s="19"/>
      <c r="M48" s="19"/>
      <c r="N48" s="19"/>
      <c r="O48" s="107"/>
      <c r="P48" s="19"/>
      <c r="Q48" s="19"/>
      <c r="R48" s="19"/>
      <c r="S48" s="19"/>
      <c r="T48" s="19"/>
    </row>
    <row r="49" spans="1:25" x14ac:dyDescent="0.35">
      <c r="A49" s="220">
        <v>6</v>
      </c>
      <c r="B49" s="220"/>
      <c r="C49" s="220">
        <v>0.99</v>
      </c>
      <c r="D49" s="220">
        <v>0.95</v>
      </c>
      <c r="E49" s="220" t="s">
        <v>69</v>
      </c>
      <c r="F49" s="34" t="s">
        <v>162</v>
      </c>
      <c r="G49" s="34"/>
      <c r="H49" s="34"/>
      <c r="I49" s="104"/>
      <c r="J49" s="104"/>
      <c r="K49" s="22"/>
      <c r="L49" s="22"/>
      <c r="M49" s="22"/>
      <c r="N49" s="22"/>
      <c r="O49" s="108"/>
      <c r="P49" s="22"/>
      <c r="Q49" s="22"/>
      <c r="R49" s="22"/>
      <c r="S49" s="19"/>
      <c r="T49" s="19"/>
    </row>
    <row r="50" spans="1:25" x14ac:dyDescent="0.35">
      <c r="A50" s="184">
        <v>7</v>
      </c>
      <c r="B50" s="184">
        <v>0.93300000000000005</v>
      </c>
      <c r="C50" s="184">
        <v>0.55800000000000005</v>
      </c>
      <c r="D50" s="184">
        <v>0.55800000000000005</v>
      </c>
      <c r="E50" s="184" t="s">
        <v>223</v>
      </c>
      <c r="F50" s="185" t="s">
        <v>224</v>
      </c>
      <c r="G50" s="185"/>
      <c r="H50" s="185"/>
      <c r="I50" s="186"/>
      <c r="J50" s="96"/>
    </row>
    <row r="51" spans="1:25" s="22" customFormat="1" x14ac:dyDescent="0.35">
      <c r="A51" s="184">
        <v>8</v>
      </c>
      <c r="B51" s="184">
        <v>0.92</v>
      </c>
      <c r="C51" s="184">
        <v>0.65900000000000003</v>
      </c>
      <c r="D51" s="184">
        <v>0.51400000000000001</v>
      </c>
      <c r="E51" s="184" t="s">
        <v>226</v>
      </c>
      <c r="F51" s="185" t="s">
        <v>227</v>
      </c>
      <c r="G51" s="185"/>
      <c r="H51" s="185"/>
      <c r="I51" s="186"/>
      <c r="J51" s="96"/>
      <c r="K51" s="19"/>
      <c r="L51" s="19"/>
      <c r="M51" s="19"/>
      <c r="N51" s="19"/>
      <c r="O51" s="107"/>
      <c r="P51" s="19"/>
      <c r="Q51" s="19"/>
      <c r="R51" s="19"/>
      <c r="S51" s="19"/>
      <c r="T51" s="19"/>
      <c r="U51" s="19"/>
      <c r="V51" s="19"/>
      <c r="W51" s="19"/>
      <c r="X51" s="19"/>
      <c r="Y51" s="19"/>
    </row>
    <row r="52" spans="1:25" s="22" customFormat="1" x14ac:dyDescent="0.35">
      <c r="A52" s="187"/>
      <c r="B52" s="187"/>
      <c r="C52" s="187"/>
      <c r="D52" s="187"/>
      <c r="E52" s="187"/>
      <c r="F52" s="188"/>
      <c r="G52" s="188"/>
      <c r="H52" s="188"/>
      <c r="I52" s="189"/>
      <c r="J52" s="107"/>
      <c r="K52" s="19"/>
      <c r="L52" s="19"/>
      <c r="M52" s="19"/>
      <c r="N52" s="19"/>
      <c r="O52" s="107"/>
      <c r="P52" s="19"/>
      <c r="Q52" s="19"/>
      <c r="R52" s="19"/>
      <c r="S52" s="19"/>
      <c r="T52" s="19"/>
      <c r="U52" s="19"/>
      <c r="V52" s="19"/>
      <c r="W52" s="19"/>
      <c r="X52" s="19"/>
      <c r="Y52" s="19"/>
    </row>
    <row r="53" spans="1:25" ht="43.5" x14ac:dyDescent="0.35">
      <c r="A53" s="220" t="s">
        <v>73</v>
      </c>
      <c r="B53" s="53" t="s">
        <v>70</v>
      </c>
      <c r="C53" s="53" t="s">
        <v>71</v>
      </c>
      <c r="D53" s="53" t="s">
        <v>262</v>
      </c>
      <c r="E53" s="53" t="s">
        <v>263</v>
      </c>
      <c r="F53" s="130" t="s">
        <v>261</v>
      </c>
      <c r="I53" s="1"/>
      <c r="J53" s="1"/>
      <c r="K53" s="1"/>
    </row>
    <row r="54" spans="1:25" hidden="1" x14ac:dyDescent="0.35">
      <c r="A54" s="220">
        <v>1</v>
      </c>
      <c r="B54" s="99">
        <f>169.54/$C$84</f>
        <v>5.2204392626751019</v>
      </c>
      <c r="C54" s="99">
        <f>116.8/$C$84</f>
        <v>3.5964805112684437</v>
      </c>
      <c r="D54" s="220">
        <v>5.9200000000000003E-2</v>
      </c>
      <c r="E54" s="220">
        <v>0.22800000000000001</v>
      </c>
      <c r="F54" s="102">
        <f>(B54-C54)/(D54-E54)</f>
        <v>-9.6206087168640888</v>
      </c>
      <c r="I54" s="1"/>
      <c r="J54" s="1"/>
      <c r="K54" s="1"/>
    </row>
    <row r="55" spans="1:25" s="236" customFormat="1" ht="18.5" x14ac:dyDescent="0.35">
      <c r="A55" s="216">
        <v>2</v>
      </c>
      <c r="B55" s="229">
        <f>169.54/$C$84</f>
        <v>5.2204392626751019</v>
      </c>
      <c r="C55" s="229">
        <f>116.8/$C$84</f>
        <v>3.5964805112684437</v>
      </c>
      <c r="D55" s="216">
        <v>5.9200000000000003E-2</v>
      </c>
      <c r="E55" s="216">
        <v>0.22800000000000001</v>
      </c>
      <c r="F55" s="231">
        <f t="shared" ref="F55:F58" si="0">(B55-C55)/(D55-E55)</f>
        <v>-9.6206087168640888</v>
      </c>
      <c r="H55" s="237"/>
      <c r="L55" s="237"/>
      <c r="M55" s="237"/>
      <c r="N55" s="237"/>
      <c r="O55" s="238"/>
      <c r="P55" s="237"/>
      <c r="Q55" s="237"/>
      <c r="R55" s="237"/>
      <c r="S55" s="237"/>
      <c r="T55" s="237"/>
      <c r="U55" s="237"/>
      <c r="V55" s="237"/>
      <c r="W55" s="237"/>
      <c r="X55" s="237"/>
      <c r="Y55" s="237"/>
    </row>
    <row r="56" spans="1:25" hidden="1" x14ac:dyDescent="0.35">
      <c r="A56" s="220">
        <v>3</v>
      </c>
      <c r="B56" s="99">
        <f>169.54/$C$84</f>
        <v>5.2204392626751019</v>
      </c>
      <c r="C56" s="99">
        <f>116.8/$C$84</f>
        <v>3.5964805112684437</v>
      </c>
      <c r="D56" s="220">
        <v>5.9200000000000003E-2</v>
      </c>
      <c r="E56" s="220">
        <v>0.22800000000000001</v>
      </c>
      <c r="F56" s="102">
        <f t="shared" si="0"/>
        <v>-9.6206087168640888</v>
      </c>
      <c r="I56" s="1"/>
      <c r="J56" s="1"/>
      <c r="K56" s="1"/>
    </row>
    <row r="57" spans="1:25" hidden="1" x14ac:dyDescent="0.35">
      <c r="A57" s="184">
        <v>7</v>
      </c>
      <c r="B57" s="191">
        <f>169.54/$C$84</f>
        <v>5.2204392626751019</v>
      </c>
      <c r="C57" s="191">
        <f>116.8/$C$84</f>
        <v>3.5964805112684437</v>
      </c>
      <c r="D57" s="184">
        <v>5.9200000000000003E-2</v>
      </c>
      <c r="E57" s="184">
        <v>0.22800000000000001</v>
      </c>
      <c r="F57" s="194">
        <f t="shared" si="0"/>
        <v>-9.6206087168640888</v>
      </c>
      <c r="I57" s="1"/>
      <c r="J57" s="1"/>
      <c r="K57" s="1"/>
    </row>
    <row r="58" spans="1:25" hidden="1" x14ac:dyDescent="0.35">
      <c r="A58" s="184">
        <v>8</v>
      </c>
      <c r="B58" s="191">
        <f>169.54/$C$84</f>
        <v>5.2204392626751019</v>
      </c>
      <c r="C58" s="191">
        <f>116.8/$C$84</f>
        <v>3.5964805112684437</v>
      </c>
      <c r="D58" s="184">
        <v>5.9200000000000003E-2</v>
      </c>
      <c r="E58" s="184">
        <v>0.22800000000000001</v>
      </c>
      <c r="F58" s="194">
        <f t="shared" si="0"/>
        <v>-9.6206087168640888</v>
      </c>
      <c r="I58" s="1"/>
      <c r="J58" s="1"/>
      <c r="K58" s="1"/>
    </row>
    <row r="59" spans="1:25" ht="15" hidden="1" thickBot="1" x14ac:dyDescent="0.4">
      <c r="I59" s="1"/>
      <c r="J59" s="1"/>
      <c r="K59" s="1"/>
    </row>
    <row r="60" spans="1:25" hidden="1" x14ac:dyDescent="0.35">
      <c r="B60" s="271" t="s">
        <v>97</v>
      </c>
      <c r="C60" s="272"/>
      <c r="D60" s="271" t="s">
        <v>98</v>
      </c>
      <c r="E60" s="272"/>
      <c r="F60" s="271" t="s">
        <v>99</v>
      </c>
      <c r="G60" s="272"/>
      <c r="I60" s="1"/>
      <c r="J60" s="1"/>
      <c r="K60" s="1"/>
    </row>
    <row r="61" spans="1:25" hidden="1" x14ac:dyDescent="0.35">
      <c r="A61" s="1" t="s">
        <v>94</v>
      </c>
      <c r="B61" s="6" t="s">
        <v>81</v>
      </c>
      <c r="C61" s="7" t="s">
        <v>82</v>
      </c>
      <c r="D61" s="6" t="s">
        <v>81</v>
      </c>
      <c r="E61" s="7" t="s">
        <v>82</v>
      </c>
      <c r="F61" s="6" t="s">
        <v>81</v>
      </c>
      <c r="G61" s="7" t="s">
        <v>82</v>
      </c>
      <c r="I61" s="1"/>
      <c r="J61" s="1"/>
      <c r="K61" s="1"/>
    </row>
    <row r="62" spans="1:25" hidden="1" x14ac:dyDescent="0.35">
      <c r="A62" s="1" t="s">
        <v>80</v>
      </c>
      <c r="B62" s="6">
        <v>8</v>
      </c>
      <c r="C62" s="56" t="s">
        <v>92</v>
      </c>
      <c r="D62" s="6">
        <v>8</v>
      </c>
      <c r="E62" s="58" t="s">
        <v>92</v>
      </c>
      <c r="F62" s="6"/>
      <c r="G62" s="58"/>
      <c r="I62" s="1"/>
      <c r="J62" s="1"/>
      <c r="K62" s="1"/>
    </row>
    <row r="63" spans="1:25" hidden="1" x14ac:dyDescent="0.35">
      <c r="A63" s="1" t="s">
        <v>83</v>
      </c>
      <c r="B63" s="6"/>
      <c r="C63" s="55"/>
      <c r="D63" s="6"/>
      <c r="E63" s="58"/>
      <c r="F63" s="6"/>
      <c r="G63" s="58"/>
      <c r="I63" s="1"/>
      <c r="J63" s="1"/>
      <c r="K63" s="1"/>
    </row>
    <row r="64" spans="1:25" hidden="1" x14ac:dyDescent="0.35">
      <c r="A64" s="1" t="s">
        <v>84</v>
      </c>
      <c r="B64" s="6">
        <v>7.5</v>
      </c>
      <c r="C64" s="56" t="s">
        <v>95</v>
      </c>
      <c r="D64" s="6">
        <v>8</v>
      </c>
      <c r="E64" s="58" t="s">
        <v>101</v>
      </c>
      <c r="F64" s="6">
        <v>7</v>
      </c>
      <c r="G64" s="58" t="s">
        <v>108</v>
      </c>
      <c r="I64" s="1"/>
      <c r="J64" s="1"/>
      <c r="K64" s="1"/>
    </row>
    <row r="65" spans="1:11" ht="15" hidden="1" thickBot="1" x14ac:dyDescent="0.4">
      <c r="A65" s="1" t="s">
        <v>85</v>
      </c>
      <c r="B65" s="28">
        <v>21</v>
      </c>
      <c r="C65" s="57" t="s">
        <v>96</v>
      </c>
      <c r="D65" s="28">
        <v>21</v>
      </c>
      <c r="E65" s="59" t="s">
        <v>96</v>
      </c>
      <c r="F65" s="28"/>
      <c r="G65" s="59"/>
      <c r="I65" s="1"/>
      <c r="J65" s="1"/>
      <c r="K65" s="1"/>
    </row>
    <row r="66" spans="1:11" hidden="1" x14ac:dyDescent="0.35">
      <c r="I66" s="1"/>
      <c r="J66" s="1"/>
      <c r="K66" s="1"/>
    </row>
    <row r="67" spans="1:11" hidden="1" x14ac:dyDescent="0.35">
      <c r="I67" s="1"/>
      <c r="J67" s="1"/>
      <c r="K67" s="1"/>
    </row>
    <row r="68" spans="1:11" ht="29" hidden="1" x14ac:dyDescent="0.35">
      <c r="A68" s="118" t="s">
        <v>144</v>
      </c>
      <c r="B68" s="118"/>
      <c r="C68" s="103">
        <v>5977.4</v>
      </c>
      <c r="I68" s="1"/>
      <c r="J68" s="1"/>
      <c r="K68" s="1"/>
    </row>
    <row r="69" spans="1:11" hidden="1" x14ac:dyDescent="0.35">
      <c r="A69" s="92"/>
      <c r="B69" s="92"/>
      <c r="I69" s="1"/>
      <c r="J69" s="1"/>
      <c r="K69" s="1"/>
    </row>
    <row r="70" spans="1:11" hidden="1" x14ac:dyDescent="0.35">
      <c r="A70" s="92"/>
      <c r="B70" s="92"/>
    </row>
    <row r="71" spans="1:11" hidden="1" x14ac:dyDescent="0.35">
      <c r="A71" s="92"/>
      <c r="B71" s="92"/>
      <c r="C71" s="2" t="s">
        <v>161</v>
      </c>
    </row>
    <row r="72" spans="1:11" hidden="1" x14ac:dyDescent="0.35">
      <c r="A72" s="128" t="s">
        <v>145</v>
      </c>
      <c r="B72" s="128"/>
      <c r="C72" s="24">
        <v>32.917329000000002</v>
      </c>
    </row>
    <row r="73" spans="1:11" hidden="1" x14ac:dyDescent="0.35">
      <c r="A73" s="128" t="s">
        <v>146</v>
      </c>
      <c r="B73" s="128"/>
      <c r="C73" s="24">
        <v>32.624688999999996</v>
      </c>
    </row>
    <row r="74" spans="1:11" hidden="1" x14ac:dyDescent="0.35">
      <c r="A74" s="128" t="s">
        <v>147</v>
      </c>
      <c r="B74" s="128"/>
      <c r="C74" s="24">
        <v>32.369328000000003</v>
      </c>
    </row>
    <row r="75" spans="1:11" hidden="1" x14ac:dyDescent="0.35">
      <c r="A75" s="128" t="s">
        <v>148</v>
      </c>
      <c r="B75" s="128"/>
      <c r="C75" s="24">
        <v>32.298827000000003</v>
      </c>
    </row>
    <row r="76" spans="1:11" hidden="1" x14ac:dyDescent="0.35">
      <c r="A76" s="128" t="s">
        <v>149</v>
      </c>
      <c r="B76" s="128"/>
      <c r="C76" s="24">
        <v>32.54186</v>
      </c>
    </row>
    <row r="77" spans="1:11" hidden="1" x14ac:dyDescent="0.35">
      <c r="A77" s="128" t="s">
        <v>150</v>
      </c>
      <c r="B77" s="128"/>
      <c r="C77" s="24">
        <v>32.497407000000003</v>
      </c>
    </row>
    <row r="78" spans="1:11" hidden="1" x14ac:dyDescent="0.35">
      <c r="A78" s="128" t="s">
        <v>151</v>
      </c>
      <c r="B78" s="128"/>
      <c r="C78" s="24">
        <v>32.115820999999997</v>
      </c>
    </row>
    <row r="79" spans="1:11" hidden="1" x14ac:dyDescent="0.35">
      <c r="A79" s="128" t="s">
        <v>152</v>
      </c>
      <c r="B79" s="128"/>
      <c r="C79" s="24">
        <v>32.011715000000002</v>
      </c>
    </row>
    <row r="80" spans="1:11" hidden="1" x14ac:dyDescent="0.35">
      <c r="A80" s="128" t="s">
        <v>153</v>
      </c>
      <c r="B80" s="128"/>
      <c r="C80" s="24">
        <v>32.194755999999998</v>
      </c>
    </row>
    <row r="81" spans="1:3" hidden="1" x14ac:dyDescent="0.35">
      <c r="A81" s="128" t="s">
        <v>154</v>
      </c>
      <c r="B81" s="128"/>
      <c r="C81" s="24">
        <v>32.462848000000001</v>
      </c>
    </row>
    <row r="82" spans="1:3" hidden="1" x14ac:dyDescent="0.35">
      <c r="A82" s="128" t="s">
        <v>155</v>
      </c>
      <c r="B82" s="128"/>
      <c r="C82" s="24">
        <v>32.788156000000001</v>
      </c>
    </row>
    <row r="83" spans="1:3" hidden="1" x14ac:dyDescent="0.35">
      <c r="A83" s="128" t="s">
        <v>156</v>
      </c>
      <c r="B83" s="128"/>
      <c r="C83" s="24">
        <v>32.891596</v>
      </c>
    </row>
    <row r="84" spans="1:3" hidden="1" x14ac:dyDescent="0.35">
      <c r="A84" s="127" t="s">
        <v>159</v>
      </c>
      <c r="B84" s="127"/>
      <c r="C84" s="91">
        <f>AVERAGE(C72:C83)</f>
        <v>32.476194333333332</v>
      </c>
    </row>
  </sheetData>
  <mergeCells count="4">
    <mergeCell ref="B42:D42"/>
    <mergeCell ref="B60:C60"/>
    <mergeCell ref="D60:E60"/>
    <mergeCell ref="F60:G60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8"/>
  <sheetViews>
    <sheetView topLeftCell="A14" workbookViewId="0">
      <selection activeCell="B21" sqref="B21"/>
    </sheetView>
  </sheetViews>
  <sheetFormatPr defaultRowHeight="14.5" x14ac:dyDescent="0.35"/>
  <cols>
    <col min="1" max="1" width="14.54296875" style="47" customWidth="1"/>
    <col min="2" max="2" width="59.54296875" style="60" customWidth="1"/>
    <col min="3" max="4" width="11.90625" bestFit="1" customWidth="1"/>
    <col min="5" max="5" width="49.08984375" style="64" customWidth="1"/>
    <col min="6" max="6" width="12.36328125" bestFit="1" customWidth="1"/>
    <col min="7" max="7" width="11.54296875" bestFit="1" customWidth="1"/>
  </cols>
  <sheetData>
    <row r="2" spans="2:5" ht="72.5" x14ac:dyDescent="0.35">
      <c r="B2" s="60" t="s">
        <v>40</v>
      </c>
      <c r="D2" s="64" t="s">
        <v>118</v>
      </c>
      <c r="E2" s="64" t="s">
        <v>113</v>
      </c>
    </row>
    <row r="3" spans="2:5" ht="29" x14ac:dyDescent="0.35">
      <c r="B3" s="60" t="s">
        <v>45</v>
      </c>
      <c r="E3" s="64" t="s">
        <v>114</v>
      </c>
    </row>
    <row r="4" spans="2:5" ht="43.5" x14ac:dyDescent="0.35">
      <c r="B4" s="60" t="s">
        <v>65</v>
      </c>
      <c r="E4" s="64" t="s">
        <v>115</v>
      </c>
    </row>
    <row r="5" spans="2:5" x14ac:dyDescent="0.35">
      <c r="B5" s="60" t="s">
        <v>67</v>
      </c>
      <c r="E5" s="64" t="s">
        <v>116</v>
      </c>
    </row>
    <row r="6" spans="2:5" ht="29" x14ac:dyDescent="0.35">
      <c r="B6" s="60" t="s">
        <v>110</v>
      </c>
      <c r="E6" s="64" t="s">
        <v>117</v>
      </c>
    </row>
    <row r="7" spans="2:5" x14ac:dyDescent="0.35">
      <c r="B7" s="60" t="s">
        <v>109</v>
      </c>
    </row>
    <row r="8" spans="2:5" ht="29" x14ac:dyDescent="0.35">
      <c r="B8" s="60" t="s">
        <v>111</v>
      </c>
    </row>
    <row r="9" spans="2:5" x14ac:dyDescent="0.35">
      <c r="B9" s="60" t="s">
        <v>42</v>
      </c>
    </row>
    <row r="10" spans="2:5" ht="29" x14ac:dyDescent="0.35">
      <c r="B10" s="60" t="s">
        <v>56</v>
      </c>
    </row>
    <row r="11" spans="2:5" ht="29" x14ac:dyDescent="0.35">
      <c r="B11" s="60" t="s">
        <v>79</v>
      </c>
    </row>
    <row r="12" spans="2:5" x14ac:dyDescent="0.35">
      <c r="B12" s="60" t="s">
        <v>78</v>
      </c>
    </row>
    <row r="13" spans="2:5" x14ac:dyDescent="0.35">
      <c r="B13" s="60" t="s">
        <v>41</v>
      </c>
    </row>
    <row r="14" spans="2:5" ht="29" x14ac:dyDescent="0.35">
      <c r="B14" s="60" t="s">
        <v>43</v>
      </c>
    </row>
    <row r="15" spans="2:5" x14ac:dyDescent="0.35">
      <c r="B15" s="60" t="s">
        <v>44</v>
      </c>
    </row>
    <row r="16" spans="2:5" x14ac:dyDescent="0.35">
      <c r="B16" s="60" t="s">
        <v>64</v>
      </c>
    </row>
    <row r="17" spans="1:7" x14ac:dyDescent="0.35">
      <c r="B17" s="60" t="s">
        <v>68</v>
      </c>
    </row>
    <row r="18" spans="1:7" ht="29" x14ac:dyDescent="0.35">
      <c r="B18" s="60" t="s">
        <v>112</v>
      </c>
    </row>
    <row r="19" spans="1:7" ht="29" x14ac:dyDescent="0.35">
      <c r="B19" s="157" t="s">
        <v>176</v>
      </c>
    </row>
    <row r="20" spans="1:7" x14ac:dyDescent="0.35">
      <c r="B20" s="157" t="s">
        <v>221</v>
      </c>
    </row>
    <row r="21" spans="1:7" x14ac:dyDescent="0.35">
      <c r="B21" s="157" t="s">
        <v>177</v>
      </c>
    </row>
    <row r="22" spans="1:7" x14ac:dyDescent="0.35">
      <c r="B22" s="157" t="s">
        <v>220</v>
      </c>
    </row>
    <row r="23" spans="1:7" x14ac:dyDescent="0.35">
      <c r="B23" s="157" t="s">
        <v>222</v>
      </c>
    </row>
    <row r="24" spans="1:7" x14ac:dyDescent="0.35">
      <c r="B24" s="157" t="s">
        <v>225</v>
      </c>
    </row>
    <row r="25" spans="1:7" x14ac:dyDescent="0.35">
      <c r="B25" s="157"/>
    </row>
    <row r="26" spans="1:7" x14ac:dyDescent="0.35">
      <c r="B26" s="157"/>
    </row>
    <row r="27" spans="1:7" x14ac:dyDescent="0.35">
      <c r="B27" s="157"/>
    </row>
    <row r="28" spans="1:7" x14ac:dyDescent="0.35">
      <c r="B28" s="157"/>
    </row>
    <row r="29" spans="1:7" x14ac:dyDescent="0.35">
      <c r="B29" s="157"/>
    </row>
    <row r="30" spans="1:7" x14ac:dyDescent="0.35">
      <c r="B30" s="157"/>
    </row>
    <row r="31" spans="1:7" x14ac:dyDescent="0.35">
      <c r="B31" s="61"/>
      <c r="C31" s="47"/>
      <c r="D31" s="47"/>
      <c r="E31" s="65"/>
      <c r="F31" s="47"/>
      <c r="G31" s="47"/>
    </row>
    <row r="32" spans="1:7" x14ac:dyDescent="0.35">
      <c r="A32" s="47" t="s">
        <v>46</v>
      </c>
      <c r="B32" s="62">
        <v>1000000</v>
      </c>
      <c r="D32" t="s">
        <v>47</v>
      </c>
      <c r="F32" s="47"/>
    </row>
    <row r="33" spans="1:6" x14ac:dyDescent="0.35">
      <c r="A33" s="47" t="s">
        <v>60</v>
      </c>
      <c r="B33" s="61">
        <f>NPV(0.03, B32)</f>
        <v>970873.78640776698</v>
      </c>
      <c r="C33" s="51"/>
      <c r="D33" t="s">
        <v>48</v>
      </c>
    </row>
    <row r="34" spans="1:6" x14ac:dyDescent="0.35">
      <c r="A34" s="47" t="s">
        <v>61</v>
      </c>
      <c r="B34" s="61">
        <f>NPV(0.03, B33)</f>
        <v>942595.90913375432</v>
      </c>
      <c r="C34" s="51"/>
      <c r="D34" t="s">
        <v>49</v>
      </c>
    </row>
    <row r="35" spans="1:6" x14ac:dyDescent="0.35">
      <c r="A35" s="47" t="s">
        <v>62</v>
      </c>
      <c r="B35" s="61">
        <f>NPV(0.03, B34)</f>
        <v>915141.65935315948</v>
      </c>
      <c r="C35" s="51"/>
      <c r="D35" t="s">
        <v>50</v>
      </c>
    </row>
    <row r="36" spans="1:6" x14ac:dyDescent="0.35">
      <c r="A36" s="47" t="s">
        <v>63</v>
      </c>
      <c r="B36" s="61">
        <f>NPV(0.03, B35)</f>
        <v>888487.04791568883</v>
      </c>
      <c r="C36" s="51"/>
    </row>
    <row r="42" spans="1:6" x14ac:dyDescent="0.35">
      <c r="C42" t="s">
        <v>58</v>
      </c>
      <c r="E42" s="64" t="s">
        <v>59</v>
      </c>
    </row>
    <row r="43" spans="1:6" x14ac:dyDescent="0.35">
      <c r="A43" s="49" t="s">
        <v>55</v>
      </c>
      <c r="B43" s="60" t="s">
        <v>51</v>
      </c>
      <c r="C43" s="50">
        <v>500</v>
      </c>
      <c r="D43" s="50"/>
      <c r="E43" s="66">
        <f>C43/(1.03^4)</f>
        <v>444.2435239578445</v>
      </c>
    </row>
    <row r="44" spans="1:6" x14ac:dyDescent="0.35">
      <c r="B44" s="63" t="s">
        <v>52</v>
      </c>
      <c r="C44" s="50">
        <v>400</v>
      </c>
      <c r="D44" s="50"/>
      <c r="E44" s="66">
        <f>C44/(1.03^3)</f>
        <v>366.05666374126383</v>
      </c>
      <c r="F44" s="47"/>
    </row>
    <row r="45" spans="1:6" x14ac:dyDescent="0.35">
      <c r="B45" s="60" t="s">
        <v>53</v>
      </c>
      <c r="C45" s="50">
        <v>450</v>
      </c>
      <c r="D45" s="50"/>
      <c r="E45" s="66">
        <f>C45/(1.03^2)</f>
        <v>424.16815911018949</v>
      </c>
    </row>
    <row r="46" spans="1:6" x14ac:dyDescent="0.35">
      <c r="B46" s="60" t="s">
        <v>54</v>
      </c>
      <c r="C46" s="50">
        <v>500</v>
      </c>
      <c r="D46" s="50"/>
      <c r="E46" s="66">
        <f>C46/(1.03^1)</f>
        <v>485.43689320388347</v>
      </c>
    </row>
    <row r="47" spans="1:6" x14ac:dyDescent="0.35">
      <c r="B47" s="60" t="s">
        <v>57</v>
      </c>
      <c r="C47" s="50">
        <v>300</v>
      </c>
      <c r="D47" s="50"/>
      <c r="E47" s="66">
        <f>C47/(1.03^0)</f>
        <v>300</v>
      </c>
    </row>
    <row r="48" spans="1:6" x14ac:dyDescent="0.35">
      <c r="B48" s="60" t="s">
        <v>268</v>
      </c>
      <c r="C48" s="47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C10" sqref="C10:G10"/>
    </sheetView>
  </sheetViews>
  <sheetFormatPr defaultColWidth="9.08984375" defaultRowHeight="14.5" x14ac:dyDescent="0.35"/>
  <cols>
    <col min="1" max="1" width="18.08984375" style="132" customWidth="1"/>
    <col min="2" max="2" width="11.90625" style="132" customWidth="1"/>
    <col min="3" max="3" width="9.7265625" style="132" customWidth="1"/>
    <col min="4" max="4" width="10.90625" style="132" customWidth="1"/>
    <col min="5" max="5" width="12.6328125" style="132" customWidth="1"/>
    <col min="6" max="6" width="10.453125" style="132" customWidth="1"/>
    <col min="7" max="7" width="11.81640625" style="132" customWidth="1"/>
    <col min="8" max="8" width="8.08984375" style="133" customWidth="1"/>
    <col min="9" max="9" width="10.36328125" style="133" customWidth="1"/>
    <col min="10" max="10" width="9.36328125" style="133" customWidth="1"/>
    <col min="11" max="11" width="7.6328125" style="133" customWidth="1"/>
    <col min="12" max="12" width="7.36328125" style="133" customWidth="1"/>
    <col min="13" max="13" width="8.453125" style="132" customWidth="1"/>
    <col min="14" max="14" width="9.54296875" style="132" customWidth="1"/>
    <col min="15" max="15" width="8" style="132" customWidth="1"/>
    <col min="16" max="16" width="7" style="132" customWidth="1"/>
    <col min="17" max="16384" width="9.08984375" style="132"/>
  </cols>
  <sheetData>
    <row r="1" spans="1:17" ht="15" thickBot="1" x14ac:dyDescent="0.4"/>
    <row r="2" spans="1:17" x14ac:dyDescent="0.35">
      <c r="A2" s="325" t="s">
        <v>163</v>
      </c>
      <c r="B2" s="326"/>
      <c r="C2" s="273">
        <v>2012</v>
      </c>
      <c r="D2" s="274"/>
      <c r="E2" s="274"/>
      <c r="F2" s="274"/>
      <c r="G2" s="275"/>
      <c r="H2" s="282">
        <v>2013</v>
      </c>
      <c r="I2" s="283"/>
      <c r="J2" s="283"/>
      <c r="K2" s="283"/>
      <c r="L2" s="284"/>
      <c r="M2" s="282">
        <v>2014</v>
      </c>
      <c r="N2" s="283"/>
      <c r="O2" s="283"/>
      <c r="P2" s="283"/>
      <c r="Q2" s="284"/>
    </row>
    <row r="3" spans="1:17" ht="29" x14ac:dyDescent="0.35">
      <c r="A3" s="323"/>
      <c r="B3" s="324"/>
      <c r="C3" s="206" t="s">
        <v>239</v>
      </c>
      <c r="D3" s="183" t="s">
        <v>238</v>
      </c>
      <c r="E3" s="183" t="s">
        <v>240</v>
      </c>
      <c r="F3" s="183" t="s">
        <v>237</v>
      </c>
      <c r="G3" s="183" t="s">
        <v>241</v>
      </c>
      <c r="H3" s="206" t="s">
        <v>239</v>
      </c>
      <c r="I3" s="183" t="s">
        <v>238</v>
      </c>
      <c r="J3" s="183" t="s">
        <v>240</v>
      </c>
      <c r="K3" s="183" t="s">
        <v>237</v>
      </c>
      <c r="L3" s="183" t="s">
        <v>241</v>
      </c>
      <c r="M3" s="206" t="s">
        <v>239</v>
      </c>
      <c r="N3" s="183" t="s">
        <v>238</v>
      </c>
      <c r="O3" s="183" t="s">
        <v>240</v>
      </c>
      <c r="P3" s="183" t="s">
        <v>237</v>
      </c>
      <c r="Q3" s="207" t="s">
        <v>241</v>
      </c>
    </row>
    <row r="4" spans="1:17" x14ac:dyDescent="0.35">
      <c r="A4" s="200" t="s">
        <v>242</v>
      </c>
      <c r="B4" s="201"/>
      <c r="C4" s="206">
        <v>2</v>
      </c>
      <c r="D4" s="183">
        <v>1</v>
      </c>
      <c r="E4" s="183">
        <v>3</v>
      </c>
      <c r="F4" s="183">
        <v>7</v>
      </c>
      <c r="G4" s="183">
        <v>8</v>
      </c>
      <c r="H4" s="206">
        <v>2</v>
      </c>
      <c r="I4" s="183">
        <v>1</v>
      </c>
      <c r="J4" s="183">
        <v>3</v>
      </c>
      <c r="K4" s="183">
        <v>7</v>
      </c>
      <c r="L4" s="183">
        <v>8</v>
      </c>
      <c r="M4" s="206">
        <v>2</v>
      </c>
      <c r="N4" s="183">
        <v>1</v>
      </c>
      <c r="O4" s="183">
        <v>3</v>
      </c>
      <c r="P4" s="183">
        <v>7</v>
      </c>
      <c r="Q4" s="207">
        <v>8</v>
      </c>
    </row>
    <row r="5" spans="1:17" ht="32.25" customHeight="1" x14ac:dyDescent="0.35">
      <c r="A5" s="327" t="s">
        <v>164</v>
      </c>
      <c r="B5" s="328"/>
      <c r="C5" s="268">
        <v>8.6867000000000001</v>
      </c>
      <c r="D5" s="265">
        <f>C5</f>
        <v>8.6867000000000001</v>
      </c>
      <c r="E5" s="265">
        <f>C5</f>
        <v>8.6867000000000001</v>
      </c>
      <c r="F5" s="265">
        <f>C5</f>
        <v>8.6867000000000001</v>
      </c>
      <c r="G5" s="265">
        <f>C5</f>
        <v>8.6867000000000001</v>
      </c>
      <c r="H5" s="137">
        <v>10.31</v>
      </c>
      <c r="I5" s="138">
        <v>10.31</v>
      </c>
      <c r="J5" s="138">
        <v>10.31</v>
      </c>
      <c r="K5" s="138">
        <v>10.31</v>
      </c>
      <c r="L5" s="136">
        <v>10.31</v>
      </c>
      <c r="M5" s="137">
        <v>5.2204392626751019</v>
      </c>
      <c r="N5" s="138">
        <v>5.2204392626751019</v>
      </c>
      <c r="O5" s="138">
        <v>5.2204392626751019</v>
      </c>
      <c r="P5" s="138">
        <v>5.22</v>
      </c>
      <c r="Q5" s="136">
        <v>5.22</v>
      </c>
    </row>
    <row r="6" spans="1:17" ht="31.5" customHeight="1" x14ac:dyDescent="0.35">
      <c r="A6" s="327" t="s">
        <v>165</v>
      </c>
      <c r="B6" s="328"/>
      <c r="C6" s="268">
        <v>3.8029999999999999</v>
      </c>
      <c r="D6" s="265">
        <f>C6</f>
        <v>3.8029999999999999</v>
      </c>
      <c r="E6" s="269">
        <f>C6</f>
        <v>3.8029999999999999</v>
      </c>
      <c r="F6" s="265">
        <f>C6</f>
        <v>3.8029999999999999</v>
      </c>
      <c r="G6" s="265">
        <f>C6</f>
        <v>3.8029999999999999</v>
      </c>
      <c r="H6" s="137">
        <v>9.5914553197117325</v>
      </c>
      <c r="I6" s="138">
        <v>9.5914553197117325</v>
      </c>
      <c r="J6" s="138">
        <v>9.5914553197117325</v>
      </c>
      <c r="K6" s="138">
        <v>9.59</v>
      </c>
      <c r="L6" s="136">
        <v>9.59</v>
      </c>
      <c r="M6" s="137">
        <v>3.5964805112684437</v>
      </c>
      <c r="N6" s="138">
        <v>3.5964805112684437</v>
      </c>
      <c r="O6" s="138">
        <v>3.5964805112684437</v>
      </c>
      <c r="P6" s="138">
        <v>3.6</v>
      </c>
      <c r="Q6" s="136">
        <v>3.6</v>
      </c>
    </row>
    <row r="7" spans="1:17" x14ac:dyDescent="0.35">
      <c r="A7" s="285" t="s">
        <v>166</v>
      </c>
      <c r="B7" s="286"/>
      <c r="C7" s="268">
        <v>0.86980000000000002</v>
      </c>
      <c r="D7" s="265">
        <v>0.94969999999999999</v>
      </c>
      <c r="E7" s="269">
        <v>0.86960000000000004</v>
      </c>
      <c r="F7" s="269">
        <v>0.93269999999999997</v>
      </c>
      <c r="G7" s="269">
        <v>0.91969999999999996</v>
      </c>
      <c r="H7" s="139">
        <v>0.87</v>
      </c>
      <c r="I7" s="140">
        <v>0.95</v>
      </c>
      <c r="J7" s="140">
        <v>0.86899999999999999</v>
      </c>
      <c r="K7" s="140">
        <v>0.93300000000000005</v>
      </c>
      <c r="L7" s="141">
        <v>0.92</v>
      </c>
      <c r="M7" s="134">
        <v>0.87</v>
      </c>
      <c r="N7" s="135">
        <v>0.95</v>
      </c>
      <c r="O7" s="135">
        <v>0.87</v>
      </c>
      <c r="P7" s="145">
        <v>0.93300000000000005</v>
      </c>
      <c r="Q7" s="156">
        <v>0.92</v>
      </c>
    </row>
    <row r="8" spans="1:17" x14ac:dyDescent="0.35">
      <c r="A8" s="285" t="s">
        <v>167</v>
      </c>
      <c r="B8" s="286"/>
      <c r="C8" s="268">
        <v>0.86960000000000004</v>
      </c>
      <c r="D8" s="265">
        <v>0.94930000000000003</v>
      </c>
      <c r="E8" s="269">
        <v>0.86919999999999997</v>
      </c>
      <c r="F8" s="269">
        <v>0.93230000000000002</v>
      </c>
      <c r="G8" s="269">
        <v>0.91949999999999998</v>
      </c>
      <c r="H8" s="139">
        <v>0.86799999999999999</v>
      </c>
      <c r="I8" s="140">
        <v>0.94799999999999995</v>
      </c>
      <c r="J8" s="140">
        <v>0.86799999999999999</v>
      </c>
      <c r="K8" s="140">
        <v>0.93100000000000005</v>
      </c>
      <c r="L8" s="141">
        <v>0.91800000000000004</v>
      </c>
      <c r="M8" s="134">
        <v>0.87</v>
      </c>
      <c r="N8" s="135">
        <v>0.95</v>
      </c>
      <c r="O8" s="135">
        <v>0.87</v>
      </c>
      <c r="P8" s="145">
        <v>0.93300000000000005</v>
      </c>
      <c r="Q8" s="156">
        <v>0.92</v>
      </c>
    </row>
    <row r="9" spans="1:17" x14ac:dyDescent="0.35">
      <c r="A9" s="321" t="s">
        <v>38</v>
      </c>
      <c r="B9" s="322"/>
      <c r="C9" s="142">
        <f>(C5-C6)/(C7-C8)</f>
        <v>24418.500000002688</v>
      </c>
      <c r="D9" s="142">
        <f t="shared" ref="D9:G9" si="0">(D5-D6)/(D7-D8)</f>
        <v>12209.250000001344</v>
      </c>
      <c r="E9" s="142">
        <f t="shared" si="0"/>
        <v>12209.249999997955</v>
      </c>
      <c r="F9" s="142">
        <f t="shared" si="0"/>
        <v>12209.250000001344</v>
      </c>
      <c r="G9" s="142">
        <f t="shared" si="0"/>
        <v>24418.500000002688</v>
      </c>
      <c r="H9" s="142">
        <v>359</v>
      </c>
      <c r="I9" s="143">
        <v>359</v>
      </c>
      <c r="J9" s="143">
        <v>718</v>
      </c>
      <c r="K9" s="143">
        <v>359</v>
      </c>
      <c r="L9" s="144">
        <v>359</v>
      </c>
      <c r="M9" s="142" t="s">
        <v>185</v>
      </c>
      <c r="N9" s="143" t="s">
        <v>185</v>
      </c>
      <c r="O9" s="143" t="s">
        <v>185</v>
      </c>
      <c r="P9" s="143" t="s">
        <v>185</v>
      </c>
      <c r="Q9" s="144" t="s">
        <v>185</v>
      </c>
    </row>
    <row r="10" spans="1:17" x14ac:dyDescent="0.35">
      <c r="A10" s="323" t="s">
        <v>172</v>
      </c>
      <c r="B10" s="324"/>
      <c r="C10" s="276">
        <v>5917.9</v>
      </c>
      <c r="D10" s="277"/>
      <c r="E10" s="277"/>
      <c r="F10" s="277"/>
      <c r="G10" s="278"/>
      <c r="H10" s="279">
        <v>6229.2</v>
      </c>
      <c r="I10" s="280"/>
      <c r="J10" s="280"/>
      <c r="K10" s="280"/>
      <c r="L10" s="281"/>
      <c r="M10" s="316">
        <v>5977.4</v>
      </c>
      <c r="N10" s="317"/>
      <c r="O10" s="317"/>
      <c r="P10" s="317"/>
      <c r="Q10" s="318"/>
    </row>
    <row r="11" spans="1:17" ht="15" thickBot="1" x14ac:dyDescent="0.4">
      <c r="A11" s="319" t="s">
        <v>168</v>
      </c>
      <c r="B11" s="320"/>
      <c r="C11" s="287" t="s">
        <v>169</v>
      </c>
      <c r="D11" s="288"/>
      <c r="E11" s="288"/>
      <c r="F11" s="288"/>
      <c r="G11" s="289"/>
      <c r="H11" s="287" t="s">
        <v>170</v>
      </c>
      <c r="I11" s="288"/>
      <c r="J11" s="288"/>
      <c r="K11" s="288"/>
      <c r="L11" s="289"/>
      <c r="M11" s="287" t="s">
        <v>171</v>
      </c>
      <c r="N11" s="288"/>
      <c r="O11" s="288"/>
      <c r="P11" s="288"/>
      <c r="Q11" s="289"/>
    </row>
    <row r="14" spans="1:17" ht="15" thickBot="1" x14ac:dyDescent="0.4"/>
    <row r="15" spans="1:17" x14ac:dyDescent="0.35">
      <c r="A15" s="305" t="s">
        <v>73</v>
      </c>
      <c r="B15" s="307" t="s">
        <v>25</v>
      </c>
      <c r="C15" s="308"/>
      <c r="D15" s="309"/>
      <c r="E15" s="154" t="s">
        <v>28</v>
      </c>
      <c r="F15" s="299" t="s">
        <v>228</v>
      </c>
      <c r="G15" s="300"/>
      <c r="H15" s="301"/>
    </row>
    <row r="16" spans="1:17" x14ac:dyDescent="0.35">
      <c r="A16" s="306"/>
      <c r="B16" s="147" t="s">
        <v>22</v>
      </c>
      <c r="C16" s="146" t="s">
        <v>173</v>
      </c>
      <c r="D16" s="148" t="s">
        <v>174</v>
      </c>
      <c r="E16" s="155"/>
      <c r="F16" s="302"/>
      <c r="G16" s="303"/>
      <c r="H16" s="304"/>
    </row>
    <row r="17" spans="1:10" ht="65.25" customHeight="1" x14ac:dyDescent="0.35">
      <c r="A17" s="202">
        <v>2</v>
      </c>
      <c r="B17" s="150">
        <v>0.87</v>
      </c>
      <c r="C17" s="151">
        <v>0.65</v>
      </c>
      <c r="D17" s="153">
        <v>0.5</v>
      </c>
      <c r="E17" s="203" t="s">
        <v>229</v>
      </c>
      <c r="F17" s="313" t="s">
        <v>175</v>
      </c>
      <c r="G17" s="314"/>
      <c r="H17" s="315"/>
      <c r="I17" s="255" t="s">
        <v>239</v>
      </c>
    </row>
    <row r="18" spans="1:10" ht="37.5" customHeight="1" x14ac:dyDescent="0.35">
      <c r="A18" s="149">
        <v>1</v>
      </c>
      <c r="B18" s="150">
        <v>0.95</v>
      </c>
      <c r="C18" s="151">
        <v>0.57999999999999996</v>
      </c>
      <c r="D18" s="152">
        <v>0.57999999999999996</v>
      </c>
      <c r="E18" s="149" t="s">
        <v>27</v>
      </c>
      <c r="F18" s="310" t="s">
        <v>34</v>
      </c>
      <c r="G18" s="311"/>
      <c r="H18" s="312"/>
      <c r="I18" s="255" t="s">
        <v>238</v>
      </c>
    </row>
    <row r="19" spans="1:10" ht="62.25" customHeight="1" x14ac:dyDescent="0.35">
      <c r="A19" s="196">
        <v>3</v>
      </c>
      <c r="B19" s="197">
        <v>0.87</v>
      </c>
      <c r="C19" s="198">
        <v>0.52</v>
      </c>
      <c r="D19" s="199">
        <v>0.05</v>
      </c>
      <c r="E19" s="204" t="s">
        <v>230</v>
      </c>
      <c r="F19" s="296" t="s">
        <v>175</v>
      </c>
      <c r="G19" s="297"/>
      <c r="H19" s="298"/>
      <c r="I19" s="255" t="s">
        <v>240</v>
      </c>
      <c r="J19" s="205" t="s">
        <v>231</v>
      </c>
    </row>
    <row r="20" spans="1:10" ht="49.5" customHeight="1" x14ac:dyDescent="0.35">
      <c r="A20" s="196">
        <v>7</v>
      </c>
      <c r="B20" s="208">
        <v>0.93300000000000005</v>
      </c>
      <c r="C20" s="209">
        <v>0.55800000000000005</v>
      </c>
      <c r="D20" s="210">
        <v>0.55800000000000005</v>
      </c>
      <c r="E20" s="211" t="s">
        <v>223</v>
      </c>
      <c r="F20" s="290" t="s">
        <v>224</v>
      </c>
      <c r="G20" s="291"/>
      <c r="H20" s="292"/>
      <c r="I20" s="255" t="s">
        <v>237</v>
      </c>
    </row>
    <row r="21" spans="1:10" ht="66" customHeight="1" thickBot="1" x14ac:dyDescent="0.4">
      <c r="A21" s="195">
        <v>8</v>
      </c>
      <c r="B21" s="212">
        <v>0.92</v>
      </c>
      <c r="C21" s="213">
        <v>0.65900000000000003</v>
      </c>
      <c r="D21" s="214">
        <v>0.51400000000000001</v>
      </c>
      <c r="E21" s="215" t="s">
        <v>226</v>
      </c>
      <c r="F21" s="293" t="s">
        <v>227</v>
      </c>
      <c r="G21" s="294"/>
      <c r="H21" s="295"/>
      <c r="I21" s="255" t="s">
        <v>241</v>
      </c>
    </row>
    <row r="22" spans="1:10" x14ac:dyDescent="0.35">
      <c r="A22" s="196">
        <v>9</v>
      </c>
      <c r="B22" s="132">
        <f>AVERAGE(B17:B21)</f>
        <v>0.90860000000000007</v>
      </c>
      <c r="C22" s="132">
        <f>AVERAGE(C17:C21)</f>
        <v>0.59339999999999993</v>
      </c>
      <c r="D22" s="132">
        <f>AVERAGE(D17:D21)</f>
        <v>0.44040000000000001</v>
      </c>
      <c r="I22" s="133" t="s">
        <v>276</v>
      </c>
    </row>
  </sheetData>
  <mergeCells count="26">
    <mergeCell ref="A15:A16"/>
    <mergeCell ref="B15:D15"/>
    <mergeCell ref="F18:H18"/>
    <mergeCell ref="F17:H17"/>
    <mergeCell ref="M2:Q2"/>
    <mergeCell ref="M10:Q10"/>
    <mergeCell ref="A11:B11"/>
    <mergeCell ref="A9:B9"/>
    <mergeCell ref="A3:B3"/>
    <mergeCell ref="A2:B2"/>
    <mergeCell ref="A10:B10"/>
    <mergeCell ref="C11:G11"/>
    <mergeCell ref="H11:L11"/>
    <mergeCell ref="A5:B5"/>
    <mergeCell ref="A6:B6"/>
    <mergeCell ref="A7:B7"/>
    <mergeCell ref="M11:Q11"/>
    <mergeCell ref="F20:H20"/>
    <mergeCell ref="F21:H21"/>
    <mergeCell ref="F19:H19"/>
    <mergeCell ref="F15:H16"/>
    <mergeCell ref="C2:G2"/>
    <mergeCell ref="C10:G10"/>
    <mergeCell ref="H10:L10"/>
    <mergeCell ref="H2:L2"/>
    <mergeCell ref="A8:B8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B31" sqref="B31"/>
    </sheetView>
  </sheetViews>
  <sheetFormatPr defaultColWidth="9.08984375" defaultRowHeight="15.5" x14ac:dyDescent="0.35"/>
  <cols>
    <col min="1" max="1" width="80.54296875" style="159" customWidth="1"/>
    <col min="2" max="2" width="11.54296875" style="164" customWidth="1"/>
    <col min="3" max="3" width="10.36328125" style="164" customWidth="1"/>
    <col min="4" max="4" width="11.54296875" style="164" customWidth="1"/>
    <col min="5" max="5" width="32.90625" style="159" customWidth="1"/>
    <col min="6" max="16384" width="9.08984375" style="159"/>
  </cols>
  <sheetData>
    <row r="1" spans="1:5" x14ac:dyDescent="0.35">
      <c r="A1" s="160"/>
      <c r="B1" s="164">
        <v>2012</v>
      </c>
      <c r="C1" s="164">
        <v>2013</v>
      </c>
      <c r="D1" s="164">
        <v>2014</v>
      </c>
      <c r="E1" s="159" t="s">
        <v>186</v>
      </c>
    </row>
    <row r="2" spans="1:5" hidden="1" x14ac:dyDescent="0.35">
      <c r="A2" s="158" t="s">
        <v>190</v>
      </c>
      <c r="B2" s="164">
        <v>31.1</v>
      </c>
      <c r="C2" s="164">
        <v>30.7</v>
      </c>
      <c r="D2" s="164">
        <v>32.5</v>
      </c>
    </row>
    <row r="3" spans="1:5" hidden="1" x14ac:dyDescent="0.35">
      <c r="A3" s="158" t="s">
        <v>178</v>
      </c>
    </row>
    <row r="4" spans="1:5" hidden="1" x14ac:dyDescent="0.35">
      <c r="A4" s="158" t="s">
        <v>179</v>
      </c>
    </row>
    <row r="5" spans="1:5" hidden="1" x14ac:dyDescent="0.35">
      <c r="A5" s="158" t="s">
        <v>181</v>
      </c>
      <c r="B5" s="164">
        <v>743</v>
      </c>
      <c r="C5" s="164">
        <v>957</v>
      </c>
      <c r="D5" s="164">
        <v>720</v>
      </c>
      <c r="E5" s="159" t="s">
        <v>187</v>
      </c>
    </row>
    <row r="6" spans="1:5" hidden="1" x14ac:dyDescent="0.35">
      <c r="A6" s="158" t="s">
        <v>182</v>
      </c>
      <c r="B6" s="164">
        <v>8899</v>
      </c>
      <c r="C6" s="164" t="s">
        <v>185</v>
      </c>
      <c r="D6" s="164" t="s">
        <v>185</v>
      </c>
      <c r="E6" s="159" t="s">
        <v>187</v>
      </c>
    </row>
    <row r="7" spans="1:5" hidden="1" x14ac:dyDescent="0.35">
      <c r="A7" s="158" t="s">
        <v>183</v>
      </c>
      <c r="B7" s="164">
        <v>1615</v>
      </c>
      <c r="C7" s="164">
        <v>847</v>
      </c>
      <c r="D7" s="164" t="s">
        <v>185</v>
      </c>
      <c r="E7" s="159" t="s">
        <v>187</v>
      </c>
    </row>
    <row r="8" spans="1:5" hidden="1" x14ac:dyDescent="0.35">
      <c r="A8" s="158" t="s">
        <v>184</v>
      </c>
      <c r="B8" s="164" t="s">
        <v>185</v>
      </c>
      <c r="C8" s="164">
        <v>14849</v>
      </c>
      <c r="D8" s="164" t="s">
        <v>185</v>
      </c>
      <c r="E8" s="159" t="s">
        <v>187</v>
      </c>
    </row>
    <row r="9" spans="1:5" hidden="1" x14ac:dyDescent="0.35">
      <c r="A9" s="158" t="s">
        <v>180</v>
      </c>
    </row>
    <row r="10" spans="1:5" hidden="1" x14ac:dyDescent="0.35">
      <c r="A10" s="158" t="s">
        <v>181</v>
      </c>
      <c r="B10" s="164">
        <v>870</v>
      </c>
      <c r="C10" s="164">
        <v>710</v>
      </c>
      <c r="D10" s="164">
        <v>1002</v>
      </c>
      <c r="E10" s="159" t="s">
        <v>187</v>
      </c>
    </row>
    <row r="11" spans="1:5" hidden="1" x14ac:dyDescent="0.35">
      <c r="A11" s="158" t="s">
        <v>182</v>
      </c>
      <c r="B11" s="164">
        <v>5377</v>
      </c>
      <c r="C11" s="164">
        <v>2912</v>
      </c>
      <c r="D11" s="164">
        <v>32887</v>
      </c>
      <c r="E11" s="159" t="s">
        <v>187</v>
      </c>
    </row>
    <row r="12" spans="1:5" hidden="1" x14ac:dyDescent="0.35">
      <c r="A12" s="158" t="s">
        <v>183</v>
      </c>
      <c r="B12" s="164">
        <v>590</v>
      </c>
      <c r="C12" s="164">
        <v>670</v>
      </c>
      <c r="D12" s="164">
        <v>610</v>
      </c>
      <c r="E12" s="159" t="s">
        <v>187</v>
      </c>
    </row>
    <row r="13" spans="1:5" hidden="1" x14ac:dyDescent="0.35">
      <c r="A13" s="158" t="s">
        <v>184</v>
      </c>
      <c r="B13" s="164">
        <v>7500</v>
      </c>
      <c r="C13" s="164">
        <v>87436</v>
      </c>
      <c r="D13" s="164" t="s">
        <v>185</v>
      </c>
      <c r="E13" s="159" t="s">
        <v>187</v>
      </c>
    </row>
    <row r="14" spans="1:5" x14ac:dyDescent="0.35">
      <c r="A14" s="158" t="s">
        <v>202</v>
      </c>
    </row>
    <row r="15" spans="1:5" x14ac:dyDescent="0.35">
      <c r="A15" s="158" t="s">
        <v>179</v>
      </c>
    </row>
    <row r="16" spans="1:5" x14ac:dyDescent="0.35">
      <c r="A16" s="158" t="s">
        <v>181</v>
      </c>
      <c r="B16" s="165">
        <f>B5/$B$2</f>
        <v>23.890675241157556</v>
      </c>
      <c r="C16" s="165">
        <f>C5/$C$2</f>
        <v>31.172638436482085</v>
      </c>
      <c r="D16" s="165">
        <f>D5/$D$2</f>
        <v>22.153846153846153</v>
      </c>
      <c r="E16" s="159" t="s">
        <v>187</v>
      </c>
    </row>
    <row r="17" spans="1:7" x14ac:dyDescent="0.35">
      <c r="A17" s="158" t="s">
        <v>182</v>
      </c>
      <c r="B17" s="165">
        <f t="shared" ref="B17:B18" si="0">B6/$B$2</f>
        <v>286.14147909967846</v>
      </c>
      <c r="C17" s="165" t="s">
        <v>185</v>
      </c>
      <c r="D17" s="165" t="s">
        <v>185</v>
      </c>
      <c r="E17" s="159" t="s">
        <v>187</v>
      </c>
    </row>
    <row r="18" spans="1:7" x14ac:dyDescent="0.35">
      <c r="A18" s="158" t="s">
        <v>183</v>
      </c>
      <c r="B18" s="165">
        <f t="shared" si="0"/>
        <v>51.929260450160768</v>
      </c>
      <c r="C18" s="165">
        <f>C7/$C$2</f>
        <v>27.589576547231271</v>
      </c>
      <c r="D18" s="165" t="s">
        <v>185</v>
      </c>
      <c r="E18" s="159" t="s">
        <v>187</v>
      </c>
    </row>
    <row r="19" spans="1:7" x14ac:dyDescent="0.35">
      <c r="A19" s="158" t="s">
        <v>184</v>
      </c>
      <c r="B19" s="165" t="s">
        <v>185</v>
      </c>
      <c r="C19" s="165">
        <f>C8/$C$2</f>
        <v>483.68078175895766</v>
      </c>
      <c r="D19" s="165" t="s">
        <v>185</v>
      </c>
      <c r="E19" s="159" t="s">
        <v>187</v>
      </c>
    </row>
    <row r="20" spans="1:7" x14ac:dyDescent="0.35">
      <c r="A20" s="158" t="s">
        <v>180</v>
      </c>
      <c r="B20" s="165"/>
      <c r="C20" s="165"/>
      <c r="D20" s="165"/>
    </row>
    <row r="21" spans="1:7" x14ac:dyDescent="0.35">
      <c r="A21" s="158" t="s">
        <v>181</v>
      </c>
      <c r="B21" s="165">
        <f t="shared" ref="B21:B24" si="1">B10/$B$2</f>
        <v>27.974276527331188</v>
      </c>
      <c r="C21" s="165">
        <f t="shared" ref="C21:C24" si="2">C10/$C$2</f>
        <v>23.127035830618894</v>
      </c>
      <c r="D21" s="165">
        <f t="shared" ref="D21:D23" si="3">D10/$D$2</f>
        <v>30.830769230769231</v>
      </c>
      <c r="E21" s="159" t="s">
        <v>187</v>
      </c>
    </row>
    <row r="22" spans="1:7" x14ac:dyDescent="0.35">
      <c r="A22" s="161" t="s">
        <v>182</v>
      </c>
      <c r="B22" s="166">
        <f t="shared" si="1"/>
        <v>172.89389067524115</v>
      </c>
      <c r="C22" s="165">
        <f t="shared" si="2"/>
        <v>94.853420195439739</v>
      </c>
      <c r="D22" s="165">
        <f t="shared" si="3"/>
        <v>1011.9076923076923</v>
      </c>
      <c r="E22" s="167" t="s">
        <v>187</v>
      </c>
    </row>
    <row r="23" spans="1:7" x14ac:dyDescent="0.35">
      <c r="A23" s="161" t="s">
        <v>183</v>
      </c>
      <c r="B23" s="166">
        <f t="shared" si="1"/>
        <v>18.971061093247588</v>
      </c>
      <c r="C23" s="165">
        <f t="shared" si="2"/>
        <v>21.824104234527688</v>
      </c>
      <c r="D23" s="165">
        <f t="shared" si="3"/>
        <v>18.76923076923077</v>
      </c>
      <c r="E23" s="167" t="s">
        <v>187</v>
      </c>
    </row>
    <row r="24" spans="1:7" x14ac:dyDescent="0.35">
      <c r="A24" s="161" t="s">
        <v>184</v>
      </c>
      <c r="B24" s="166">
        <f t="shared" si="1"/>
        <v>241.15755627009645</v>
      </c>
      <c r="C24" s="165">
        <f t="shared" si="2"/>
        <v>2848.0781758957655</v>
      </c>
      <c r="D24" s="166" t="s">
        <v>185</v>
      </c>
      <c r="E24" s="167" t="s">
        <v>187</v>
      </c>
    </row>
    <row r="25" spans="1:7" x14ac:dyDescent="0.35">
      <c r="A25" s="161" t="s">
        <v>195</v>
      </c>
      <c r="B25" s="168"/>
      <c r="C25" s="168"/>
      <c r="D25" s="168"/>
      <c r="E25" s="167"/>
    </row>
    <row r="26" spans="1:7" x14ac:dyDescent="0.35">
      <c r="A26" s="162" t="s">
        <v>188</v>
      </c>
      <c r="B26" s="171">
        <v>3.64</v>
      </c>
      <c r="C26" s="171">
        <v>3.68</v>
      </c>
      <c r="D26" s="171">
        <v>3.48</v>
      </c>
      <c r="E26" s="163" t="s">
        <v>189</v>
      </c>
    </row>
    <row r="27" spans="1:7" x14ac:dyDescent="0.35">
      <c r="A27" s="162" t="s">
        <v>191</v>
      </c>
      <c r="B27" s="171">
        <v>0.85</v>
      </c>
      <c r="C27" s="171">
        <v>0.86</v>
      </c>
      <c r="D27" s="171">
        <v>0.77</v>
      </c>
      <c r="E27" s="163" t="s">
        <v>189</v>
      </c>
      <c r="F27" s="167"/>
      <c r="G27" s="167"/>
    </row>
    <row r="28" spans="1:7" x14ac:dyDescent="0.35">
      <c r="A28" s="162" t="s">
        <v>192</v>
      </c>
      <c r="B28" s="170">
        <v>0.28999999999999998</v>
      </c>
      <c r="C28" s="170">
        <v>0.31</v>
      </c>
      <c r="D28" s="170">
        <v>0.28999999999999998</v>
      </c>
      <c r="E28" s="169" t="s">
        <v>187</v>
      </c>
      <c r="F28" s="167"/>
      <c r="G28" s="167"/>
    </row>
    <row r="29" spans="1:7" x14ac:dyDescent="0.35">
      <c r="A29" s="167" t="s">
        <v>193</v>
      </c>
      <c r="B29" s="171">
        <v>0.55000000000000004</v>
      </c>
      <c r="C29" s="171">
        <v>0.71</v>
      </c>
      <c r="D29" s="171">
        <v>0.88</v>
      </c>
      <c r="E29" s="162" t="s">
        <v>187</v>
      </c>
      <c r="F29" s="167"/>
      <c r="G29" s="167"/>
    </row>
    <row r="30" spans="1:7" x14ac:dyDescent="0.35">
      <c r="A30" s="167" t="s">
        <v>194</v>
      </c>
      <c r="B30" s="171">
        <v>0.45</v>
      </c>
      <c r="C30" s="171">
        <v>0.28999999999999998</v>
      </c>
      <c r="D30" s="171">
        <v>0.12</v>
      </c>
      <c r="E30" s="162" t="s">
        <v>187</v>
      </c>
      <c r="F30" s="167"/>
      <c r="G30" s="167"/>
    </row>
    <row r="31" spans="1:7" x14ac:dyDescent="0.35">
      <c r="A31" s="158" t="s">
        <v>203</v>
      </c>
      <c r="B31" s="171"/>
      <c r="C31" s="171"/>
      <c r="D31" s="171"/>
      <c r="E31" s="162"/>
      <c r="F31" s="167"/>
      <c r="G31" s="167"/>
    </row>
    <row r="32" spans="1:7" x14ac:dyDescent="0.35">
      <c r="A32" s="179" t="s">
        <v>205</v>
      </c>
      <c r="B32" s="171">
        <v>8.0000000000000002E-3</v>
      </c>
      <c r="C32" s="171">
        <v>8.9999999999999993E-3</v>
      </c>
      <c r="D32" s="182">
        <v>5.8139534883720938E-3</v>
      </c>
      <c r="E32" s="162" t="s">
        <v>187</v>
      </c>
      <c r="F32" s="167"/>
      <c r="G32" s="167"/>
    </row>
    <row r="33" spans="1:7" x14ac:dyDescent="0.35">
      <c r="A33" s="179" t="s">
        <v>204</v>
      </c>
      <c r="B33" s="171">
        <v>1E-3</v>
      </c>
      <c r="C33" s="180">
        <v>0</v>
      </c>
      <c r="D33" s="182">
        <v>0</v>
      </c>
      <c r="E33" s="162" t="s">
        <v>187</v>
      </c>
      <c r="F33" s="167"/>
      <c r="G33" s="167"/>
    </row>
    <row r="34" spans="1:7" x14ac:dyDescent="0.35">
      <c r="A34" s="179" t="s">
        <v>212</v>
      </c>
      <c r="B34" s="171">
        <v>0.16800000000000001</v>
      </c>
      <c r="C34" s="171">
        <v>0.16400000000000001</v>
      </c>
      <c r="D34" s="182">
        <v>0.14728682170542637</v>
      </c>
      <c r="E34" s="162" t="s">
        <v>187</v>
      </c>
      <c r="F34" s="167"/>
      <c r="G34" s="167"/>
    </row>
    <row r="35" spans="1:7" x14ac:dyDescent="0.35">
      <c r="A35" s="179" t="s">
        <v>206</v>
      </c>
      <c r="B35" s="171">
        <v>2E-3</v>
      </c>
      <c r="C35" s="171">
        <v>7.0000000000000001E-3</v>
      </c>
      <c r="D35" s="182">
        <v>0</v>
      </c>
      <c r="E35" s="162" t="s">
        <v>187</v>
      </c>
      <c r="F35" s="167"/>
      <c r="G35" s="167"/>
    </row>
    <row r="36" spans="1:7" x14ac:dyDescent="0.35">
      <c r="A36" s="179" t="s">
        <v>207</v>
      </c>
      <c r="B36" s="180">
        <v>0</v>
      </c>
      <c r="C36" s="171">
        <v>2E-3</v>
      </c>
      <c r="D36" s="182">
        <v>0</v>
      </c>
      <c r="E36" s="162" t="s">
        <v>187</v>
      </c>
      <c r="F36" s="167"/>
      <c r="G36" s="167"/>
    </row>
    <row r="37" spans="1:7" s="263" customFormat="1" x14ac:dyDescent="0.35">
      <c r="A37" s="258" t="s">
        <v>213</v>
      </c>
      <c r="B37" s="259">
        <v>0.112</v>
      </c>
      <c r="C37" s="259">
        <v>0.126</v>
      </c>
      <c r="D37" s="260">
        <v>0.14147286821705427</v>
      </c>
      <c r="E37" s="261" t="s">
        <v>187</v>
      </c>
      <c r="F37" s="262"/>
      <c r="G37" s="262"/>
    </row>
    <row r="38" spans="1:7" x14ac:dyDescent="0.35">
      <c r="A38" s="179" t="s">
        <v>208</v>
      </c>
      <c r="B38" s="171">
        <v>3.2000000000000001E-2</v>
      </c>
      <c r="C38" s="171">
        <v>3.3000000000000002E-2</v>
      </c>
      <c r="D38" s="182">
        <v>1.7441860465116279E-2</v>
      </c>
      <c r="E38" s="162" t="s">
        <v>187</v>
      </c>
      <c r="F38" s="167"/>
      <c r="G38" s="167"/>
    </row>
    <row r="39" spans="1:7" x14ac:dyDescent="0.35">
      <c r="A39" s="174" t="s">
        <v>209</v>
      </c>
      <c r="B39" s="171">
        <v>4.0000000000000001E-3</v>
      </c>
      <c r="C39" s="171">
        <v>1E-3</v>
      </c>
      <c r="D39" s="182">
        <v>1.937984496124031E-3</v>
      </c>
      <c r="E39" s="162" t="s">
        <v>187</v>
      </c>
      <c r="F39" s="167"/>
      <c r="G39" s="167"/>
    </row>
    <row r="40" spans="1:7" x14ac:dyDescent="0.35">
      <c r="A40" s="174" t="s">
        <v>214</v>
      </c>
      <c r="B40" s="171">
        <v>0.36699999999999999</v>
      </c>
      <c r="C40" s="171">
        <v>0.36199999999999999</v>
      </c>
      <c r="D40" s="182">
        <v>0.39341085271317827</v>
      </c>
      <c r="E40" s="162" t="s">
        <v>187</v>
      </c>
      <c r="F40" s="167"/>
      <c r="G40" s="167"/>
    </row>
    <row r="41" spans="1:7" x14ac:dyDescent="0.35">
      <c r="A41" s="174" t="s">
        <v>210</v>
      </c>
      <c r="B41" s="171">
        <v>1.4E-2</v>
      </c>
      <c r="C41" s="171">
        <v>1.6E-2</v>
      </c>
      <c r="D41" s="182">
        <v>1.937984496124031E-3</v>
      </c>
      <c r="E41" s="162" t="s">
        <v>187</v>
      </c>
      <c r="F41" s="167"/>
      <c r="G41" s="167"/>
    </row>
    <row r="42" spans="1:7" x14ac:dyDescent="0.35">
      <c r="A42" s="174" t="s">
        <v>211</v>
      </c>
      <c r="B42" s="171">
        <v>3.0000000000000001E-3</v>
      </c>
      <c r="C42" s="171">
        <v>2E-3</v>
      </c>
      <c r="D42" s="182">
        <v>0</v>
      </c>
      <c r="E42" s="162" t="s">
        <v>187</v>
      </c>
      <c r="F42" s="167"/>
      <c r="G42" s="167"/>
    </row>
    <row r="43" spans="1:7" x14ac:dyDescent="0.35">
      <c r="A43" s="167" t="s">
        <v>215</v>
      </c>
      <c r="B43" s="171">
        <v>0.28899999999999998</v>
      </c>
      <c r="C43" s="171">
        <v>0.27800000000000002</v>
      </c>
      <c r="D43" s="182">
        <v>0.29069767441860467</v>
      </c>
      <c r="E43" s="162" t="s">
        <v>187</v>
      </c>
      <c r="F43" s="167"/>
      <c r="G43" s="167"/>
    </row>
    <row r="44" spans="1:7" x14ac:dyDescent="0.35">
      <c r="A44" s="167" t="s">
        <v>218</v>
      </c>
      <c r="B44" s="171"/>
      <c r="C44" s="171"/>
      <c r="D44" s="171"/>
      <c r="E44" s="162"/>
      <c r="F44" s="167"/>
      <c r="G44" s="167"/>
    </row>
    <row r="45" spans="1:7" x14ac:dyDescent="0.35">
      <c r="A45" s="167" t="s">
        <v>219</v>
      </c>
      <c r="B45" s="171"/>
      <c r="C45" s="171"/>
      <c r="D45" s="171"/>
      <c r="E45" s="162"/>
      <c r="F45" s="167"/>
      <c r="G45" s="167"/>
    </row>
    <row r="46" spans="1:7" x14ac:dyDescent="0.35">
      <c r="A46" s="167"/>
      <c r="B46" s="171"/>
      <c r="C46" s="171"/>
      <c r="D46" s="171"/>
      <c r="E46" s="162"/>
      <c r="F46" s="167"/>
      <c r="G46" s="167"/>
    </row>
    <row r="47" spans="1:7" x14ac:dyDescent="0.35">
      <c r="A47" s="167"/>
      <c r="B47" s="168"/>
      <c r="C47" s="168"/>
      <c r="D47" s="168"/>
      <c r="E47" s="167"/>
      <c r="F47" s="167"/>
      <c r="G47" s="167"/>
    </row>
    <row r="48" spans="1:7" ht="46.5" x14ac:dyDescent="0.35">
      <c r="A48" s="172" t="s">
        <v>196</v>
      </c>
      <c r="B48" s="173" t="s">
        <v>169</v>
      </c>
      <c r="C48" s="173" t="s">
        <v>170</v>
      </c>
      <c r="D48" s="173" t="s">
        <v>171</v>
      </c>
      <c r="E48" s="174" t="s">
        <v>198</v>
      </c>
      <c r="F48" s="167"/>
      <c r="G48" s="167"/>
    </row>
    <row r="49" spans="1:7" x14ac:dyDescent="0.35">
      <c r="A49" s="172" t="s">
        <v>197</v>
      </c>
      <c r="B49" s="175">
        <v>5917.9</v>
      </c>
      <c r="C49" s="176">
        <v>6229.2</v>
      </c>
      <c r="D49" s="176">
        <v>5977.4</v>
      </c>
      <c r="E49" s="172" t="s">
        <v>200</v>
      </c>
      <c r="F49" s="167"/>
      <c r="G49" s="167"/>
    </row>
    <row r="50" spans="1:7" x14ac:dyDescent="0.35">
      <c r="A50" s="167" t="s">
        <v>199</v>
      </c>
      <c r="B50" s="166">
        <v>31.064739333333332</v>
      </c>
      <c r="C50" s="166">
        <v>30.717966166666667</v>
      </c>
      <c r="D50" s="166">
        <v>32.476194333333332</v>
      </c>
      <c r="E50" s="167" t="s">
        <v>201</v>
      </c>
      <c r="F50" s="167"/>
      <c r="G50" s="167"/>
    </row>
    <row r="51" spans="1:7" x14ac:dyDescent="0.35">
      <c r="A51" s="167"/>
      <c r="B51" s="168"/>
      <c r="C51" s="168"/>
      <c r="D51" s="168"/>
      <c r="E51" s="167"/>
      <c r="F51" s="167"/>
      <c r="G51" s="16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2012</vt:lpstr>
      <vt:lpstr>2013</vt:lpstr>
      <vt:lpstr>2014</vt:lpstr>
      <vt:lpstr>2012 (case)</vt:lpstr>
      <vt:lpstr>2013 (case)</vt:lpstr>
      <vt:lpstr>2014 (case)</vt:lpstr>
      <vt:lpstr>question</vt:lpstr>
      <vt:lpstr>summary</vt:lpstr>
      <vt:lpstr>input parameters</vt:lpstr>
      <vt:lpstr>Sheet1</vt:lpstr>
      <vt:lpstr>'2012'!Print_Area</vt:lpstr>
      <vt:lpstr>'2012 (case)'!Print_Area</vt:lpstr>
    </vt:vector>
  </TitlesOfParts>
  <Company>Centers for Disease Control and Prevention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ddz8</dc:creator>
  <cp:lastModifiedBy>Wanitchaya Kittikraisak (June)</cp:lastModifiedBy>
  <cp:lastPrinted>2016-05-17T17:35:15Z</cp:lastPrinted>
  <dcterms:created xsi:type="dcterms:W3CDTF">2015-10-22T13:54:21Z</dcterms:created>
  <dcterms:modified xsi:type="dcterms:W3CDTF">2017-07-03T07:18:15Z</dcterms:modified>
</cp:coreProperties>
</file>