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m\Documents\My Large Workspace (June 30, 2016)\Whole net hole passage\Risk assessment tool paper\"/>
    </mc:Choice>
  </mc:AlternateContent>
  <bookViews>
    <workbookView xWindow="0" yWindow="0" windowWidth="20490" windowHeight="86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3" i="1"/>
  <c r="F22" i="1"/>
  <c r="F21" i="1"/>
  <c r="F20" i="1"/>
  <c r="F19" i="1"/>
  <c r="F16" i="1"/>
  <c r="F15" i="1"/>
  <c r="F14" i="1"/>
  <c r="F13" i="1"/>
  <c r="F12" i="1"/>
  <c r="F9" i="1"/>
  <c r="F8" i="1"/>
  <c r="F7" i="1"/>
  <c r="F6" i="1"/>
  <c r="F5" i="1"/>
  <c r="G13" i="1" l="1"/>
  <c r="G14" i="1"/>
  <c r="G15" i="1"/>
  <c r="G16" i="1"/>
  <c r="G6" i="1"/>
  <c r="G7" i="1"/>
  <c r="G8" i="1"/>
  <c r="G9" i="1"/>
  <c r="G30" i="1"/>
  <c r="G29" i="1"/>
  <c r="G28" i="1"/>
  <c r="H28" i="1" s="1"/>
  <c r="J28" i="1" s="1"/>
  <c r="G27" i="1"/>
  <c r="G26" i="1"/>
  <c r="G23" i="1"/>
  <c r="G22" i="1"/>
  <c r="G21" i="1"/>
  <c r="G20" i="1"/>
  <c r="G19" i="1"/>
  <c r="G12" i="1"/>
  <c r="G5" i="1"/>
  <c r="H21" i="1" l="1"/>
  <c r="J21" i="1" s="1"/>
  <c r="H19" i="1"/>
  <c r="J19" i="1" s="1"/>
  <c r="H30" i="1"/>
  <c r="H9" i="1"/>
  <c r="H13" i="1"/>
  <c r="J13" i="1" s="1"/>
  <c r="H12" i="1"/>
  <c r="J12" i="1" s="1"/>
  <c r="H23" i="1"/>
  <c r="J23" i="1" s="1"/>
  <c r="H29" i="1"/>
  <c r="H16" i="1"/>
  <c r="J16" i="1" s="1"/>
  <c r="H26" i="1"/>
  <c r="J26" i="1" s="1"/>
  <c r="H27" i="1"/>
  <c r="I28" i="1"/>
  <c r="H20" i="1"/>
  <c r="H22" i="1"/>
  <c r="J22" i="1" s="1"/>
  <c r="H15" i="1"/>
  <c r="J15" i="1" s="1"/>
  <c r="H14" i="1"/>
  <c r="J14" i="1" s="1"/>
  <c r="H7" i="1"/>
  <c r="J7" i="1" s="1"/>
  <c r="H8" i="1"/>
  <c r="J8" i="1" s="1"/>
  <c r="H6" i="1"/>
  <c r="J6" i="1" s="1"/>
  <c r="H5" i="1"/>
  <c r="I21" i="1" l="1"/>
  <c r="I19" i="1"/>
  <c r="I30" i="1"/>
  <c r="J30" i="1"/>
  <c r="I29" i="1"/>
  <c r="J29" i="1"/>
  <c r="I27" i="1"/>
  <c r="J27" i="1"/>
  <c r="H24" i="1"/>
  <c r="J20" i="1"/>
  <c r="H17" i="1"/>
  <c r="J17" i="1" s="1"/>
  <c r="I9" i="1"/>
  <c r="J9" i="1"/>
  <c r="I5" i="1"/>
  <c r="J5" i="1"/>
  <c r="I14" i="1"/>
  <c r="I16" i="1"/>
  <c r="I6" i="1"/>
  <c r="I8" i="1"/>
  <c r="I15" i="1"/>
  <c r="I12" i="1"/>
  <c r="H31" i="1"/>
  <c r="J31" i="1" s="1"/>
  <c r="I7" i="1"/>
  <c r="I22" i="1"/>
  <c r="I26" i="1"/>
  <c r="I23" i="1"/>
  <c r="I13" i="1"/>
  <c r="I20" i="1"/>
  <c r="H10" i="1"/>
  <c r="J10" i="1" s="1"/>
  <c r="I24" i="1" l="1"/>
  <c r="J24" i="1"/>
  <c r="I17" i="1"/>
  <c r="H32" i="1"/>
  <c r="I32" i="1" s="1"/>
  <c r="I10" i="1"/>
  <c r="I31" i="1"/>
  <c r="O13" i="1" l="1"/>
  <c r="J32" i="1"/>
</calcChain>
</file>

<file path=xl/sharedStrings.xml><?xml version="1.0" encoding="utf-8"?>
<sst xmlns="http://schemas.openxmlformats.org/spreadsheetml/2006/main" count="70" uniqueCount="24">
  <si>
    <t>Hourly net entry risk by Functional Area (one-mosquito-constantly-present)</t>
  </si>
  <si>
    <t>Species:</t>
  </si>
  <si>
    <r>
      <t xml:space="preserve">An. gambiae </t>
    </r>
    <r>
      <rPr>
        <b/>
        <sz val="14"/>
        <color theme="1"/>
        <rFont val="Calibri"/>
        <family val="2"/>
        <scheme val="minor"/>
      </rPr>
      <t>G3 colony</t>
    </r>
  </si>
  <si>
    <t>FA1 - roof</t>
  </si>
  <si>
    <t>perim. (mm)</t>
  </si>
  <si>
    <t>width (mm)</t>
  </si>
  <si>
    <t># enc/h</t>
  </si>
  <si>
    <t>P(pass/enc)</t>
  </si>
  <si>
    <t># pass/h</t>
  </si>
  <si>
    <t>hole 1</t>
  </si>
  <si>
    <t>hole 2</t>
  </si>
  <si>
    <t>hole 3</t>
  </si>
  <si>
    <t>hole 4</t>
  </si>
  <si>
    <t>hole 5</t>
  </si>
  <si>
    <t xml:space="preserve"> </t>
  </si>
  <si>
    <t>Sub-total</t>
  </si>
  <si>
    <t>FA2(low) - lower half of lower third</t>
  </si>
  <si>
    <t>FA2(high) - upper half of lower third</t>
  </si>
  <si>
    <t>FA3 - upper two thirds of net side</t>
  </si>
  <si>
    <t>Total of all hourly entry risks (Net score)</t>
  </si>
  <si>
    <t>LCL</t>
  </si>
  <si>
    <t>UCL</t>
  </si>
  <si>
    <t>Mean entry risk (net score) =</t>
  </si>
  <si>
    <r>
      <t>area (mm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</si>
</sst>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1">
    <xf numFmtId="0" fontId="0" fillId="0" borderId="0"/>
  </cellStyleXfs>
  <cellXfs count="121">
    <xf numFmtId="0" fontId="0" fillId="0" borderId="0" xfId="0"/>
    <xf numFmtId="1" fontId="0" fillId="3" borderId="0" xfId="0" applyNumberFormat="1" applyFill="1" applyBorder="1" applyAlignment="1" applyProtection="1">
      <alignment horizontal="center"/>
      <protection locked="0"/>
    </xf>
    <xf numFmtId="1" fontId="0" fillId="4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Protection="1"/>
    <xf numFmtId="1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Protection="1"/>
    <xf numFmtId="0" fontId="2" fillId="2" borderId="1" xfId="0" applyFont="1" applyFill="1" applyBorder="1" applyProtection="1"/>
    <xf numFmtId="1" fontId="3" fillId="2" borderId="2" xfId="0" applyNumberFormat="1" applyFont="1" applyFill="1" applyBorder="1" applyAlignment="1" applyProtection="1">
      <alignment horizontal="left"/>
    </xf>
    <xf numFmtId="1" fontId="4" fillId="2" borderId="2" xfId="0" applyNumberFormat="1" applyFont="1" applyFill="1" applyBorder="1" applyAlignment="1" applyProtection="1">
      <alignment horizontal="center"/>
    </xf>
    <xf numFmtId="164" fontId="4" fillId="2" borderId="2" xfId="0" applyNumberFormat="1" applyFont="1" applyFill="1" applyBorder="1" applyAlignment="1" applyProtection="1">
      <alignment horizontal="center"/>
    </xf>
    <xf numFmtId="164" fontId="4" fillId="2" borderId="3" xfId="0" applyNumberFormat="1" applyFont="1" applyFill="1" applyBorder="1" applyAlignment="1" applyProtection="1">
      <alignment horizontal="center"/>
    </xf>
    <xf numFmtId="0" fontId="1" fillId="3" borderId="4" xfId="0" applyFont="1" applyFill="1" applyBorder="1" applyProtection="1"/>
    <xf numFmtId="164" fontId="1" fillId="3" borderId="5" xfId="0" applyNumberFormat="1" applyFont="1" applyFill="1" applyBorder="1" applyAlignment="1" applyProtection="1">
      <alignment horizontal="center"/>
    </xf>
    <xf numFmtId="164" fontId="1" fillId="3" borderId="6" xfId="0" applyNumberFormat="1" applyFont="1" applyFill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164" fontId="0" fillId="3" borderId="8" xfId="0" applyNumberFormat="1" applyFill="1" applyBorder="1" applyAlignment="1" applyProtection="1">
      <alignment horizontal="center"/>
    </xf>
    <xf numFmtId="164" fontId="0" fillId="0" borderId="0" xfId="0" applyNumberFormat="1" applyProtection="1"/>
    <xf numFmtId="1" fontId="0" fillId="3" borderId="9" xfId="0" applyNumberFormat="1" applyFill="1" applyBorder="1" applyAlignment="1" applyProtection="1">
      <alignment horizontal="center"/>
    </xf>
    <xf numFmtId="1" fontId="0" fillId="3" borderId="10" xfId="0" applyNumberForma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right"/>
    </xf>
    <xf numFmtId="164" fontId="1" fillId="3" borderId="11" xfId="0" applyNumberFormat="1" applyFont="1" applyFill="1" applyBorder="1" applyAlignment="1" applyProtection="1">
      <alignment horizontal="center"/>
    </xf>
    <xf numFmtId="164" fontId="1" fillId="3" borderId="12" xfId="0" applyNumberFormat="1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4" xfId="0" applyNumberFormat="1" applyFont="1" applyFill="1" applyBorder="1" applyAlignment="1" applyProtection="1">
      <alignment horizontal="center"/>
    </xf>
    <xf numFmtId="164" fontId="1" fillId="4" borderId="15" xfId="0" applyNumberFormat="1" applyFont="1" applyFill="1" applyBorder="1" applyAlignment="1" applyProtection="1">
      <alignment horizontal="center"/>
    </xf>
    <xf numFmtId="164" fontId="0" fillId="4" borderId="0" xfId="0" applyNumberFormat="1" applyFill="1" applyBorder="1" applyAlignment="1" applyProtection="1">
      <alignment horizontal="center"/>
    </xf>
    <xf numFmtId="164" fontId="0" fillId="4" borderId="8" xfId="0" applyNumberForma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5" borderId="0" xfId="0" applyFill="1" applyProtection="1"/>
    <xf numFmtId="164" fontId="2" fillId="2" borderId="0" xfId="0" applyNumberFormat="1" applyFont="1" applyFill="1" applyProtection="1"/>
    <xf numFmtId="1" fontId="0" fillId="4" borderId="16" xfId="0" applyNumberFormat="1" applyFill="1" applyBorder="1" applyAlignment="1" applyProtection="1">
      <alignment horizontal="center"/>
    </xf>
    <xf numFmtId="1" fontId="0" fillId="4" borderId="10" xfId="0" applyNumberFormat="1" applyFill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right"/>
    </xf>
    <xf numFmtId="1" fontId="0" fillId="4" borderId="11" xfId="0" applyNumberFormat="1" applyFill="1" applyBorder="1" applyAlignment="1" applyProtection="1">
      <alignment horizontal="center"/>
    </xf>
    <xf numFmtId="164" fontId="1" fillId="4" borderId="11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" fontId="1" fillId="6" borderId="17" xfId="0" applyNumberFormat="1" applyFont="1" applyFill="1" applyBorder="1" applyAlignment="1" applyProtection="1">
      <alignment horizontal="left"/>
    </xf>
    <xf numFmtId="164" fontId="1" fillId="6" borderId="14" xfId="0" applyNumberFormat="1" applyFont="1" applyFill="1" applyBorder="1" applyAlignment="1" applyProtection="1">
      <alignment horizontal="center"/>
    </xf>
    <xf numFmtId="164" fontId="1" fillId="6" borderId="15" xfId="0" applyNumberFormat="1" applyFont="1" applyFill="1" applyBorder="1" applyAlignment="1" applyProtection="1">
      <alignment horizontal="center"/>
    </xf>
    <xf numFmtId="164" fontId="0" fillId="6" borderId="0" xfId="0" applyNumberFormat="1" applyFill="1" applyBorder="1" applyAlignment="1" applyProtection="1">
      <alignment horizontal="center"/>
    </xf>
    <xf numFmtId="164" fontId="0" fillId="6" borderId="8" xfId="0" applyNumberFormat="1" applyFill="1" applyBorder="1" applyAlignment="1" applyProtection="1">
      <alignment horizontal="center"/>
    </xf>
    <xf numFmtId="1" fontId="1" fillId="6" borderId="9" xfId="0" applyNumberFormat="1" applyFont="1" applyFill="1" applyBorder="1" applyAlignment="1" applyProtection="1">
      <alignment horizontal="left"/>
    </xf>
    <xf numFmtId="1" fontId="0" fillId="6" borderId="16" xfId="0" applyNumberFormat="1" applyFill="1" applyBorder="1" applyAlignment="1" applyProtection="1">
      <alignment horizontal="center"/>
    </xf>
    <xf numFmtId="1" fontId="0" fillId="6" borderId="10" xfId="0" applyNumberFormat="1" applyFill="1" applyBorder="1" applyAlignment="1" applyProtection="1">
      <alignment horizontal="center"/>
    </xf>
    <xf numFmtId="0" fontId="1" fillId="6" borderId="11" xfId="0" applyFont="1" applyFill="1" applyBorder="1" applyAlignment="1" applyProtection="1">
      <alignment horizontal="right"/>
    </xf>
    <xf numFmtId="1" fontId="0" fillId="6" borderId="11" xfId="0" applyNumberFormat="1" applyFill="1" applyBorder="1" applyAlignment="1" applyProtection="1">
      <alignment horizontal="center"/>
    </xf>
    <xf numFmtId="164" fontId="1" fillId="6" borderId="11" xfId="0" applyNumberFormat="1" applyFont="1" applyFill="1" applyBorder="1" applyAlignment="1" applyProtection="1">
      <alignment horizontal="center"/>
    </xf>
    <xf numFmtId="164" fontId="1" fillId="6" borderId="12" xfId="0" applyNumberFormat="1" applyFont="1" applyFill="1" applyBorder="1" applyAlignment="1" applyProtection="1">
      <alignment horizontal="center"/>
    </xf>
    <xf numFmtId="0" fontId="1" fillId="7" borderId="17" xfId="0" applyFont="1" applyFill="1" applyBorder="1" applyProtection="1"/>
    <xf numFmtId="164" fontId="1" fillId="7" borderId="18" xfId="0" applyNumberFormat="1" applyFont="1" applyFill="1" applyBorder="1" applyAlignment="1" applyProtection="1">
      <alignment horizontal="center"/>
    </xf>
    <xf numFmtId="164" fontId="1" fillId="7" borderId="19" xfId="0" applyNumberFormat="1" applyFont="1" applyFill="1" applyBorder="1" applyAlignment="1" applyProtection="1">
      <alignment horizontal="center"/>
    </xf>
    <xf numFmtId="1" fontId="0" fillId="7" borderId="0" xfId="0" applyNumberFormat="1" applyFill="1" applyBorder="1" applyAlignment="1" applyProtection="1">
      <alignment horizontal="center"/>
    </xf>
    <xf numFmtId="164" fontId="0" fillId="7" borderId="0" xfId="0" applyNumberFormat="1" applyFill="1" applyBorder="1" applyAlignment="1" applyProtection="1">
      <alignment horizontal="center"/>
    </xf>
    <xf numFmtId="164" fontId="0" fillId="7" borderId="8" xfId="0" applyNumberFormat="1" applyFill="1" applyBorder="1" applyAlignment="1" applyProtection="1">
      <alignment horizontal="center"/>
    </xf>
    <xf numFmtId="164" fontId="2" fillId="0" borderId="0" xfId="0" applyNumberFormat="1" applyFont="1" applyFill="1" applyProtection="1"/>
    <xf numFmtId="1" fontId="0" fillId="7" borderId="7" xfId="0" applyNumberFormat="1" applyFill="1" applyBorder="1" applyAlignment="1" applyProtection="1">
      <alignment horizontal="center"/>
    </xf>
    <xf numFmtId="0" fontId="1" fillId="7" borderId="20" xfId="0" applyFont="1" applyFill="1" applyBorder="1" applyAlignment="1" applyProtection="1">
      <alignment horizontal="right"/>
    </xf>
    <xf numFmtId="164" fontId="1" fillId="7" borderId="20" xfId="0" applyNumberFormat="1" applyFont="1" applyFill="1" applyBorder="1" applyAlignment="1" applyProtection="1">
      <alignment horizontal="center"/>
    </xf>
    <xf numFmtId="164" fontId="1" fillId="7" borderId="21" xfId="0" applyNumberFormat="1" applyFont="1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left"/>
    </xf>
    <xf numFmtId="164" fontId="2" fillId="2" borderId="11" xfId="0" applyNumberFormat="1" applyFont="1" applyFill="1" applyBorder="1" applyAlignment="1" applyProtection="1">
      <alignment horizontal="center"/>
    </xf>
    <xf numFmtId="164" fontId="2" fillId="2" borderId="12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/>
    <xf numFmtId="1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right"/>
    </xf>
    <xf numFmtId="0" fontId="1" fillId="3" borderId="23" xfId="0" applyFont="1" applyFill="1" applyBorder="1" applyProtection="1"/>
    <xf numFmtId="1" fontId="1" fillId="3" borderId="20" xfId="0" applyNumberFormat="1" applyFont="1" applyFill="1" applyBorder="1" applyAlignment="1" applyProtection="1">
      <alignment horizontal="center"/>
    </xf>
    <xf numFmtId="1" fontId="1" fillId="3" borderId="21" xfId="0" applyNumberFormat="1" applyFont="1" applyFill="1" applyBorder="1" applyAlignment="1" applyProtection="1">
      <alignment horizontal="center"/>
    </xf>
    <xf numFmtId="1" fontId="0" fillId="3" borderId="24" xfId="0" applyNumberFormat="1" applyFill="1" applyBorder="1" applyAlignment="1" applyProtection="1">
      <alignment horizontal="center"/>
      <protection locked="0"/>
    </xf>
    <xf numFmtId="1" fontId="0" fillId="3" borderId="25" xfId="0" applyNumberFormat="1" applyFill="1" applyBorder="1" applyAlignment="1" applyProtection="1">
      <alignment horizontal="center"/>
      <protection locked="0"/>
    </xf>
    <xf numFmtId="1" fontId="0" fillId="3" borderId="26" xfId="0" applyNumberFormat="1" applyFill="1" applyBorder="1" applyAlignment="1" applyProtection="1">
      <alignment horizontal="center"/>
      <protection locked="0"/>
    </xf>
    <xf numFmtId="1" fontId="0" fillId="3" borderId="27" xfId="0" applyNumberFormat="1" applyFill="1" applyBorder="1" applyAlignment="1" applyProtection="1">
      <alignment horizontal="center"/>
      <protection locked="0"/>
    </xf>
    <xf numFmtId="1" fontId="0" fillId="3" borderId="28" xfId="0" applyNumberFormat="1" applyFill="1" applyBorder="1" applyAlignment="1" applyProtection="1">
      <alignment horizontal="center"/>
      <protection locked="0"/>
    </xf>
    <xf numFmtId="1" fontId="0" fillId="3" borderId="29" xfId="0" applyNumberFormat="1" applyFill="1" applyBorder="1" applyAlignment="1" applyProtection="1">
      <alignment horizontal="center"/>
      <protection locked="0"/>
    </xf>
    <xf numFmtId="1" fontId="0" fillId="3" borderId="30" xfId="0" applyNumberFormat="1" applyFill="1" applyBorder="1" applyAlignment="1" applyProtection="1">
      <alignment horizontal="center"/>
      <protection locked="0"/>
    </xf>
    <xf numFmtId="1" fontId="0" fillId="3" borderId="31" xfId="0" applyNumberFormat="1" applyFill="1" applyBorder="1" applyAlignment="1" applyProtection="1">
      <alignment horizontal="center"/>
      <protection locked="0"/>
    </xf>
    <xf numFmtId="0" fontId="1" fillId="4" borderId="23" xfId="0" applyFont="1" applyFill="1" applyBorder="1" applyProtection="1"/>
    <xf numFmtId="1" fontId="1" fillId="4" borderId="0" xfId="0" applyNumberFormat="1" applyFont="1" applyFill="1" applyBorder="1" applyAlignment="1" applyProtection="1">
      <alignment horizontal="center"/>
    </xf>
    <xf numFmtId="1" fontId="1" fillId="4" borderId="20" xfId="0" applyNumberFormat="1" applyFont="1" applyFill="1" applyBorder="1" applyAlignment="1" applyProtection="1">
      <alignment horizontal="center"/>
    </xf>
    <xf numFmtId="1" fontId="1" fillId="4" borderId="8" xfId="0" applyNumberFormat="1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right"/>
    </xf>
    <xf numFmtId="1" fontId="0" fillId="4" borderId="24" xfId="0" applyNumberFormat="1" applyFill="1" applyBorder="1" applyAlignment="1" applyProtection="1">
      <alignment horizontal="center"/>
      <protection locked="0"/>
    </xf>
    <xf numFmtId="1" fontId="0" fillId="4" borderId="25" xfId="0" applyNumberFormat="1" applyFill="1" applyBorder="1" applyAlignment="1" applyProtection="1">
      <alignment horizontal="center"/>
      <protection locked="0"/>
    </xf>
    <xf numFmtId="1" fontId="0" fillId="4" borderId="26" xfId="0" applyNumberFormat="1" applyFill="1" applyBorder="1" applyAlignment="1" applyProtection="1">
      <alignment horizontal="center"/>
      <protection locked="0"/>
    </xf>
    <xf numFmtId="1" fontId="0" fillId="4" borderId="27" xfId="0" applyNumberFormat="1" applyFill="1" applyBorder="1" applyAlignment="1" applyProtection="1">
      <alignment horizontal="center"/>
      <protection locked="0"/>
    </xf>
    <xf numFmtId="1" fontId="0" fillId="4" borderId="28" xfId="0" applyNumberFormat="1" applyFill="1" applyBorder="1" applyAlignment="1" applyProtection="1">
      <alignment horizontal="center"/>
      <protection locked="0"/>
    </xf>
    <xf numFmtId="1" fontId="0" fillId="4" borderId="29" xfId="0" applyNumberFormat="1" applyFill="1" applyBorder="1" applyAlignment="1" applyProtection="1">
      <alignment horizontal="center"/>
      <protection locked="0"/>
    </xf>
    <xf numFmtId="1" fontId="0" fillId="4" borderId="30" xfId="0" applyNumberFormat="1" applyFill="1" applyBorder="1" applyAlignment="1" applyProtection="1">
      <alignment horizontal="center"/>
      <protection locked="0"/>
    </xf>
    <xf numFmtId="1" fontId="0" fillId="4" borderId="31" xfId="0" applyNumberFormat="1" applyFill="1" applyBorder="1" applyAlignment="1" applyProtection="1">
      <alignment horizontal="center"/>
      <protection locked="0"/>
    </xf>
    <xf numFmtId="0" fontId="1" fillId="6" borderId="23" xfId="0" applyFont="1" applyFill="1" applyBorder="1" applyProtection="1"/>
    <xf numFmtId="1" fontId="1" fillId="6" borderId="0" xfId="0" applyNumberFormat="1" applyFont="1" applyFill="1" applyBorder="1" applyAlignment="1" applyProtection="1">
      <alignment horizontal="center"/>
    </xf>
    <xf numFmtId="1" fontId="1" fillId="8" borderId="20" xfId="0" applyNumberFormat="1" applyFont="1" applyFill="1" applyBorder="1" applyAlignment="1" applyProtection="1">
      <alignment horizontal="center"/>
    </xf>
    <xf numFmtId="1" fontId="1" fillId="6" borderId="8" xfId="0" applyNumberFormat="1" applyFont="1" applyFill="1" applyBorder="1" applyAlignment="1" applyProtection="1">
      <alignment horizontal="center"/>
    </xf>
    <xf numFmtId="0" fontId="1" fillId="6" borderId="10" xfId="0" applyFont="1" applyFill="1" applyBorder="1" applyAlignment="1" applyProtection="1">
      <alignment horizontal="right"/>
    </xf>
    <xf numFmtId="1" fontId="0" fillId="8" borderId="24" xfId="0" applyNumberFormat="1" applyFill="1" applyBorder="1" applyAlignment="1" applyProtection="1">
      <alignment horizontal="center"/>
      <protection locked="0"/>
    </xf>
    <xf numFmtId="1" fontId="0" fillId="8" borderId="25" xfId="0" applyNumberFormat="1" applyFill="1" applyBorder="1" applyAlignment="1" applyProtection="1">
      <alignment horizontal="center"/>
      <protection locked="0"/>
    </xf>
    <xf numFmtId="1" fontId="0" fillId="8" borderId="26" xfId="0" applyNumberFormat="1" applyFill="1" applyBorder="1" applyAlignment="1" applyProtection="1">
      <alignment horizontal="center"/>
      <protection locked="0"/>
    </xf>
    <xf numFmtId="1" fontId="0" fillId="8" borderId="27" xfId="0" applyNumberFormat="1" applyFill="1" applyBorder="1" applyAlignment="1" applyProtection="1">
      <alignment horizontal="center"/>
      <protection locked="0"/>
    </xf>
    <xf numFmtId="1" fontId="0" fillId="8" borderId="0" xfId="0" applyNumberFormat="1" applyFill="1" applyBorder="1" applyAlignment="1" applyProtection="1">
      <alignment horizontal="center"/>
      <protection locked="0"/>
    </xf>
    <xf numFmtId="1" fontId="0" fillId="8" borderId="28" xfId="0" applyNumberFormat="1" applyFill="1" applyBorder="1" applyAlignment="1" applyProtection="1">
      <alignment horizontal="center"/>
      <protection locked="0"/>
    </xf>
    <xf numFmtId="1" fontId="0" fillId="8" borderId="29" xfId="0" applyNumberFormat="1" applyFill="1" applyBorder="1" applyAlignment="1" applyProtection="1">
      <alignment horizontal="center"/>
      <protection locked="0"/>
    </xf>
    <xf numFmtId="1" fontId="0" fillId="8" borderId="30" xfId="0" applyNumberFormat="1" applyFill="1" applyBorder="1" applyAlignment="1" applyProtection="1">
      <alignment horizontal="center"/>
      <protection locked="0"/>
    </xf>
    <xf numFmtId="1" fontId="0" fillId="8" borderId="31" xfId="0" applyNumberFormat="1" applyFill="1" applyBorder="1" applyAlignment="1" applyProtection="1">
      <alignment horizontal="center"/>
      <protection locked="0"/>
    </xf>
    <xf numFmtId="0" fontId="1" fillId="7" borderId="23" xfId="0" applyFont="1" applyFill="1" applyBorder="1" applyProtection="1"/>
    <xf numFmtId="0" fontId="1" fillId="7" borderId="0" xfId="0" applyFont="1" applyFill="1" applyBorder="1" applyAlignment="1" applyProtection="1">
      <alignment horizontal="right"/>
    </xf>
    <xf numFmtId="1" fontId="1" fillId="7" borderId="2" xfId="0" applyNumberFormat="1" applyFont="1" applyFill="1" applyBorder="1" applyAlignment="1" applyProtection="1">
      <alignment horizontal="center"/>
    </xf>
    <xf numFmtId="1" fontId="1" fillId="7" borderId="20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center"/>
    </xf>
    <xf numFmtId="1" fontId="0" fillId="9" borderId="24" xfId="0" applyNumberFormat="1" applyFill="1" applyBorder="1" applyAlignment="1" applyProtection="1">
      <alignment horizontal="center"/>
      <protection locked="0"/>
    </xf>
    <xf numFmtId="1" fontId="0" fillId="9" borderId="25" xfId="0" applyNumberFormat="1" applyFill="1" applyBorder="1" applyAlignment="1" applyProtection="1">
      <alignment horizontal="center"/>
      <protection locked="0"/>
    </xf>
    <xf numFmtId="1" fontId="0" fillId="9" borderId="26" xfId="0" applyNumberFormat="1" applyFill="1" applyBorder="1" applyAlignment="1" applyProtection="1">
      <alignment horizontal="center"/>
      <protection locked="0"/>
    </xf>
    <xf numFmtId="1" fontId="0" fillId="9" borderId="27" xfId="0" applyNumberFormat="1" applyFill="1" applyBorder="1" applyAlignment="1" applyProtection="1">
      <alignment horizontal="center"/>
      <protection locked="0"/>
    </xf>
    <xf numFmtId="1" fontId="0" fillId="9" borderId="28" xfId="0" applyNumberFormat="1" applyFill="1" applyBorder="1" applyAlignment="1" applyProtection="1">
      <alignment horizontal="center"/>
      <protection locked="0"/>
    </xf>
    <xf numFmtId="1" fontId="0" fillId="9" borderId="29" xfId="0" applyNumberFormat="1" applyFill="1" applyBorder="1" applyAlignment="1" applyProtection="1">
      <alignment horizontal="center"/>
      <protection locked="0"/>
    </xf>
    <xf numFmtId="1" fontId="0" fillId="9" borderId="30" xfId="0" applyNumberFormat="1" applyFill="1" applyBorder="1" applyAlignment="1" applyProtection="1">
      <alignment horizontal="center"/>
      <protection locked="0"/>
    </xf>
    <xf numFmtId="1" fontId="0" fillId="9" borderId="31" xfId="0" applyNumberFormat="1" applyFill="1" applyBorder="1" applyAlignment="1" applyProtection="1">
      <alignment horizontal="center"/>
      <protection locked="0"/>
    </xf>
    <xf numFmtId="1" fontId="2" fillId="2" borderId="22" xfId="0" applyNumberFormat="1" applyFont="1" applyFill="1" applyBorder="1" applyAlignment="1" applyProtection="1">
      <alignment horizontal="left"/>
    </xf>
    <xf numFmtId="0" fontId="0" fillId="0" borderId="11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Mean entry risk by Functional Area</a:t>
            </a:r>
          </a:p>
        </c:rich>
      </c:tx>
      <c:layout>
        <c:manualLayout>
          <c:xMode val="edge"/>
          <c:yMode val="edge"/>
          <c:x val="0.14341020259940368"/>
          <c:y val="4.38145366828123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363739963324252"/>
          <c:y val="0.12087517703947434"/>
          <c:w val="0.76540040367399509"/>
          <c:h val="0.83416073230931775"/>
        </c:manualLayout>
      </c:layout>
      <c:pieChart>
        <c:varyColors val="1"/>
        <c:ser>
          <c:idx val="0"/>
          <c:order val="0"/>
          <c:tx>
            <c:v>Entry risk by functional area</c:v>
          </c:tx>
          <c:spPr>
            <a:ln>
              <a:noFill/>
            </a:ln>
          </c:spPr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0-067E-417D-83C0-FB5ADC4B24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A29-4E1C-86F4-DC606E49939C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AA29-4E1C-86F4-DC606E49939C}"/>
              </c:ext>
            </c:extLst>
          </c:dPt>
          <c:dPt>
            <c:idx val="3"/>
            <c:bubble3D val="0"/>
            <c:spPr>
              <a:solidFill>
                <a:srgbClr val="A29D9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A29-4E1C-86F4-DC606E49939C}"/>
              </c:ext>
            </c:extLst>
          </c:dPt>
          <c:dLbls>
            <c:dLbl>
              <c:idx val="0"/>
              <c:layout>
                <c:manualLayout>
                  <c:x val="-0.10248014991092635"/>
                  <c:y val="0.11725887792104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663C799-67EE-421C-AD00-ECF5CEA51D54}" type="VALUE">
                      <a:rPr lang="en-US" baseline="0"/>
                      <a:pPr>
                        <a:defRPr sz="12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CA"/>
                  </a:p>
                </c:rich>
              </c:tx>
              <c:numFmt formatCode="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067E-417D-83C0-FB5ADC4B24D8}"/>
                </c:ext>
              </c:extLst>
            </c:dLbl>
            <c:dLbl>
              <c:idx val="1"/>
              <c:layout>
                <c:manualLayout>
                  <c:x val="8.5520999232063036E-2"/>
                  <c:y val="-0.19701664472968683"/>
                </c:manualLayout>
              </c:layout>
              <c:numFmt formatCode="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 b="1" i="0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89759414044057"/>
                      <c:h val="5.79456249019686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A29-4E1C-86F4-DC606E49939C}"/>
                </c:ext>
              </c:extLst>
            </c:dLbl>
            <c:dLbl>
              <c:idx val="2"/>
              <c:layout>
                <c:manualLayout>
                  <c:x val="9.0606760556872279E-2"/>
                  <c:y val="0.10425179731562394"/>
                </c:manualLayout>
              </c:layout>
              <c:numFmt formatCode="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 b="1" i="0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529739348454011E-2"/>
                      <c:h val="5.79456249019686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AA29-4E1C-86F4-DC606E49939C}"/>
                </c:ext>
              </c:extLst>
            </c:dLbl>
            <c:dLbl>
              <c:idx val="3"/>
              <c:layout>
                <c:manualLayout>
                  <c:x val="0.13651195927372958"/>
                  <c:y val="0.10721079255015725"/>
                </c:manualLayout>
              </c:layout>
              <c:numFmt formatCode="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 i="0" baseline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A29-4E1C-86F4-DC606E49939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(Sheet1!$H$10,Sheet1!$H$17,Sheet1!$H$24,Sheet1!$H$31)</c:f>
              <c:numCache>
                <c:formatCode>0.000</c:formatCode>
                <c:ptCount val="4"/>
                <c:pt idx="0">
                  <c:v>3.0306864160763343E-3</c:v>
                </c:pt>
                <c:pt idx="1">
                  <c:v>2.9202615270594546E-4</c:v>
                </c:pt>
                <c:pt idx="2">
                  <c:v>2.3261878506503539E-3</c:v>
                </c:pt>
                <c:pt idx="3">
                  <c:v>4.6523757013007083E-4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A29-4E1C-86F4-DC606E499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/>
      </c:pieChart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362231</xdr:colOff>
      <xdr:row>13</xdr:row>
      <xdr:rowOff>124426</xdr:rowOff>
    </xdr:from>
    <xdr:to>
      <xdr:col>16</xdr:col>
      <xdr:colOff>127774</xdr:colOff>
      <xdr:row>31</xdr:row>
      <xdr:rowOff>162623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429787</xdr:colOff>
      <xdr:row>1</xdr:row>
      <xdr:rowOff>154076</xdr:rowOff>
    </xdr:from>
    <xdr:to>
      <xdr:col>15</xdr:col>
      <xdr:colOff>359086</xdr:colOff>
      <xdr:row>10</xdr:row>
      <xdr:rowOff>119119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87165" y="154076"/>
          <a:ext cx="3541830" cy="1846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showGridLines="0" tabSelected="1" topLeftCell="A2" zoomScale="82" zoomScaleNormal="82" workbookViewId="0">
      <selection activeCell="E27" sqref="E27"/>
    </sheetView>
  </sheetViews>
  <sheetFormatPr defaultRowHeight="15" x14ac:dyDescent="0.25"/>
  <cols>
    <col min="1" max="1" width="9.140625" style="6"/>
    <col min="2" max="2" width="32.42578125" style="63" customWidth="1"/>
    <col min="3" max="3" width="12.42578125" style="4" customWidth="1"/>
    <col min="4" max="4" width="11.7109375" style="4" customWidth="1"/>
    <col min="5" max="5" width="11.42578125" style="64" customWidth="1"/>
    <col min="6" max="6" width="8.28515625" style="65" customWidth="1"/>
    <col min="7" max="7" width="10.7109375" style="65" customWidth="1"/>
    <col min="8" max="8" width="8.5703125" style="65" bestFit="1" customWidth="1"/>
    <col min="9" max="9" width="8" style="65" customWidth="1"/>
    <col min="10" max="10" width="8.140625" style="65" customWidth="1"/>
    <col min="11" max="11" width="12.5703125" style="6" customWidth="1"/>
    <col min="12" max="12" width="9.140625" style="6" customWidth="1"/>
    <col min="13" max="13" width="9.140625" style="6"/>
    <col min="14" max="14" width="14.42578125" style="6" customWidth="1"/>
    <col min="15" max="16384" width="9.140625" style="6"/>
  </cols>
  <sheetData>
    <row r="2" spans="1:21" ht="19.5" thickBot="1" x14ac:dyDescent="0.35">
      <c r="A2" s="6" t="s">
        <v>14</v>
      </c>
      <c r="B2" s="3" t="s">
        <v>0</v>
      </c>
      <c r="E2" s="4"/>
      <c r="F2" s="5"/>
      <c r="G2" s="5"/>
      <c r="H2" s="5"/>
      <c r="I2" s="5"/>
      <c r="J2" s="5"/>
    </row>
    <row r="3" spans="1:21" ht="19.5" thickTop="1" x14ac:dyDescent="0.3">
      <c r="B3" s="7" t="s">
        <v>1</v>
      </c>
      <c r="C3" s="8" t="s">
        <v>2</v>
      </c>
      <c r="D3" s="8"/>
      <c r="E3" s="9"/>
      <c r="F3" s="10"/>
      <c r="G3" s="10"/>
      <c r="H3" s="10"/>
      <c r="I3" s="10"/>
      <c r="J3" s="11"/>
    </row>
    <row r="4" spans="1:21" ht="18" thickBot="1" x14ac:dyDescent="0.3">
      <c r="B4" s="12" t="s">
        <v>3</v>
      </c>
      <c r="C4" s="69" t="s">
        <v>4</v>
      </c>
      <c r="D4" s="69" t="s">
        <v>23</v>
      </c>
      <c r="E4" s="70" t="s">
        <v>5</v>
      </c>
      <c r="F4" s="13" t="s">
        <v>6</v>
      </c>
      <c r="G4" s="13" t="s">
        <v>7</v>
      </c>
      <c r="H4" s="13" t="s">
        <v>8</v>
      </c>
      <c r="I4" s="13" t="s">
        <v>20</v>
      </c>
      <c r="J4" s="14" t="s">
        <v>21</v>
      </c>
    </row>
    <row r="5" spans="1:21" ht="15.75" thickTop="1" x14ac:dyDescent="0.25">
      <c r="B5" s="68" t="s">
        <v>9</v>
      </c>
      <c r="C5" s="71">
        <v>10</v>
      </c>
      <c r="D5" s="72">
        <v>10</v>
      </c>
      <c r="E5" s="73">
        <v>10</v>
      </c>
      <c r="F5" s="15">
        <f>((C5+D5)*(72.3*0.000009))</f>
        <v>1.3014000000000001E-2</v>
      </c>
      <c r="G5" s="15">
        <f>IF(E5&lt;=5,0,IF(((0.34*(LN(E5)))-0.55)&gt;1,1,((0.34*(LN(E5)))-0.55)))</f>
        <v>0.23287893161797557</v>
      </c>
      <c r="H5" s="15">
        <f>IF(G5&lt;0,0, IF(G5&gt;1,F5*1,F5*G5))</f>
        <v>3.0306864160763343E-3</v>
      </c>
      <c r="I5" s="15">
        <f>IF((H5-1.04)&lt;=0,0,(H5-1.04))</f>
        <v>0</v>
      </c>
      <c r="J5" s="16">
        <f>IF(H5&lt;=0,0,H5+1.04)</f>
        <v>1.0430306864160763</v>
      </c>
      <c r="P5" s="17"/>
    </row>
    <row r="6" spans="1:21" x14ac:dyDescent="0.25">
      <c r="B6" s="68" t="s">
        <v>10</v>
      </c>
      <c r="C6" s="74">
        <v>0</v>
      </c>
      <c r="D6" s="1">
        <v>0</v>
      </c>
      <c r="E6" s="75">
        <v>0</v>
      </c>
      <c r="F6" s="15">
        <f t="shared" ref="F6:F9" si="0">((C6+D6)*(72.3*0.000009))</f>
        <v>0</v>
      </c>
      <c r="G6" s="15">
        <f t="shared" ref="G6:G9" si="1">IF(E6&lt;=5,0,IF(((0.34*(LN(E6)))-0.55)&gt;1,1,((0.34*(LN(E6)))-0.55)))</f>
        <v>0</v>
      </c>
      <c r="H6" s="15">
        <f>IF(G6&lt;0,0, IF(G6&gt;1,F6*1,F6*G6))</f>
        <v>0</v>
      </c>
      <c r="I6" s="15">
        <f t="shared" ref="I6:I9" si="2">IF((H6-1.04)&lt;=0,0,(H6-1.04))</f>
        <v>0</v>
      </c>
      <c r="J6" s="16">
        <f>IF(H6&lt;=0,0,H6+1.04)</f>
        <v>0</v>
      </c>
    </row>
    <row r="7" spans="1:21" x14ac:dyDescent="0.25">
      <c r="B7" s="68" t="s">
        <v>11</v>
      </c>
      <c r="C7" s="74">
        <v>0</v>
      </c>
      <c r="D7" s="1">
        <v>0</v>
      </c>
      <c r="E7" s="75">
        <v>0</v>
      </c>
      <c r="F7" s="15">
        <f t="shared" si="0"/>
        <v>0</v>
      </c>
      <c r="G7" s="15">
        <f t="shared" si="1"/>
        <v>0</v>
      </c>
      <c r="H7" s="15">
        <f>IF(G7&lt;0,0, IF(G7&gt;1,F7*1,F7*G7))</f>
        <v>0</v>
      </c>
      <c r="I7" s="15">
        <f t="shared" si="2"/>
        <v>0</v>
      </c>
      <c r="J7" s="16">
        <f>IF(H7&lt;=0,0,H7+1.04)</f>
        <v>0</v>
      </c>
    </row>
    <row r="8" spans="1:21" x14ac:dyDescent="0.25">
      <c r="B8" s="68" t="s">
        <v>12</v>
      </c>
      <c r="C8" s="74">
        <v>0</v>
      </c>
      <c r="D8" s="1">
        <v>0</v>
      </c>
      <c r="E8" s="75">
        <v>0</v>
      </c>
      <c r="F8" s="15">
        <f t="shared" si="0"/>
        <v>0</v>
      </c>
      <c r="G8" s="15">
        <f t="shared" si="1"/>
        <v>0</v>
      </c>
      <c r="H8" s="15">
        <f>IF(G8&lt;0,0, IF(G8&gt;1,F8*1,F8*G8))</f>
        <v>0</v>
      </c>
      <c r="I8" s="15">
        <f t="shared" si="2"/>
        <v>0</v>
      </c>
      <c r="J8" s="16">
        <f>IF(H8&lt;=0,0,H8+1.04)</f>
        <v>0</v>
      </c>
      <c r="U8" s="6" t="s">
        <v>14</v>
      </c>
    </row>
    <row r="9" spans="1:21" ht="15.75" thickBot="1" x14ac:dyDescent="0.3">
      <c r="B9" s="68" t="s">
        <v>13</v>
      </c>
      <c r="C9" s="76">
        <v>0</v>
      </c>
      <c r="D9" s="77">
        <v>0</v>
      </c>
      <c r="E9" s="78">
        <v>0</v>
      </c>
      <c r="F9" s="15">
        <f t="shared" si="0"/>
        <v>0</v>
      </c>
      <c r="G9" s="15">
        <f t="shared" si="1"/>
        <v>0</v>
      </c>
      <c r="H9" s="15">
        <f>IF(G9&lt;0,0, IF(G9&gt;1,F9*1,F9*G9))</f>
        <v>0</v>
      </c>
      <c r="I9" s="15">
        <f t="shared" si="2"/>
        <v>0</v>
      </c>
      <c r="J9" s="16">
        <f>IF(H9&lt;=0,0,H9+1.04)</f>
        <v>0</v>
      </c>
    </row>
    <row r="10" spans="1:21" ht="16.5" thickTop="1" thickBot="1" x14ac:dyDescent="0.3">
      <c r="B10" s="18"/>
      <c r="C10" s="19"/>
      <c r="D10" s="19"/>
      <c r="E10" s="67" t="s">
        <v>15</v>
      </c>
      <c r="F10" s="20"/>
      <c r="G10" s="21"/>
      <c r="H10" s="21">
        <f>SUM(H5:H9)</f>
        <v>3.0306864160763343E-3</v>
      </c>
      <c r="I10" s="21">
        <f>IF((H10-2.24*1.04)&lt;=0,0,(H10-2.24*1.04))</f>
        <v>0</v>
      </c>
      <c r="J10" s="22">
        <f>IF(H10&lt;=0,0,H10+2.24*1.04)</f>
        <v>2.3326306864160764</v>
      </c>
      <c r="S10" s="6" t="s">
        <v>14</v>
      </c>
    </row>
    <row r="11" spans="1:21" ht="18.75" thickTop="1" thickBot="1" x14ac:dyDescent="0.3">
      <c r="B11" s="23" t="s">
        <v>16</v>
      </c>
      <c r="C11" s="80" t="s">
        <v>4</v>
      </c>
      <c r="D11" s="81" t="s">
        <v>23</v>
      </c>
      <c r="E11" s="82" t="s">
        <v>5</v>
      </c>
      <c r="F11" s="24" t="s">
        <v>6</v>
      </c>
      <c r="G11" s="24" t="s">
        <v>7</v>
      </c>
      <c r="H11" s="24" t="s">
        <v>8</v>
      </c>
      <c r="I11" s="24" t="s">
        <v>20</v>
      </c>
      <c r="J11" s="25" t="s">
        <v>21</v>
      </c>
    </row>
    <row r="12" spans="1:21" ht="15" customHeight="1" thickTop="1" x14ac:dyDescent="0.25">
      <c r="B12" s="79" t="s">
        <v>9</v>
      </c>
      <c r="C12" s="84">
        <v>10</v>
      </c>
      <c r="D12" s="85">
        <v>10</v>
      </c>
      <c r="E12" s="86">
        <v>10</v>
      </c>
      <c r="F12" s="26">
        <f>((C12+D12)*(9.5*0.000009))</f>
        <v>1.7100000000000001E-3</v>
      </c>
      <c r="G12" s="26">
        <f>IF(E12&lt;=5,0,IF(((0.3*(LN(E12)))-0.52)&gt;1,1,((0.3*(LN(E12)))-0.52)))</f>
        <v>0.17077552789821371</v>
      </c>
      <c r="H12" s="26">
        <f>IF(G12&lt;0,0, IF(G12&gt;1,F12*1,F12*G12))</f>
        <v>2.9202615270594546E-4</v>
      </c>
      <c r="I12" s="26">
        <f>IF((H12-0.17)&lt;=0,0,(H12-0.17))</f>
        <v>0</v>
      </c>
      <c r="J12" s="27">
        <f>IF(H12&lt;=0,0,H12+0.17)</f>
        <v>0.17029202615270594</v>
      </c>
      <c r="S12" s="6" t="s">
        <v>14</v>
      </c>
    </row>
    <row r="13" spans="1:21" ht="15" customHeight="1" x14ac:dyDescent="0.3">
      <c r="B13" s="79" t="s">
        <v>10</v>
      </c>
      <c r="C13" s="87">
        <v>0</v>
      </c>
      <c r="D13" s="2">
        <v>0</v>
      </c>
      <c r="E13" s="88">
        <v>0</v>
      </c>
      <c r="F13" s="26">
        <f t="shared" ref="F13:F16" si="3">((C13+D13)*(9.5*0.000009))</f>
        <v>0</v>
      </c>
      <c r="G13" s="26">
        <f t="shared" ref="G13:G16" si="4">IF(E13&lt;=5,0,IF(((0.3*(LN(E13)))-0.52)&gt;1,1,((0.3*(LN(E13)))-0.52)))</f>
        <v>0</v>
      </c>
      <c r="H13" s="26">
        <f t="shared" ref="H13:H16" si="5">IF(G13&lt;0,0, IF(G13&gt;1,F13*1,F13*G13))</f>
        <v>0</v>
      </c>
      <c r="I13" s="26">
        <f t="shared" ref="I13:I16" si="6">IF((H13-0.17)&lt;=0,0,(H13-0.17))</f>
        <v>0</v>
      </c>
      <c r="J13" s="27">
        <f>IF(H13&lt;=0,0,H13+0.17)</f>
        <v>0</v>
      </c>
      <c r="L13" s="28" t="s">
        <v>22</v>
      </c>
      <c r="M13" s="29"/>
      <c r="N13" s="29"/>
      <c r="O13" s="30">
        <f>H32</f>
        <v>6.1141379895627047E-3</v>
      </c>
    </row>
    <row r="14" spans="1:21" ht="15" customHeight="1" x14ac:dyDescent="0.25">
      <c r="B14" s="79" t="s">
        <v>11</v>
      </c>
      <c r="C14" s="87">
        <v>0</v>
      </c>
      <c r="D14" s="2">
        <v>0</v>
      </c>
      <c r="E14" s="88">
        <v>0</v>
      </c>
      <c r="F14" s="26">
        <f t="shared" si="3"/>
        <v>0</v>
      </c>
      <c r="G14" s="26">
        <f t="shared" si="4"/>
        <v>0</v>
      </c>
      <c r="H14" s="26">
        <f t="shared" si="5"/>
        <v>0</v>
      </c>
      <c r="I14" s="26">
        <f t="shared" si="6"/>
        <v>0</v>
      </c>
      <c r="J14" s="27">
        <f>IF(H14&lt;=0,0,H14+0.17)</f>
        <v>0</v>
      </c>
    </row>
    <row r="15" spans="1:21" ht="15" customHeight="1" x14ac:dyDescent="0.25">
      <c r="B15" s="79" t="s">
        <v>12</v>
      </c>
      <c r="C15" s="87">
        <v>0</v>
      </c>
      <c r="D15" s="2">
        <v>0</v>
      </c>
      <c r="E15" s="88">
        <v>0</v>
      </c>
      <c r="F15" s="26">
        <f t="shared" si="3"/>
        <v>0</v>
      </c>
      <c r="G15" s="26">
        <f t="shared" si="4"/>
        <v>0</v>
      </c>
      <c r="H15" s="26">
        <f t="shared" si="5"/>
        <v>0</v>
      </c>
      <c r="I15" s="26">
        <f t="shared" si="6"/>
        <v>0</v>
      </c>
      <c r="J15" s="27">
        <f>IF(H15&lt;=0,0,H15+0.17)</f>
        <v>0</v>
      </c>
    </row>
    <row r="16" spans="1:21" ht="15" customHeight="1" thickBot="1" x14ac:dyDescent="0.3">
      <c r="B16" s="79" t="s">
        <v>13</v>
      </c>
      <c r="C16" s="89">
        <v>0</v>
      </c>
      <c r="D16" s="90">
        <v>0</v>
      </c>
      <c r="E16" s="91">
        <v>0</v>
      </c>
      <c r="F16" s="26">
        <f t="shared" si="3"/>
        <v>0</v>
      </c>
      <c r="G16" s="26">
        <f t="shared" si="4"/>
        <v>0</v>
      </c>
      <c r="H16" s="26">
        <f t="shared" si="5"/>
        <v>0</v>
      </c>
      <c r="I16" s="26">
        <f t="shared" si="6"/>
        <v>0</v>
      </c>
      <c r="J16" s="27">
        <f>IF(H16&lt;=0,0,H16+0.17)</f>
        <v>0</v>
      </c>
    </row>
    <row r="17" spans="2:18" ht="16.5" thickTop="1" thickBot="1" x14ac:dyDescent="0.3">
      <c r="B17" s="31"/>
      <c r="C17" s="31"/>
      <c r="D17" s="32"/>
      <c r="E17" s="83" t="s">
        <v>15</v>
      </c>
      <c r="F17" s="33"/>
      <c r="G17" s="34"/>
      <c r="H17" s="35">
        <f>SUM(H12:H16)</f>
        <v>2.9202615270594546E-4</v>
      </c>
      <c r="I17" s="35">
        <f>IF((H17-2.24*0.17)&lt;=0,0,(H17-2.24*0.17))</f>
        <v>0</v>
      </c>
      <c r="J17" s="36">
        <f>IF(H17&lt;=0,0,H17+2.24*0.17)</f>
        <v>0.38109202615270604</v>
      </c>
    </row>
    <row r="18" spans="2:18" ht="18.75" thickTop="1" thickBot="1" x14ac:dyDescent="0.3">
      <c r="B18" s="37" t="s">
        <v>17</v>
      </c>
      <c r="C18" s="93" t="s">
        <v>4</v>
      </c>
      <c r="D18" s="94" t="s">
        <v>23</v>
      </c>
      <c r="E18" s="95" t="s">
        <v>5</v>
      </c>
      <c r="F18" s="38" t="s">
        <v>6</v>
      </c>
      <c r="G18" s="38" t="s">
        <v>7</v>
      </c>
      <c r="H18" s="38" t="s">
        <v>8</v>
      </c>
      <c r="I18" s="38" t="s">
        <v>20</v>
      </c>
      <c r="J18" s="39" t="s">
        <v>21</v>
      </c>
    </row>
    <row r="19" spans="2:18" ht="15.75" thickTop="1" x14ac:dyDescent="0.25">
      <c r="B19" s="92" t="s">
        <v>9</v>
      </c>
      <c r="C19" s="97">
        <v>100</v>
      </c>
      <c r="D19" s="98">
        <v>100</v>
      </c>
      <c r="E19" s="99">
        <v>100</v>
      </c>
      <c r="F19" s="40">
        <f>((C19+D19)*(1.5*0.000009))</f>
        <v>2.6999999999999997E-3</v>
      </c>
      <c r="G19" s="40">
        <f t="shared" ref="G19:G23" si="7">IF(E19&lt;=5,0,IF(((0.3*(LN(E19)))-0.52)&gt;1,1,((0.3*(LN(E19)))-0.52)))</f>
        <v>0.86155105579642743</v>
      </c>
      <c r="H19" s="40">
        <f>IF(G19&lt;0,0, IF(G19&gt;1,F19*1,F19*G19))</f>
        <v>2.3261878506503539E-3</v>
      </c>
      <c r="I19" s="40">
        <f>IF((H19-0.03)&lt;=0,0,(H19-0.03))</f>
        <v>0</v>
      </c>
      <c r="J19" s="41">
        <f>IF(H19&lt;=0,0,H19+0.03)</f>
        <v>3.2326187850650355E-2</v>
      </c>
    </row>
    <row r="20" spans="2:18" x14ac:dyDescent="0.25">
      <c r="B20" s="92" t="s">
        <v>10</v>
      </c>
      <c r="C20" s="100">
        <v>0</v>
      </c>
      <c r="D20" s="101">
        <v>0</v>
      </c>
      <c r="E20" s="102">
        <v>0</v>
      </c>
      <c r="F20" s="40">
        <f>((C20+D20)*(1.5*0.000009))</f>
        <v>0</v>
      </c>
      <c r="G20" s="40">
        <f t="shared" si="7"/>
        <v>0</v>
      </c>
      <c r="H20" s="40">
        <f>IF(G20&lt;0,0, IF(G20&gt;1,F20*1,F20*G20))</f>
        <v>0</v>
      </c>
      <c r="I20" s="40">
        <f t="shared" ref="I20:I23" si="8">IF((H20-0.03)&lt;=0,0,(H20-0.03))</f>
        <v>0</v>
      </c>
      <c r="J20" s="41">
        <f>IF(H20&lt;=0,0,H20+0.03)</f>
        <v>0</v>
      </c>
    </row>
    <row r="21" spans="2:18" x14ac:dyDescent="0.25">
      <c r="B21" s="92" t="s">
        <v>11</v>
      </c>
      <c r="C21" s="100">
        <v>0</v>
      </c>
      <c r="D21" s="101">
        <v>0</v>
      </c>
      <c r="E21" s="102">
        <v>0</v>
      </c>
      <c r="F21" s="40">
        <f>((C21+D21)*(1.5*0.000009))</f>
        <v>0</v>
      </c>
      <c r="G21" s="40">
        <f t="shared" si="7"/>
        <v>0</v>
      </c>
      <c r="H21" s="40">
        <f>IF(G21&lt;0,0, IF(G21&gt;1,F21*1,F21*G21))</f>
        <v>0</v>
      </c>
      <c r="I21" s="40">
        <f t="shared" si="8"/>
        <v>0</v>
      </c>
      <c r="J21" s="41">
        <f>IF(H21&lt;=0,0,H21+0.03)</f>
        <v>0</v>
      </c>
    </row>
    <row r="22" spans="2:18" x14ac:dyDescent="0.25">
      <c r="B22" s="92" t="s">
        <v>12</v>
      </c>
      <c r="C22" s="100">
        <v>0</v>
      </c>
      <c r="D22" s="101">
        <v>0</v>
      </c>
      <c r="E22" s="102">
        <v>0</v>
      </c>
      <c r="F22" s="40">
        <f>((C22+D22)*(1.5*0.000009))</f>
        <v>0</v>
      </c>
      <c r="G22" s="40">
        <f t="shared" si="7"/>
        <v>0</v>
      </c>
      <c r="H22" s="40">
        <f>IF(G22&lt;0,0, IF(G22&gt;1,F22*1,F22*G22))</f>
        <v>0</v>
      </c>
      <c r="I22" s="40">
        <f t="shared" si="8"/>
        <v>0</v>
      </c>
      <c r="J22" s="41">
        <f>IF(H22&lt;=0,0,H22+0.03)</f>
        <v>0</v>
      </c>
    </row>
    <row r="23" spans="2:18" ht="15.75" thickBot="1" x14ac:dyDescent="0.3">
      <c r="B23" s="92" t="s">
        <v>13</v>
      </c>
      <c r="C23" s="103">
        <v>0</v>
      </c>
      <c r="D23" s="104">
        <v>0</v>
      </c>
      <c r="E23" s="105">
        <v>0</v>
      </c>
      <c r="F23" s="40">
        <f>((C23+D23)*(1.5*0.000009))</f>
        <v>0</v>
      </c>
      <c r="G23" s="40">
        <f t="shared" si="7"/>
        <v>0</v>
      </c>
      <c r="H23" s="40">
        <f>IF(G23&lt;0,0, IF(G23&gt;1,F23*1,F23*G23))</f>
        <v>0</v>
      </c>
      <c r="I23" s="40">
        <f t="shared" si="8"/>
        <v>0</v>
      </c>
      <c r="J23" s="41">
        <f>IF(H23&lt;=0,0,H23+0.03)</f>
        <v>0</v>
      </c>
      <c r="R23" s="6" t="s">
        <v>14</v>
      </c>
    </row>
    <row r="24" spans="2:18" ht="16.5" thickTop="1" thickBot="1" x14ac:dyDescent="0.3">
      <c r="B24" s="42"/>
      <c r="C24" s="43"/>
      <c r="D24" s="44"/>
      <c r="E24" s="96" t="s">
        <v>15</v>
      </c>
      <c r="F24" s="45"/>
      <c r="G24" s="46"/>
      <c r="H24" s="47">
        <f>SUM(H19:H23)</f>
        <v>2.3261878506503539E-3</v>
      </c>
      <c r="I24" s="47">
        <f>IF((H24-2.24*0.03)&lt;=0,0,(H24-2.24*0.03))</f>
        <v>0</v>
      </c>
      <c r="J24" s="48">
        <f>IF(H24&lt;=0,0,H24+2.24*0.03)</f>
        <v>6.9526187850650359E-2</v>
      </c>
    </row>
    <row r="25" spans="2:18" ht="18.75" thickTop="1" thickBot="1" x14ac:dyDescent="0.3">
      <c r="B25" s="49" t="s">
        <v>18</v>
      </c>
      <c r="C25" s="108" t="s">
        <v>4</v>
      </c>
      <c r="D25" s="109" t="s">
        <v>23</v>
      </c>
      <c r="E25" s="110" t="s">
        <v>5</v>
      </c>
      <c r="F25" s="50" t="s">
        <v>6</v>
      </c>
      <c r="G25" s="50" t="s">
        <v>7</v>
      </c>
      <c r="H25" s="50" t="s">
        <v>8</v>
      </c>
      <c r="I25" s="50" t="s">
        <v>20</v>
      </c>
      <c r="J25" s="51" t="s">
        <v>21</v>
      </c>
    </row>
    <row r="26" spans="2:18" ht="15.75" thickTop="1" x14ac:dyDescent="0.25">
      <c r="B26" s="106" t="s">
        <v>9</v>
      </c>
      <c r="C26" s="111">
        <v>100</v>
      </c>
      <c r="D26" s="112">
        <v>100</v>
      </c>
      <c r="E26" s="113">
        <v>100</v>
      </c>
      <c r="F26" s="53">
        <f>((C26+D26)*(0.3*0.000009))</f>
        <v>5.4000000000000001E-4</v>
      </c>
      <c r="G26" s="53">
        <f t="shared" ref="G26:G30" si="9">IF(E26&lt;=5,0,IF(((0.3*(LN(E26)))-0.52)&gt;1,1,((0.3*(LN(E26)))-0.52)))</f>
        <v>0.86155105579642743</v>
      </c>
      <c r="H26" s="53">
        <f>IF(G26&lt;0,0, IF(G26&gt;1,F26*1,F26*G26))</f>
        <v>4.6523757013007083E-4</v>
      </c>
      <c r="I26" s="53">
        <f>IF((H26-0.01)&lt;=0,0,(H26-0.01))</f>
        <v>0</v>
      </c>
      <c r="J26" s="54">
        <f>IF(H26&lt;=0,0,H26+0.01)</f>
        <v>1.046523757013007E-2</v>
      </c>
    </row>
    <row r="27" spans="2:18" x14ac:dyDescent="0.25">
      <c r="B27" s="106" t="s">
        <v>10</v>
      </c>
      <c r="C27" s="114">
        <v>0</v>
      </c>
      <c r="D27" s="66">
        <v>0</v>
      </c>
      <c r="E27" s="115">
        <v>0</v>
      </c>
      <c r="F27" s="53">
        <f>((C27+D27)*(0.3*0.000009))</f>
        <v>0</v>
      </c>
      <c r="G27" s="53">
        <f t="shared" si="9"/>
        <v>0</v>
      </c>
      <c r="H27" s="53">
        <f t="shared" ref="H27:H30" si="10">IF(G27&lt;0,0, IF(G27&gt;1,F27*1,F27*G27))</f>
        <v>0</v>
      </c>
      <c r="I27" s="53">
        <f t="shared" ref="I27:I30" si="11">IF((H27-0.01)&lt;=0,0,(H27-0.01))</f>
        <v>0</v>
      </c>
      <c r="J27" s="54">
        <f>IF(H27&lt;=0,0,H27+0.01)</f>
        <v>0</v>
      </c>
    </row>
    <row r="28" spans="2:18" x14ac:dyDescent="0.25">
      <c r="B28" s="106" t="s">
        <v>11</v>
      </c>
      <c r="C28" s="114">
        <v>0</v>
      </c>
      <c r="D28" s="66">
        <v>0</v>
      </c>
      <c r="E28" s="115">
        <v>0</v>
      </c>
      <c r="F28" s="53">
        <f>((C28+D28)*(0.3*0.000009))</f>
        <v>0</v>
      </c>
      <c r="G28" s="53">
        <f t="shared" si="9"/>
        <v>0</v>
      </c>
      <c r="H28" s="53">
        <f t="shared" si="10"/>
        <v>0</v>
      </c>
      <c r="I28" s="53">
        <f t="shared" si="11"/>
        <v>0</v>
      </c>
      <c r="J28" s="54">
        <f>IF(H28&lt;=0,0,H28+0.01)</f>
        <v>0</v>
      </c>
    </row>
    <row r="29" spans="2:18" ht="15" customHeight="1" x14ac:dyDescent="0.3">
      <c r="B29" s="106" t="s">
        <v>12</v>
      </c>
      <c r="C29" s="114">
        <v>0</v>
      </c>
      <c r="D29" s="66">
        <v>0</v>
      </c>
      <c r="E29" s="115">
        <v>0</v>
      </c>
      <c r="F29" s="53">
        <f>((C29+D29)*(0.3*0.000009))</f>
        <v>0</v>
      </c>
      <c r="G29" s="53">
        <f t="shared" si="9"/>
        <v>0</v>
      </c>
      <c r="H29" s="53">
        <f t="shared" si="10"/>
        <v>0</v>
      </c>
      <c r="I29" s="53">
        <f t="shared" si="11"/>
        <v>0</v>
      </c>
      <c r="J29" s="54">
        <f>IF(H29&lt;=0,0,H29+0.01)</f>
        <v>0</v>
      </c>
      <c r="L29" s="55"/>
    </row>
    <row r="30" spans="2:18" ht="15.75" thickBot="1" x14ac:dyDescent="0.3">
      <c r="B30" s="106" t="s">
        <v>13</v>
      </c>
      <c r="C30" s="116">
        <v>0</v>
      </c>
      <c r="D30" s="117">
        <v>0</v>
      </c>
      <c r="E30" s="118">
        <v>0</v>
      </c>
      <c r="F30" s="53">
        <f>((C30+D30)*(0.3*0.000009))</f>
        <v>0</v>
      </c>
      <c r="G30" s="53">
        <f t="shared" si="9"/>
        <v>0</v>
      </c>
      <c r="H30" s="53">
        <f t="shared" si="10"/>
        <v>0</v>
      </c>
      <c r="I30" s="53">
        <f t="shared" si="11"/>
        <v>0</v>
      </c>
      <c r="J30" s="54">
        <f>IF(H30&lt;=0,0,H30+0.01)</f>
        <v>0</v>
      </c>
    </row>
    <row r="31" spans="2:18" ht="15.75" thickTop="1" x14ac:dyDescent="0.25">
      <c r="B31" s="56"/>
      <c r="C31" s="52"/>
      <c r="D31" s="52"/>
      <c r="E31" s="107" t="s">
        <v>15</v>
      </c>
      <c r="F31" s="57"/>
      <c r="G31" s="57"/>
      <c r="H31" s="58">
        <f>SUM(H26:H30)</f>
        <v>4.6523757013007083E-4</v>
      </c>
      <c r="I31" s="58">
        <f>IF((H31-2.24*0.01)&lt;=0,0,(H31-2.24*0.01))</f>
        <v>0</v>
      </c>
      <c r="J31" s="59">
        <f>IF(H31&lt;=0,0,H31+2.24*0.01)</f>
        <v>2.2865237570130075E-2</v>
      </c>
    </row>
    <row r="32" spans="2:18" ht="19.5" thickBot="1" x14ac:dyDescent="0.35">
      <c r="B32" s="119" t="s">
        <v>19</v>
      </c>
      <c r="C32" s="120"/>
      <c r="D32" s="120"/>
      <c r="E32" s="120"/>
      <c r="F32" s="60"/>
      <c r="G32" s="60"/>
      <c r="H32" s="61">
        <f>H10+H17+H24+H31</f>
        <v>6.1141379895627047E-3</v>
      </c>
      <c r="I32" s="61">
        <f>IF((H32-2.24*1.25)&lt;=0,0,(H32-2.24*1.25))</f>
        <v>0</v>
      </c>
      <c r="J32" s="62">
        <f>IF(H32&lt;=0,0,H32+2.24*1.25)</f>
        <v>2.8061141379895629</v>
      </c>
    </row>
    <row r="33" ht="15.75" thickTop="1" x14ac:dyDescent="0.25"/>
  </sheetData>
  <sheetProtection algorithmName="SHA-512" hashValue="+J3uBxGBYEPm2aehp05ZkPn51XP0ZtmHLXWN7pgHhTHJuHS+i2SQ1umI71w0rR/P9+uru0kkf99KFSfF/q9t6Q==" saltValue="0079RKvXXAM8AyCuWZGBCg==" spinCount="100000" sheet="1" objects="1" scenarios="1" selectLockedCells="1"/>
  <protectedRanges>
    <protectedRange algorithmName="SHA-512" hashValue="ZLlqnNWl4cWK77EVTnYaYhYSYEI42+oPenmGUVtlovutsoWn/4kYGdsJLYIXNLF5e2fU7SPxzCIvN9tR9RwxyA==" saltValue="+SkHrHNGE3EwDZe9ObYXng==" spinCount="100000" sqref="C5:E9 C12:E16 C19:E23 C26:E30" name="Range1"/>
  </protectedRanges>
  <mergeCells count="1">
    <mergeCell ref="B32:E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Sutcliffe</dc:creator>
  <cp:lastModifiedBy>Sutcliffe</cp:lastModifiedBy>
  <dcterms:created xsi:type="dcterms:W3CDTF">2016-11-19T04:40:53Z</dcterms:created>
  <dcterms:modified xsi:type="dcterms:W3CDTF">2017-05-09T21:09:34Z</dcterms:modified>
</cp:coreProperties>
</file>