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ivate\L322\vsm2\Sexual violence\Literature\"/>
    </mc:Choice>
  </mc:AlternateContent>
  <bookViews>
    <workbookView xWindow="0" yWindow="0" windowWidth="23040" windowHeight="82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3" i="1" l="1"/>
  <c r="D102" i="1" l="1"/>
  <c r="K98" i="1"/>
  <c r="J98" i="1"/>
  <c r="D99" i="1" s="1"/>
  <c r="D98" i="1"/>
  <c r="D96" i="1"/>
  <c r="K94" i="1"/>
  <c r="D94" i="1" s="1"/>
  <c r="J94" i="1"/>
  <c r="K90" i="1"/>
  <c r="D90" i="1" s="1"/>
  <c r="J90" i="1"/>
  <c r="D91" i="1" s="1"/>
  <c r="K86" i="1"/>
  <c r="D86" i="1" s="1"/>
  <c r="J86" i="1"/>
  <c r="K82" i="1"/>
  <c r="D82" i="1" s="1"/>
  <c r="J82" i="1"/>
  <c r="D83" i="1" s="1"/>
  <c r="K78" i="1"/>
  <c r="D78" i="1" s="1"/>
  <c r="J78" i="1"/>
  <c r="K74" i="1"/>
  <c r="D74" i="1" s="1"/>
  <c r="J74" i="1"/>
  <c r="D75" i="1" s="1"/>
  <c r="K70" i="1"/>
  <c r="D70" i="1" s="1"/>
  <c r="J70" i="1"/>
  <c r="D71" i="1" s="1"/>
  <c r="K66" i="1"/>
  <c r="D66" i="1" s="1"/>
  <c r="J66" i="1"/>
  <c r="D67" i="1" s="1"/>
  <c r="K62" i="1"/>
  <c r="D62" i="1" s="1"/>
  <c r="J62" i="1"/>
  <c r="D60" i="1"/>
  <c r="K58" i="1"/>
  <c r="D58" i="1" s="1"/>
  <c r="D59" i="1" s="1"/>
  <c r="J58" i="1"/>
  <c r="D56" i="1"/>
  <c r="K54" i="1"/>
  <c r="J54" i="1"/>
  <c r="D54" i="1"/>
  <c r="D52" i="1"/>
  <c r="D55" i="1" s="1"/>
  <c r="K50" i="1"/>
  <c r="J50" i="1"/>
  <c r="D51" i="1" s="1"/>
  <c r="D50" i="1"/>
  <c r="D48" i="1"/>
  <c r="K46" i="1"/>
  <c r="D46" i="1" s="1"/>
  <c r="J46" i="1"/>
  <c r="D47" i="1" s="1"/>
  <c r="D44" i="1"/>
  <c r="K42" i="1"/>
  <c r="D42" i="1" s="1"/>
  <c r="D43" i="1" s="1"/>
  <c r="J42" i="1"/>
  <c r="D40" i="1"/>
  <c r="D39" i="1"/>
  <c r="K37" i="1"/>
  <c r="J37" i="1"/>
  <c r="D37" i="1"/>
  <c r="D34" i="1"/>
  <c r="K33" i="1"/>
  <c r="J33" i="1"/>
  <c r="D33" i="1"/>
  <c r="D30" i="1"/>
  <c r="K29" i="1"/>
  <c r="J29" i="1"/>
  <c r="D29" i="1"/>
  <c r="D26" i="1"/>
  <c r="K25" i="1"/>
  <c r="J25" i="1"/>
  <c r="D25" i="1"/>
  <c r="K21" i="1"/>
  <c r="J21" i="1"/>
  <c r="D21" i="1"/>
  <c r="D19" i="1"/>
  <c r="D22" i="1" s="1"/>
  <c r="K17" i="1"/>
  <c r="J17" i="1"/>
  <c r="D18" i="1" s="1"/>
  <c r="D17" i="1"/>
  <c r="D15" i="1"/>
  <c r="K13" i="1"/>
  <c r="D13" i="1" s="1"/>
  <c r="J13" i="1"/>
  <c r="K9" i="1"/>
  <c r="D9" i="1" s="1"/>
  <c r="J9" i="1"/>
  <c r="D10" i="1" s="1"/>
  <c r="D14" i="1" l="1"/>
  <c r="D63" i="1"/>
  <c r="D79" i="1"/>
  <c r="D87" i="1"/>
  <c r="D95" i="1"/>
</calcChain>
</file>

<file path=xl/sharedStrings.xml><?xml version="1.0" encoding="utf-8"?>
<sst xmlns="http://schemas.openxmlformats.org/spreadsheetml/2006/main" count="411" uniqueCount="62">
  <si>
    <t>Cost</t>
  </si>
  <si>
    <t>Cost type</t>
  </si>
  <si>
    <t>Input</t>
  </si>
  <si>
    <t>Point estimate</t>
  </si>
  <si>
    <t>SE</t>
  </si>
  <si>
    <t>Low 95% CI</t>
  </si>
  <si>
    <t>High 95% CI</t>
  </si>
  <si>
    <t>Source</t>
  </si>
  <si>
    <t>Victim: Anxiety</t>
  </si>
  <si>
    <t>Medical</t>
  </si>
  <si>
    <t>Annual unit cost from reference study</t>
  </si>
  <si>
    <t>NR</t>
  </si>
  <si>
    <t>Greenberg (1999): Results section text.</t>
  </si>
  <si>
    <t xml:space="preserve"> </t>
  </si>
  <si>
    <t>Discount rate</t>
  </si>
  <si>
    <t>Assumed</t>
  </si>
  <si>
    <t>Term</t>
  </si>
  <si>
    <t>Lifetime unit cost as present value</t>
  </si>
  <si>
    <t>NA</t>
  </si>
  <si>
    <t>Calculated</t>
  </si>
  <si>
    <t>Lost productivity</t>
  </si>
  <si>
    <t>Victim: Depression</t>
  </si>
  <si>
    <t>Greenberg (2015): Table 2A.</t>
  </si>
  <si>
    <t>Victim: Eating disorders</t>
  </si>
  <si>
    <t>Victim: PTSD</t>
  </si>
  <si>
    <t>Ivanova (2011): Table 5, weighted average of Medicaid and commercial patients</t>
  </si>
  <si>
    <t>Victim: Alcohol abuse</t>
  </si>
  <si>
    <t>Sacks (2015): Results section text (per-drink estimate)</t>
  </si>
  <si>
    <t>Other</t>
  </si>
  <si>
    <t>Victim: Illicit drug use</t>
  </si>
  <si>
    <t>US DOJ (2011): Executive Summary section text</t>
  </si>
  <si>
    <t>Victim: Asthma</t>
  </si>
  <si>
    <t>Barnett, 2011: Results section text.</t>
  </si>
  <si>
    <t>Victim: Cervical cancer</t>
  </si>
  <si>
    <t>Ekwueme (2014): Table 2, women estimates.</t>
  </si>
  <si>
    <t>Victim: Joint conditions</t>
  </si>
  <si>
    <t>Gaskin, 2011: Table C-4.</t>
  </si>
  <si>
    <t>Calculated: Daily production of the US noninstitutional population, Both sexes, All ages (Grosse, 2009: Table 1, $129.64) multiplied by average incremental number of days of work lost because of selected pain conditions: Joint pain (Gaskin, 2011: Table C-4, 0.35 days)</t>
  </si>
  <si>
    <t>Perpetrator: Lost productivity due to corrections</t>
  </si>
  <si>
    <t>Grosse (2009): Table 1, Per person annual production value of US population, Both sexes, Age 15+</t>
  </si>
  <si>
    <t>Grosse (2009): Described in text, Standard discount rate (3%) minus annual productivity growth (1%)</t>
  </si>
  <si>
    <t>Average corrections term for convicted rape perpetrator (see "Criminal justice costs"</t>
  </si>
  <si>
    <t>Term (a): start</t>
  </si>
  <si>
    <t>Term (a): end</t>
  </si>
  <si>
    <t>Age at first rape:</t>
  </si>
  <si>
    <t>Life expectancy at birth:</t>
  </si>
  <si>
    <t>Xu J, Murphy SL, Kochanek KD, Bastian BA. Deaths: Final Data for 2013. Natl Vital Stat Rep 2016;64(2):1-119.</t>
  </si>
  <si>
    <t>Age range of respondents (years): LOW</t>
  </si>
  <si>
    <t>Age range of respondents (years): HIGH</t>
  </si>
  <si>
    <t xml:space="preserve">Greenberg (1999): Results section text indicates $1542 per victim per year. Table 3 indicates 2.8% (1,174,226/42,340,911) of these costs were suicide-related. This model separately accounted for suicide </t>
  </si>
  <si>
    <t>Range: maximum and minimum respondent ages in reference cost study, bounded by minimum assumed at age first rape for minimum and life expectancy at birth for maximum</t>
  </si>
  <si>
    <t>Total term value as as present value (i.e., Year 0 is victim age at first rape)</t>
  </si>
  <si>
    <t>Samnaliev (2015): Table 2, value is the difference between patients with no ED and patients with ED and no mental health diagnosis (or, $5033 - $3910 = $1123)</t>
  </si>
  <si>
    <t>Samnaliev (2015): Table 2; Difference in earnings was not statisticaly significant, therefore noted as "0" here.</t>
  </si>
  <si>
    <t>Total term value at term start</t>
  </si>
  <si>
    <t>Range: maximum and minimum respondent ages in reference outcomes study (Smith (2011), note: maximum age assumed, not explicitly stated in study), bounded by minimum assumed at age first rape for minimum and life expectancy at birth for maximum</t>
  </si>
  <si>
    <t>Range: maximum and minimum respondent ages in reference outcome study among rape victims (Molnar, 2001), bounded by minimum assumed at age first rape for minimum and life expectancy at birth for maximum</t>
  </si>
  <si>
    <t>Victim: Smoking</t>
  </si>
  <si>
    <t>Lifetime unit cost from reference study</t>
  </si>
  <si>
    <t>Lifetime unit cost as present value (i.e., victim age 15)</t>
  </si>
  <si>
    <t>Note. NA Not applicable; NR Not reported. Discounting was applied only to "annual" and "lifetime" costs (see eTable 2); one-time costs are assumed to occur in Year 0 and are undiscounted.
(a) Term based on maximum and minimum respondent ages in in reference cost study. If maximum respondent age was reported as open-ended (i.e., "50+ years"), we applied the highest listed age (i.e., 50 years).</t>
  </si>
  <si>
    <t xml:space="preserve">Appendix Table 3: Cost discounting details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</si>
</sst>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00"/>
    <numFmt numFmtId="165" formatCode="&quot;$&quot;#,##0"/>
    <numFmt numFmtId="166" formatCode="0.0"/>
  </numFmts>
  <fonts count="5" x14ac:knownFonts="1">
    <font>
      <sz val="11"/>
      <color theme="1"/>
      <name val="Calibri"/>
      <family val="2"/>
      <scheme val="minor"/>
    </font>
    <font>
      <b/>
      <sz val="14"/>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164" fontId="2"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left" wrapText="1"/>
    </xf>
    <xf numFmtId="0" fontId="2" fillId="2" borderId="2" xfId="0" applyFont="1" applyFill="1" applyBorder="1" applyAlignment="1">
      <alignment horizontal="center" wrapText="1"/>
    </xf>
    <xf numFmtId="0" fontId="2" fillId="2" borderId="0" xfId="0" applyFont="1" applyFill="1" applyBorder="1" applyAlignment="1">
      <alignment horizontal="center"/>
    </xf>
    <xf numFmtId="0" fontId="2" fillId="2" borderId="0" xfId="0" applyFont="1" applyFill="1" applyAlignment="1">
      <alignment horizontal="center"/>
    </xf>
    <xf numFmtId="0" fontId="2" fillId="2" borderId="3" xfId="0" applyFont="1" applyFill="1" applyBorder="1" applyAlignment="1">
      <alignment vertical="center"/>
    </xf>
    <xf numFmtId="0" fontId="2" fillId="2" borderId="4" xfId="0" applyFont="1" applyFill="1" applyBorder="1" applyAlignment="1">
      <alignment vertical="center"/>
    </xf>
    <xf numFmtId="0" fontId="3" fillId="2" borderId="4" xfId="0" applyFont="1" applyFill="1" applyBorder="1" applyAlignment="1">
      <alignment vertical="center"/>
    </xf>
    <xf numFmtId="165" fontId="2" fillId="2" borderId="4"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3" fillId="2" borderId="0"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3" fillId="2" borderId="8" xfId="0" applyFont="1" applyFill="1" applyBorder="1" applyAlignment="1">
      <alignment vertical="center"/>
    </xf>
    <xf numFmtId="6" fontId="2" fillId="2" borderId="8"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0" fontId="2" fillId="2" borderId="10"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166"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vertical="center"/>
    </xf>
    <xf numFmtId="0" fontId="2" fillId="2" borderId="3" xfId="0" applyFont="1" applyFill="1" applyBorder="1" applyAlignment="1">
      <alignment horizontal="center" vertical="center"/>
    </xf>
    <xf numFmtId="164" fontId="2" fillId="2" borderId="4" xfId="0" applyNumberFormat="1" applyFont="1" applyFill="1" applyBorder="1" applyAlignment="1">
      <alignment horizontal="right" vertical="center"/>
    </xf>
    <xf numFmtId="0" fontId="2" fillId="3" borderId="4" xfId="0" applyFont="1" applyFill="1" applyBorder="1" applyAlignment="1">
      <alignment vertical="center"/>
    </xf>
    <xf numFmtId="0" fontId="2" fillId="2" borderId="10" xfId="0" applyFont="1" applyFill="1" applyBorder="1" applyAlignment="1">
      <alignment horizontal="center" vertical="center"/>
    </xf>
    <xf numFmtId="0" fontId="2" fillId="2" borderId="8" xfId="0" applyFont="1" applyFill="1" applyBorder="1" applyAlignment="1">
      <alignment horizontal="right" vertical="center"/>
    </xf>
    <xf numFmtId="0" fontId="2" fillId="3" borderId="8" xfId="0" applyFont="1" applyFill="1" applyBorder="1" applyAlignment="1">
      <alignment vertical="center"/>
    </xf>
    <xf numFmtId="0" fontId="2" fillId="2" borderId="8" xfId="0" applyFont="1" applyFill="1" applyBorder="1" applyAlignment="1">
      <alignment horizontal="center" wrapText="1"/>
    </xf>
    <xf numFmtId="0" fontId="2" fillId="2" borderId="9" xfId="0" applyFont="1" applyFill="1" applyBorder="1" applyAlignment="1">
      <alignment horizontal="left"/>
    </xf>
    <xf numFmtId="1" fontId="2" fillId="2" borderId="0" xfId="0" applyNumberFormat="1" applyFont="1" applyFill="1" applyBorder="1" applyAlignment="1">
      <alignment horizontal="center" vertical="center"/>
    </xf>
    <xf numFmtId="0" fontId="2" fillId="2" borderId="4" xfId="0" applyFont="1" applyFill="1" applyBorder="1" applyAlignment="1">
      <alignment vertical="center" wrapText="1"/>
    </xf>
    <xf numFmtId="6"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4"/>
  <sheetViews>
    <sheetView tabSelected="1" workbookViewId="0">
      <pane xSplit="2" ySplit="6" topLeftCell="C94" activePane="bottomRight" state="frozen"/>
      <selection pane="topRight" activeCell="C1" sqref="C1"/>
      <selection pane="bottomLeft" activeCell="A7" sqref="A7"/>
      <selection pane="bottomRight" activeCell="D101" sqref="D101:G101"/>
    </sheetView>
  </sheetViews>
  <sheetFormatPr defaultRowHeight="12" x14ac:dyDescent="0.25"/>
  <cols>
    <col min="1" max="1" width="21.5703125" style="2" customWidth="1"/>
    <col min="2" max="2" width="14.85546875" style="2" customWidth="1"/>
    <col min="3" max="3" width="31.5703125" style="2" customWidth="1"/>
    <col min="4" max="11" width="10.7109375" style="3" customWidth="1"/>
    <col min="12" max="12" width="25.28515625" style="2" customWidth="1"/>
    <col min="13" max="14" width="12.7109375" style="2" customWidth="1"/>
    <col min="15" max="18" width="10.7109375" style="2" customWidth="1"/>
    <col min="19" max="16384" width="9.140625" style="2"/>
  </cols>
  <sheetData>
    <row r="2" spans="1:14" ht="18.75" x14ac:dyDescent="0.25">
      <c r="A2" s="1" t="s">
        <v>61</v>
      </c>
      <c r="D2" s="2"/>
    </row>
    <row r="3" spans="1:14" ht="18.75" x14ac:dyDescent="0.25">
      <c r="A3" s="1"/>
      <c r="D3" s="2"/>
      <c r="L3" s="35" t="s">
        <v>7</v>
      </c>
    </row>
    <row r="4" spans="1:14" ht="14.1" customHeight="1" x14ac:dyDescent="0.25">
      <c r="A4" s="1"/>
      <c r="D4" s="2"/>
      <c r="I4" s="36"/>
      <c r="J4" s="37" t="s">
        <v>44</v>
      </c>
      <c r="K4" s="38">
        <v>18</v>
      </c>
      <c r="L4" s="17" t="s">
        <v>15</v>
      </c>
    </row>
    <row r="5" spans="1:14" ht="14.1" customHeight="1" x14ac:dyDescent="0.25">
      <c r="G5" s="4"/>
      <c r="H5" s="4"/>
      <c r="I5" s="39"/>
      <c r="J5" s="40" t="s">
        <v>45</v>
      </c>
      <c r="K5" s="41">
        <v>79</v>
      </c>
      <c r="L5" s="25" t="s">
        <v>46</v>
      </c>
      <c r="M5" s="2" t="s">
        <v>13</v>
      </c>
    </row>
    <row r="6" spans="1:14" s="11" customFormat="1" ht="48" x14ac:dyDescent="0.2">
      <c r="A6" s="6" t="s">
        <v>0</v>
      </c>
      <c r="B6" s="7" t="s">
        <v>1</v>
      </c>
      <c r="C6" s="8" t="s">
        <v>2</v>
      </c>
      <c r="D6" s="9" t="s">
        <v>3</v>
      </c>
      <c r="E6" s="9" t="s">
        <v>4</v>
      </c>
      <c r="F6" s="9" t="s">
        <v>5</v>
      </c>
      <c r="G6" s="9" t="s">
        <v>6</v>
      </c>
      <c r="H6" s="9" t="s">
        <v>47</v>
      </c>
      <c r="I6" s="42" t="s">
        <v>48</v>
      </c>
      <c r="J6" s="42" t="s">
        <v>42</v>
      </c>
      <c r="K6" s="42" t="s">
        <v>43</v>
      </c>
      <c r="L6" s="43" t="s">
        <v>7</v>
      </c>
      <c r="M6" s="10"/>
      <c r="N6" s="10"/>
    </row>
    <row r="7" spans="1:14" ht="14.1" customHeight="1" x14ac:dyDescent="0.25">
      <c r="A7" s="12" t="s">
        <v>8</v>
      </c>
      <c r="B7" s="13" t="s">
        <v>9</v>
      </c>
      <c r="C7" s="14" t="s">
        <v>10</v>
      </c>
      <c r="D7" s="15">
        <v>1542</v>
      </c>
      <c r="E7" s="16" t="s">
        <v>11</v>
      </c>
      <c r="F7" s="15" t="s">
        <v>11</v>
      </c>
      <c r="G7" s="15" t="s">
        <v>11</v>
      </c>
      <c r="H7" s="15"/>
      <c r="I7" s="15"/>
      <c r="J7" s="15"/>
      <c r="K7" s="15"/>
      <c r="L7" s="17" t="s">
        <v>49</v>
      </c>
      <c r="M7" s="5" t="s">
        <v>13</v>
      </c>
    </row>
    <row r="8" spans="1:14" ht="14.1" customHeight="1" x14ac:dyDescent="0.25">
      <c r="A8" s="18"/>
      <c r="B8" s="5"/>
      <c r="C8" s="19" t="s">
        <v>14</v>
      </c>
      <c r="D8" s="48">
        <v>0.03</v>
      </c>
      <c r="E8" s="48"/>
      <c r="F8" s="48"/>
      <c r="G8" s="48"/>
      <c r="H8" s="34"/>
      <c r="I8" s="34"/>
      <c r="J8" s="34"/>
      <c r="K8" s="34"/>
      <c r="L8" s="20" t="s">
        <v>15</v>
      </c>
      <c r="M8" s="5" t="s">
        <v>13</v>
      </c>
    </row>
    <row r="9" spans="1:14" ht="14.1" customHeight="1" x14ac:dyDescent="0.25">
      <c r="A9" s="18"/>
      <c r="B9" s="5"/>
      <c r="C9" s="19" t="s">
        <v>16</v>
      </c>
      <c r="D9" s="47">
        <f>K9-J9</f>
        <v>36</v>
      </c>
      <c r="E9" s="47"/>
      <c r="F9" s="47"/>
      <c r="G9" s="47"/>
      <c r="H9" s="44">
        <v>15</v>
      </c>
      <c r="I9" s="44">
        <v>54</v>
      </c>
      <c r="J9" s="44">
        <f>IF(H9&lt;$K$4,$K$4,H9)</f>
        <v>18</v>
      </c>
      <c r="K9" s="44">
        <f>IF(I9&gt;$K$5,$K$5,I9)</f>
        <v>54</v>
      </c>
      <c r="L9" s="20" t="s">
        <v>50</v>
      </c>
      <c r="M9" s="5" t="s">
        <v>13</v>
      </c>
    </row>
    <row r="10" spans="1:14" ht="14.1" customHeight="1" x14ac:dyDescent="0.25">
      <c r="A10" s="18"/>
      <c r="B10" s="5"/>
      <c r="C10" s="19" t="s">
        <v>51</v>
      </c>
      <c r="D10" s="46">
        <f>(PV(D8,(J9-$K$4),0,(PV(D8,D9,D7))))</f>
        <v>33665.333352086294</v>
      </c>
      <c r="E10" s="34"/>
      <c r="F10" s="34"/>
      <c r="G10" s="34"/>
      <c r="H10" s="34"/>
      <c r="I10" s="34"/>
      <c r="J10" s="34"/>
      <c r="K10" s="34"/>
      <c r="L10" s="20" t="s">
        <v>19</v>
      </c>
      <c r="M10" s="5"/>
    </row>
    <row r="11" spans="1:14" ht="14.1" customHeight="1" x14ac:dyDescent="0.25">
      <c r="A11" s="12"/>
      <c r="B11" s="45" t="s">
        <v>20</v>
      </c>
      <c r="C11" s="14" t="s">
        <v>10</v>
      </c>
      <c r="D11" s="15">
        <v>256</v>
      </c>
      <c r="E11" s="16" t="s">
        <v>11</v>
      </c>
      <c r="F11" s="15" t="s">
        <v>11</v>
      </c>
      <c r="G11" s="15" t="s">
        <v>11</v>
      </c>
      <c r="H11" s="15"/>
      <c r="I11" s="15"/>
      <c r="J11" s="15"/>
      <c r="K11" s="15"/>
      <c r="L11" s="17" t="s">
        <v>12</v>
      </c>
      <c r="M11" s="5" t="s">
        <v>13</v>
      </c>
    </row>
    <row r="12" spans="1:14" ht="14.1" customHeight="1" x14ac:dyDescent="0.25">
      <c r="A12" s="18"/>
      <c r="B12" s="5"/>
      <c r="C12" s="19" t="s">
        <v>14</v>
      </c>
      <c r="D12" s="48">
        <v>0.03</v>
      </c>
      <c r="E12" s="48"/>
      <c r="F12" s="48"/>
      <c r="G12" s="48"/>
      <c r="H12" s="34"/>
      <c r="I12" s="34"/>
      <c r="J12" s="34"/>
      <c r="K12" s="34"/>
      <c r="L12" s="20" t="s">
        <v>15</v>
      </c>
      <c r="M12" s="5" t="s">
        <v>13</v>
      </c>
    </row>
    <row r="13" spans="1:14" ht="14.1" customHeight="1" x14ac:dyDescent="0.25">
      <c r="A13" s="18"/>
      <c r="B13" s="5"/>
      <c r="C13" s="19" t="s">
        <v>16</v>
      </c>
      <c r="D13" s="47">
        <f>K13-J13</f>
        <v>36</v>
      </c>
      <c r="E13" s="47"/>
      <c r="F13" s="47"/>
      <c r="G13" s="47"/>
      <c r="H13" s="44">
        <v>15</v>
      </c>
      <c r="I13" s="44">
        <v>54</v>
      </c>
      <c r="J13" s="44">
        <f>IF(H13&lt;$K$4,$K$4,H13)</f>
        <v>18</v>
      </c>
      <c r="K13" s="44">
        <f>IF(I13&gt;$K$5,$K$5,I13)</f>
        <v>54</v>
      </c>
      <c r="L13" s="20" t="s">
        <v>50</v>
      </c>
      <c r="M13" s="5" t="s">
        <v>13</v>
      </c>
    </row>
    <row r="14" spans="1:14" ht="14.1" customHeight="1" x14ac:dyDescent="0.25">
      <c r="A14" s="28"/>
      <c r="B14" s="21"/>
      <c r="C14" s="19" t="s">
        <v>51</v>
      </c>
      <c r="D14" s="46">
        <f>(PV(D12,(J13-$K$4),0,(PV(D12,D13,D11))))</f>
        <v>5589.0566395162732</v>
      </c>
      <c r="E14" s="24"/>
      <c r="F14" s="24"/>
      <c r="G14" s="24"/>
      <c r="H14" s="24"/>
      <c r="I14" s="24"/>
      <c r="J14" s="24"/>
      <c r="K14" s="24"/>
      <c r="L14" s="25" t="s">
        <v>19</v>
      </c>
      <c r="M14" s="5"/>
    </row>
    <row r="15" spans="1:14" ht="14.1" customHeight="1" x14ac:dyDescent="0.25">
      <c r="A15" s="12" t="s">
        <v>21</v>
      </c>
      <c r="B15" s="13" t="s">
        <v>9</v>
      </c>
      <c r="C15" s="14" t="s">
        <v>10</v>
      </c>
      <c r="D15" s="15">
        <f>(98854*1000000)/15446771</f>
        <v>6399.6546592164796</v>
      </c>
      <c r="E15" s="16" t="s">
        <v>11</v>
      </c>
      <c r="F15" s="15" t="s">
        <v>11</v>
      </c>
      <c r="G15" s="15" t="s">
        <v>11</v>
      </c>
      <c r="H15" s="15"/>
      <c r="I15" s="15"/>
      <c r="J15" s="15"/>
      <c r="K15" s="15"/>
      <c r="L15" s="17" t="s">
        <v>22</v>
      </c>
      <c r="M15" s="5" t="s">
        <v>13</v>
      </c>
    </row>
    <row r="16" spans="1:14" ht="14.1" customHeight="1" x14ac:dyDescent="0.25">
      <c r="A16" s="18"/>
      <c r="B16" s="5"/>
      <c r="C16" s="19" t="s">
        <v>14</v>
      </c>
      <c r="D16" s="48">
        <v>0.03</v>
      </c>
      <c r="E16" s="48"/>
      <c r="F16" s="48"/>
      <c r="G16" s="48"/>
      <c r="H16" s="34"/>
      <c r="I16" s="34"/>
      <c r="J16" s="34"/>
      <c r="K16" s="34"/>
      <c r="L16" s="20" t="s">
        <v>15</v>
      </c>
      <c r="M16" s="5" t="s">
        <v>13</v>
      </c>
    </row>
    <row r="17" spans="1:14" ht="14.1" customHeight="1" x14ac:dyDescent="0.25">
      <c r="A17" s="18"/>
      <c r="B17" s="5"/>
      <c r="C17" s="19" t="s">
        <v>16</v>
      </c>
      <c r="D17" s="47">
        <f>65-24</f>
        <v>41</v>
      </c>
      <c r="E17" s="47"/>
      <c r="F17" s="47"/>
      <c r="G17" s="47"/>
      <c r="H17" s="44">
        <v>18</v>
      </c>
      <c r="I17" s="44">
        <v>64</v>
      </c>
      <c r="J17" s="44">
        <f>IF(H17&lt;$K$4,$K$4,H17)</f>
        <v>18</v>
      </c>
      <c r="K17" s="44">
        <f>IF(I17&gt;$K$5,$K$5,I17)</f>
        <v>64</v>
      </c>
      <c r="L17" s="20" t="s">
        <v>50</v>
      </c>
      <c r="M17" s="5" t="s">
        <v>13</v>
      </c>
    </row>
    <row r="18" spans="1:14" ht="14.1" customHeight="1" x14ac:dyDescent="0.25">
      <c r="A18" s="28"/>
      <c r="B18" s="21"/>
      <c r="C18" s="19" t="s">
        <v>51</v>
      </c>
      <c r="D18" s="46">
        <f>(PV(D16,(J17-$K$4),0,(PV(D16,D17,D15))))</f>
        <v>149831.2745831779</v>
      </c>
      <c r="E18" s="24"/>
      <c r="F18" s="24"/>
      <c r="G18" s="24"/>
      <c r="H18" s="24"/>
      <c r="I18" s="24"/>
      <c r="J18" s="24"/>
      <c r="K18" s="24"/>
      <c r="L18" s="25" t="s">
        <v>19</v>
      </c>
      <c r="M18" s="5"/>
    </row>
    <row r="19" spans="1:14" ht="14.1" customHeight="1" x14ac:dyDescent="0.25">
      <c r="A19" s="12"/>
      <c r="B19" s="45" t="s">
        <v>20</v>
      </c>
      <c r="C19" s="14" t="s">
        <v>10</v>
      </c>
      <c r="D19" s="15">
        <f>((102003+9691)*1000000)/15446771</f>
        <v>7230.8963472042151</v>
      </c>
      <c r="E19" s="16" t="s">
        <v>11</v>
      </c>
      <c r="F19" s="15" t="s">
        <v>11</v>
      </c>
      <c r="G19" s="15" t="s">
        <v>11</v>
      </c>
      <c r="H19" s="15"/>
      <c r="I19" s="15"/>
      <c r="J19" s="15"/>
      <c r="K19" s="15"/>
      <c r="L19" s="17" t="s">
        <v>22</v>
      </c>
      <c r="M19" s="5" t="s">
        <v>13</v>
      </c>
    </row>
    <row r="20" spans="1:14" ht="14.1" customHeight="1" x14ac:dyDescent="0.25">
      <c r="A20" s="18"/>
      <c r="B20" s="5"/>
      <c r="C20" s="19" t="s">
        <v>14</v>
      </c>
      <c r="D20" s="48">
        <v>0.03</v>
      </c>
      <c r="E20" s="48"/>
      <c r="F20" s="48"/>
      <c r="G20" s="48"/>
      <c r="H20" s="34"/>
      <c r="I20" s="34"/>
      <c r="J20" s="34"/>
      <c r="K20" s="34"/>
      <c r="L20" s="20" t="s">
        <v>15</v>
      </c>
      <c r="M20" s="5" t="s">
        <v>13</v>
      </c>
    </row>
    <row r="21" spans="1:14" ht="14.1" customHeight="1" x14ac:dyDescent="0.25">
      <c r="A21" s="18"/>
      <c r="B21" s="5"/>
      <c r="C21" s="19" t="s">
        <v>16</v>
      </c>
      <c r="D21" s="47">
        <f>65-24</f>
        <v>41</v>
      </c>
      <c r="E21" s="47"/>
      <c r="F21" s="47"/>
      <c r="G21" s="47"/>
      <c r="H21" s="44">
        <v>18</v>
      </c>
      <c r="I21" s="44">
        <v>64</v>
      </c>
      <c r="J21" s="44">
        <f>IF(H21&lt;$K$4,$K$4,H21)</f>
        <v>18</v>
      </c>
      <c r="K21" s="44">
        <f>IF(I21&gt;$K$5,$K$5,I21)</f>
        <v>64</v>
      </c>
      <c r="L21" s="20" t="s">
        <v>50</v>
      </c>
      <c r="M21" s="5" t="s">
        <v>13</v>
      </c>
    </row>
    <row r="22" spans="1:14" ht="14.1" customHeight="1" x14ac:dyDescent="0.25">
      <c r="A22" s="18"/>
      <c r="B22" s="5"/>
      <c r="C22" s="19" t="s">
        <v>51</v>
      </c>
      <c r="D22" s="46">
        <f>(PV(D20,(J21-$K$4),0,(PV(D20,D21,D19))))</f>
        <v>169292.63745820575</v>
      </c>
      <c r="E22" s="34"/>
      <c r="F22" s="34"/>
      <c r="G22" s="34"/>
      <c r="H22" s="34"/>
      <c r="I22" s="34"/>
      <c r="J22" s="34"/>
      <c r="K22" s="34"/>
      <c r="L22" s="20" t="s">
        <v>19</v>
      </c>
      <c r="M22" s="5"/>
    </row>
    <row r="23" spans="1:14" ht="14.1" customHeight="1" x14ac:dyDescent="0.25">
      <c r="A23" s="12" t="s">
        <v>23</v>
      </c>
      <c r="B23" s="13" t="s">
        <v>9</v>
      </c>
      <c r="C23" s="14" t="s">
        <v>10</v>
      </c>
      <c r="D23" s="15">
        <v>1123</v>
      </c>
      <c r="E23" s="16" t="s">
        <v>11</v>
      </c>
      <c r="F23" s="15" t="s">
        <v>11</v>
      </c>
      <c r="G23" s="15" t="s">
        <v>11</v>
      </c>
      <c r="H23" s="15"/>
      <c r="I23" s="15"/>
      <c r="J23" s="15"/>
      <c r="K23" s="15"/>
      <c r="L23" s="17" t="s">
        <v>52</v>
      </c>
      <c r="M23" s="5" t="s">
        <v>13</v>
      </c>
      <c r="N23" s="5"/>
    </row>
    <row r="24" spans="1:14" ht="14.1" customHeight="1" x14ac:dyDescent="0.25">
      <c r="A24" s="18"/>
      <c r="B24" s="5"/>
      <c r="C24" s="19" t="s">
        <v>14</v>
      </c>
      <c r="D24" s="48">
        <v>0.03</v>
      </c>
      <c r="E24" s="48"/>
      <c r="F24" s="48"/>
      <c r="G24" s="48"/>
      <c r="H24" s="34"/>
      <c r="I24" s="34"/>
      <c r="J24" s="34"/>
      <c r="K24" s="34"/>
      <c r="L24" s="20" t="s">
        <v>15</v>
      </c>
      <c r="M24" s="5" t="s">
        <v>13</v>
      </c>
      <c r="N24" s="5"/>
    </row>
    <row r="25" spans="1:14" ht="14.1" customHeight="1" x14ac:dyDescent="0.25">
      <c r="A25" s="18"/>
      <c r="B25" s="5"/>
      <c r="C25" s="19" t="s">
        <v>16</v>
      </c>
      <c r="D25" s="47">
        <f>K25-J25</f>
        <v>61</v>
      </c>
      <c r="E25" s="47"/>
      <c r="F25" s="47"/>
      <c r="G25" s="47"/>
      <c r="H25" s="44">
        <v>0</v>
      </c>
      <c r="I25" s="44">
        <v>85</v>
      </c>
      <c r="J25" s="44">
        <f>IF(H25&lt;$K$4,$K$4,H25)</f>
        <v>18</v>
      </c>
      <c r="K25" s="44">
        <f>IF(I25&gt;$K$5,$K$5,I25)</f>
        <v>79</v>
      </c>
      <c r="L25" s="20" t="s">
        <v>50</v>
      </c>
      <c r="M25" s="5" t="s">
        <v>13</v>
      </c>
      <c r="N25" s="5"/>
    </row>
    <row r="26" spans="1:14" ht="14.1" customHeight="1" x14ac:dyDescent="0.25">
      <c r="A26" s="18"/>
      <c r="B26" s="5"/>
      <c r="C26" s="19" t="s">
        <v>51</v>
      </c>
      <c r="D26" s="46">
        <f>(PV(D24,(J25-$K$4),0,(PV(D24,D25,D23))))</f>
        <v>31264.716501992327</v>
      </c>
      <c r="E26" s="34"/>
      <c r="F26" s="34"/>
      <c r="G26" s="34"/>
      <c r="H26" s="34"/>
      <c r="I26" s="34"/>
      <c r="J26" s="34"/>
      <c r="K26" s="34"/>
      <c r="L26" s="20" t="s">
        <v>19</v>
      </c>
      <c r="M26" s="5"/>
    </row>
    <row r="27" spans="1:14" ht="14.1" customHeight="1" x14ac:dyDescent="0.25">
      <c r="A27" s="12"/>
      <c r="B27" s="45" t="s">
        <v>20</v>
      </c>
      <c r="C27" s="14" t="s">
        <v>10</v>
      </c>
      <c r="D27" s="15">
        <v>0</v>
      </c>
      <c r="E27" s="16" t="s">
        <v>11</v>
      </c>
      <c r="F27" s="15" t="s">
        <v>11</v>
      </c>
      <c r="G27" s="15" t="s">
        <v>11</v>
      </c>
      <c r="H27" s="15"/>
      <c r="I27" s="15"/>
      <c r="J27" s="15"/>
      <c r="K27" s="15"/>
      <c r="L27" s="17" t="s">
        <v>53</v>
      </c>
      <c r="M27" s="5" t="s">
        <v>13</v>
      </c>
      <c r="N27" s="5"/>
    </row>
    <row r="28" spans="1:14" ht="14.1" customHeight="1" x14ac:dyDescent="0.25">
      <c r="A28" s="18"/>
      <c r="B28" s="5"/>
      <c r="C28" s="19" t="s">
        <v>14</v>
      </c>
      <c r="D28" s="48">
        <v>0.03</v>
      </c>
      <c r="E28" s="48"/>
      <c r="F28" s="48"/>
      <c r="G28" s="48"/>
      <c r="H28" s="34"/>
      <c r="I28" s="34"/>
      <c r="J28" s="34"/>
      <c r="K28" s="34"/>
      <c r="L28" s="20" t="s">
        <v>15</v>
      </c>
      <c r="M28" s="5" t="s">
        <v>13</v>
      </c>
      <c r="N28" s="5"/>
    </row>
    <row r="29" spans="1:14" ht="14.1" customHeight="1" x14ac:dyDescent="0.25">
      <c r="A29" s="18"/>
      <c r="B29" s="5"/>
      <c r="C29" s="19" t="s">
        <v>16</v>
      </c>
      <c r="D29" s="47">
        <f>K29-J29</f>
        <v>47</v>
      </c>
      <c r="E29" s="47"/>
      <c r="F29" s="47"/>
      <c r="G29" s="47"/>
      <c r="H29" s="44">
        <v>0</v>
      </c>
      <c r="I29" s="44">
        <v>65</v>
      </c>
      <c r="J29" s="44">
        <f>IF(H29&lt;$K$4,$K$4,H29)</f>
        <v>18</v>
      </c>
      <c r="K29" s="44">
        <f>IF(I29&gt;$K$5,$K$5,I29)</f>
        <v>65</v>
      </c>
      <c r="L29" s="20" t="s">
        <v>50</v>
      </c>
      <c r="M29" s="5" t="s">
        <v>13</v>
      </c>
      <c r="N29" s="5"/>
    </row>
    <row r="30" spans="1:14" ht="14.1" customHeight="1" x14ac:dyDescent="0.25">
      <c r="A30" s="18"/>
      <c r="B30" s="5"/>
      <c r="C30" s="19" t="s">
        <v>51</v>
      </c>
      <c r="D30" s="46">
        <f>(PV(D28,(J29-$K$4),0,(PV(D28,D29,D27))))</f>
        <v>0</v>
      </c>
      <c r="E30" s="34"/>
      <c r="F30" s="34"/>
      <c r="G30" s="34"/>
      <c r="H30" s="34"/>
      <c r="I30" s="34"/>
      <c r="J30" s="34"/>
      <c r="K30" s="34"/>
      <c r="L30" s="20" t="s">
        <v>19</v>
      </c>
      <c r="M30" s="5"/>
    </row>
    <row r="31" spans="1:14" ht="14.1" customHeight="1" x14ac:dyDescent="0.25">
      <c r="A31" s="12" t="s">
        <v>24</v>
      </c>
      <c r="B31" s="13" t="s">
        <v>9</v>
      </c>
      <c r="C31" s="14" t="s">
        <v>10</v>
      </c>
      <c r="D31" s="15">
        <v>1136.3150684931506</v>
      </c>
      <c r="E31" s="16" t="s">
        <v>11</v>
      </c>
      <c r="F31" s="15" t="s">
        <v>11</v>
      </c>
      <c r="G31" s="15" t="s">
        <v>11</v>
      </c>
      <c r="H31" s="15"/>
      <c r="I31" s="15"/>
      <c r="J31" s="15"/>
      <c r="K31" s="15"/>
      <c r="L31" s="17" t="s">
        <v>25</v>
      </c>
      <c r="M31" s="5" t="s">
        <v>13</v>
      </c>
      <c r="N31" s="5"/>
    </row>
    <row r="32" spans="1:14" ht="14.1" customHeight="1" x14ac:dyDescent="0.25">
      <c r="A32" s="18"/>
      <c r="B32" s="5"/>
      <c r="C32" s="19" t="s">
        <v>14</v>
      </c>
      <c r="D32" s="48">
        <v>0.03</v>
      </c>
      <c r="E32" s="48"/>
      <c r="F32" s="48"/>
      <c r="G32" s="48"/>
      <c r="H32" s="34"/>
      <c r="I32" s="34"/>
      <c r="J32" s="34"/>
      <c r="K32" s="34"/>
      <c r="L32" s="20" t="s">
        <v>15</v>
      </c>
      <c r="M32" s="5" t="s">
        <v>13</v>
      </c>
      <c r="N32" s="5"/>
    </row>
    <row r="33" spans="1:14" ht="14.1" customHeight="1" x14ac:dyDescent="0.25">
      <c r="A33" s="18"/>
      <c r="B33" s="5"/>
      <c r="C33" s="19" t="s">
        <v>16</v>
      </c>
      <c r="D33" s="47">
        <f>K33-J33</f>
        <v>46</v>
      </c>
      <c r="E33" s="47"/>
      <c r="F33" s="47"/>
      <c r="G33" s="47"/>
      <c r="H33" s="44">
        <v>18</v>
      </c>
      <c r="I33" s="44">
        <v>64</v>
      </c>
      <c r="J33" s="44">
        <f>IF(H33&lt;$K$4,$K$4,H33)</f>
        <v>18</v>
      </c>
      <c r="K33" s="44">
        <f>IF(I33&gt;$K$5,$K$5,I33)</f>
        <v>64</v>
      </c>
      <c r="L33" s="20" t="s">
        <v>50</v>
      </c>
      <c r="M33" s="5" t="s">
        <v>13</v>
      </c>
      <c r="N33" s="5"/>
    </row>
    <row r="34" spans="1:14" ht="14.1" customHeight="1" x14ac:dyDescent="0.25">
      <c r="A34" s="18"/>
      <c r="B34" s="5"/>
      <c r="C34" s="19" t="s">
        <v>51</v>
      </c>
      <c r="D34" s="46">
        <f>(PV(D32,(J33-$K$4),0,(PV(D32,D33,D31))))</f>
        <v>28152.716105912743</v>
      </c>
      <c r="E34" s="34"/>
      <c r="F34" s="34"/>
      <c r="G34" s="34"/>
      <c r="H34" s="34"/>
      <c r="I34" s="34"/>
      <c r="J34" s="34"/>
      <c r="K34" s="34"/>
      <c r="L34" s="20" t="s">
        <v>19</v>
      </c>
      <c r="M34" s="5"/>
    </row>
    <row r="35" spans="1:14" ht="14.1" customHeight="1" x14ac:dyDescent="0.25">
      <c r="A35" s="12"/>
      <c r="B35" s="45" t="s">
        <v>20</v>
      </c>
      <c r="C35" s="14" t="s">
        <v>10</v>
      </c>
      <c r="D35" s="15">
        <v>256</v>
      </c>
      <c r="E35" s="16" t="s">
        <v>11</v>
      </c>
      <c r="F35" s="15" t="s">
        <v>11</v>
      </c>
      <c r="G35" s="15" t="s">
        <v>11</v>
      </c>
      <c r="H35" s="15"/>
      <c r="I35" s="15"/>
      <c r="J35" s="15"/>
      <c r="K35" s="15"/>
      <c r="L35" s="17" t="s">
        <v>12</v>
      </c>
      <c r="M35" s="5" t="s">
        <v>13</v>
      </c>
      <c r="N35" s="5"/>
    </row>
    <row r="36" spans="1:14" ht="14.1" customHeight="1" x14ac:dyDescent="0.25">
      <c r="A36" s="18"/>
      <c r="B36" s="5"/>
      <c r="C36" s="19" t="s">
        <v>14</v>
      </c>
      <c r="D36" s="48">
        <v>0.03</v>
      </c>
      <c r="E36" s="48"/>
      <c r="F36" s="48"/>
      <c r="G36" s="48"/>
      <c r="H36" s="34"/>
      <c r="I36" s="34"/>
      <c r="J36" s="34"/>
      <c r="K36" s="34"/>
      <c r="L36" s="20" t="s">
        <v>15</v>
      </c>
      <c r="M36" s="5" t="s">
        <v>13</v>
      </c>
      <c r="N36" s="5"/>
    </row>
    <row r="37" spans="1:14" ht="14.1" customHeight="1" x14ac:dyDescent="0.25">
      <c r="A37" s="18"/>
      <c r="B37" s="5"/>
      <c r="C37" s="19" t="s">
        <v>16</v>
      </c>
      <c r="D37" s="47">
        <f>K37-J37</f>
        <v>36</v>
      </c>
      <c r="E37" s="47"/>
      <c r="F37" s="47"/>
      <c r="G37" s="47"/>
      <c r="H37" s="44">
        <v>15</v>
      </c>
      <c r="I37" s="44">
        <v>54</v>
      </c>
      <c r="J37" s="44">
        <f>IF(H37&lt;$K$4,$K$4,H37)</f>
        <v>18</v>
      </c>
      <c r="K37" s="44">
        <f>IF(I37&gt;$K$5,$K$5,I37)</f>
        <v>54</v>
      </c>
      <c r="L37" s="20" t="s">
        <v>50</v>
      </c>
      <c r="M37" s="5" t="s">
        <v>13</v>
      </c>
      <c r="N37" s="5"/>
    </row>
    <row r="38" spans="1:14" ht="14.1" customHeight="1" x14ac:dyDescent="0.25">
      <c r="A38" s="18"/>
      <c r="B38" s="5"/>
      <c r="C38" s="19" t="s">
        <v>54</v>
      </c>
      <c r="E38" s="34" t="s">
        <v>18</v>
      </c>
      <c r="F38" s="34" t="s">
        <v>18</v>
      </c>
      <c r="G38" s="34" t="s">
        <v>18</v>
      </c>
      <c r="H38" s="34"/>
      <c r="I38" s="34"/>
      <c r="J38" s="34"/>
      <c r="K38" s="34"/>
      <c r="L38" s="20" t="s">
        <v>19</v>
      </c>
      <c r="M38" s="5" t="s">
        <v>13</v>
      </c>
      <c r="N38" s="5"/>
    </row>
    <row r="39" spans="1:14" ht="14.1" customHeight="1" x14ac:dyDescent="0.25">
      <c r="A39" s="18"/>
      <c r="B39" s="5"/>
      <c r="C39" s="19" t="s">
        <v>51</v>
      </c>
      <c r="D39" s="46">
        <f>(PV(D36,(J37-$K$4),0,(PV(D36,D37,D35))))</f>
        <v>5589.0566395162732</v>
      </c>
      <c r="E39" s="34"/>
      <c r="F39" s="34"/>
      <c r="G39" s="34"/>
      <c r="H39" s="34"/>
      <c r="I39" s="34"/>
      <c r="J39" s="34"/>
      <c r="K39" s="34"/>
      <c r="L39" s="20" t="s">
        <v>19</v>
      </c>
      <c r="M39" s="5"/>
    </row>
    <row r="40" spans="1:14" ht="14.1" customHeight="1" x14ac:dyDescent="0.25">
      <c r="A40" s="12" t="s">
        <v>26</v>
      </c>
      <c r="B40" s="13" t="s">
        <v>9</v>
      </c>
      <c r="C40" s="14" t="s">
        <v>10</v>
      </c>
      <c r="D40" s="15">
        <f>(2.05*0.114)*1*365</f>
        <v>85.3005</v>
      </c>
      <c r="E40" s="16" t="s">
        <v>11</v>
      </c>
      <c r="F40" s="15" t="s">
        <v>11</v>
      </c>
      <c r="G40" s="15" t="s">
        <v>11</v>
      </c>
      <c r="H40" s="15"/>
      <c r="I40" s="15"/>
      <c r="J40" s="15"/>
      <c r="K40" s="15"/>
      <c r="L40" s="17" t="s">
        <v>27</v>
      </c>
      <c r="M40" s="5" t="s">
        <v>13</v>
      </c>
      <c r="N40" s="5"/>
    </row>
    <row r="41" spans="1:14" ht="14.1" customHeight="1" x14ac:dyDescent="0.25">
      <c r="A41" s="18"/>
      <c r="B41" s="5"/>
      <c r="C41" s="19" t="s">
        <v>14</v>
      </c>
      <c r="D41" s="48">
        <v>0.03</v>
      </c>
      <c r="E41" s="48"/>
      <c r="F41" s="48"/>
      <c r="G41" s="48"/>
      <c r="H41" s="34"/>
      <c r="I41" s="34"/>
      <c r="J41" s="34"/>
      <c r="K41" s="34"/>
      <c r="L41" s="20" t="s">
        <v>15</v>
      </c>
      <c r="M41" s="5" t="s">
        <v>13</v>
      </c>
      <c r="N41" s="5"/>
    </row>
    <row r="42" spans="1:14" ht="14.1" customHeight="1" x14ac:dyDescent="0.25">
      <c r="A42" s="18"/>
      <c r="B42" s="5"/>
      <c r="C42" s="19" t="s">
        <v>16</v>
      </c>
      <c r="D42" s="47">
        <f>K42-J42</f>
        <v>46</v>
      </c>
      <c r="E42" s="47"/>
      <c r="F42" s="47"/>
      <c r="G42" s="47"/>
      <c r="H42" s="44">
        <v>18</v>
      </c>
      <c r="I42" s="44">
        <v>64</v>
      </c>
      <c r="J42" s="44">
        <f>IF(H42&lt;$K$4,$K$4,H42)</f>
        <v>18</v>
      </c>
      <c r="K42" s="44">
        <f>IF(I42&gt;$K$5,$K$5,I42)</f>
        <v>64</v>
      </c>
      <c r="L42" s="20" t="s">
        <v>55</v>
      </c>
      <c r="M42" s="5" t="s">
        <v>13</v>
      </c>
      <c r="N42" s="5"/>
    </row>
    <row r="43" spans="1:14" ht="14.1" customHeight="1" x14ac:dyDescent="0.25">
      <c r="A43" s="18"/>
      <c r="B43" s="5"/>
      <c r="C43" s="19" t="s">
        <v>51</v>
      </c>
      <c r="D43" s="46">
        <f>(PV(D41,(J42-$K$4),0,(PV(D41,D42,D40))))</f>
        <v>2113.358193319501</v>
      </c>
      <c r="E43" s="34"/>
      <c r="F43" s="34"/>
      <c r="G43" s="34"/>
      <c r="H43" s="34"/>
      <c r="I43" s="34"/>
      <c r="J43" s="34"/>
      <c r="K43" s="34"/>
      <c r="L43" s="20" t="s">
        <v>19</v>
      </c>
      <c r="M43" s="5"/>
    </row>
    <row r="44" spans="1:14" ht="14.1" customHeight="1" x14ac:dyDescent="0.25">
      <c r="A44" s="12"/>
      <c r="B44" s="45" t="s">
        <v>20</v>
      </c>
      <c r="C44" s="14" t="s">
        <v>10</v>
      </c>
      <c r="D44" s="15">
        <f>(2.05*0.719)*1*365</f>
        <v>537.99174999999991</v>
      </c>
      <c r="E44" s="16" t="s">
        <v>11</v>
      </c>
      <c r="F44" s="15" t="s">
        <v>11</v>
      </c>
      <c r="G44" s="15" t="s">
        <v>11</v>
      </c>
      <c r="H44" s="15"/>
      <c r="I44" s="15"/>
      <c r="J44" s="15"/>
      <c r="K44" s="15"/>
      <c r="L44" s="17" t="s">
        <v>27</v>
      </c>
      <c r="M44" s="5" t="s">
        <v>13</v>
      </c>
      <c r="N44" s="5"/>
    </row>
    <row r="45" spans="1:14" ht="14.1" customHeight="1" x14ac:dyDescent="0.25">
      <c r="A45" s="18"/>
      <c r="B45" s="5"/>
      <c r="C45" s="19" t="s">
        <v>14</v>
      </c>
      <c r="D45" s="48">
        <v>0.03</v>
      </c>
      <c r="E45" s="48"/>
      <c r="F45" s="48"/>
      <c r="G45" s="48"/>
      <c r="H45" s="34"/>
      <c r="I45" s="34"/>
      <c r="J45" s="34"/>
      <c r="K45" s="34"/>
      <c r="L45" s="20" t="s">
        <v>15</v>
      </c>
      <c r="M45" s="5" t="s">
        <v>13</v>
      </c>
      <c r="N45" s="5"/>
    </row>
    <row r="46" spans="1:14" ht="14.1" customHeight="1" x14ac:dyDescent="0.25">
      <c r="A46" s="18"/>
      <c r="B46" s="5"/>
      <c r="C46" s="19" t="s">
        <v>16</v>
      </c>
      <c r="D46" s="47">
        <f>K46-J46</f>
        <v>46</v>
      </c>
      <c r="E46" s="47"/>
      <c r="F46" s="47"/>
      <c r="G46" s="47"/>
      <c r="H46" s="44">
        <v>18</v>
      </c>
      <c r="I46" s="44">
        <v>64</v>
      </c>
      <c r="J46" s="44">
        <f>IF(H46&lt;$K$4,$K$4,H46)</f>
        <v>18</v>
      </c>
      <c r="K46" s="44">
        <f>IF(I46&gt;$K$5,$K$5,I46)</f>
        <v>64</v>
      </c>
      <c r="L46" s="20" t="s">
        <v>55</v>
      </c>
      <c r="M46" s="5" t="s">
        <v>13</v>
      </c>
      <c r="N46" s="5"/>
    </row>
    <row r="47" spans="1:14" ht="14.1" customHeight="1" x14ac:dyDescent="0.25">
      <c r="A47" s="18"/>
      <c r="B47" s="5"/>
      <c r="C47" s="19" t="s">
        <v>51</v>
      </c>
      <c r="D47" s="46">
        <f>(PV(D45,(J46-$K$4),0,(PV(D45,D46,D44))))</f>
        <v>13328.987201725622</v>
      </c>
      <c r="E47" s="34"/>
      <c r="F47" s="34"/>
      <c r="G47" s="34"/>
      <c r="H47" s="34"/>
      <c r="I47" s="34"/>
      <c r="J47" s="34"/>
      <c r="K47" s="34"/>
      <c r="L47" s="20" t="s">
        <v>19</v>
      </c>
      <c r="M47" s="5"/>
    </row>
    <row r="48" spans="1:14" ht="14.1" customHeight="1" x14ac:dyDescent="0.25">
      <c r="A48" s="12"/>
      <c r="B48" s="45" t="s">
        <v>28</v>
      </c>
      <c r="C48" s="14" t="s">
        <v>10</v>
      </c>
      <c r="D48" s="15">
        <f>(2.05*0.167)*1*365</f>
        <v>124.95774999999999</v>
      </c>
      <c r="E48" s="16" t="s">
        <v>11</v>
      </c>
      <c r="F48" s="15" t="s">
        <v>11</v>
      </c>
      <c r="G48" s="15" t="s">
        <v>11</v>
      </c>
      <c r="H48" s="15"/>
      <c r="I48" s="15"/>
      <c r="J48" s="15"/>
      <c r="K48" s="15"/>
      <c r="L48" s="17" t="s">
        <v>27</v>
      </c>
      <c r="M48" s="5" t="s">
        <v>13</v>
      </c>
      <c r="N48" s="5"/>
    </row>
    <row r="49" spans="1:14" ht="14.1" customHeight="1" x14ac:dyDescent="0.25">
      <c r="A49" s="18"/>
      <c r="B49" s="5"/>
      <c r="C49" s="19" t="s">
        <v>14</v>
      </c>
      <c r="D49" s="48">
        <v>0.03</v>
      </c>
      <c r="E49" s="48"/>
      <c r="F49" s="48"/>
      <c r="G49" s="48"/>
      <c r="H49" s="34"/>
      <c r="I49" s="34"/>
      <c r="J49" s="34"/>
      <c r="K49" s="34"/>
      <c r="L49" s="20" t="s">
        <v>15</v>
      </c>
      <c r="M49" s="5" t="s">
        <v>13</v>
      </c>
      <c r="N49" s="5"/>
    </row>
    <row r="50" spans="1:14" ht="14.1" customHeight="1" x14ac:dyDescent="0.25">
      <c r="A50" s="18"/>
      <c r="B50" s="5"/>
      <c r="C50" s="19" t="s">
        <v>16</v>
      </c>
      <c r="D50" s="47">
        <f>K50-J50</f>
        <v>46</v>
      </c>
      <c r="E50" s="47"/>
      <c r="F50" s="47"/>
      <c r="G50" s="47"/>
      <c r="H50" s="44">
        <v>18</v>
      </c>
      <c r="I50" s="44">
        <v>64</v>
      </c>
      <c r="J50" s="44">
        <f>IF(H50&lt;$K$4,$K$4,H50)</f>
        <v>18</v>
      </c>
      <c r="K50" s="44">
        <f>IF(I50&gt;$K$5,$K$5,I50)</f>
        <v>64</v>
      </c>
      <c r="L50" s="20" t="s">
        <v>55</v>
      </c>
      <c r="M50" s="5" t="s">
        <v>13</v>
      </c>
      <c r="N50" s="5"/>
    </row>
    <row r="51" spans="1:14" ht="14.1" customHeight="1" x14ac:dyDescent="0.25">
      <c r="A51" s="18"/>
      <c r="B51" s="5"/>
      <c r="C51" s="19" t="s">
        <v>51</v>
      </c>
      <c r="D51" s="46">
        <f>(PV(D49,(J50-$K$4),0,(PV(D49,D50,D48))))</f>
        <v>3095.8843709154089</v>
      </c>
      <c r="E51" s="34"/>
      <c r="F51" s="34"/>
      <c r="G51" s="34"/>
      <c r="H51" s="34"/>
      <c r="I51" s="34"/>
      <c r="J51" s="34"/>
      <c r="K51" s="34"/>
      <c r="L51" s="20" t="s">
        <v>19</v>
      </c>
      <c r="M51" s="5"/>
    </row>
    <row r="52" spans="1:14" ht="14.1" customHeight="1" x14ac:dyDescent="0.25">
      <c r="A52" s="12" t="s">
        <v>29</v>
      </c>
      <c r="B52" s="13" t="s">
        <v>9</v>
      </c>
      <c r="C52" s="14" t="s">
        <v>10</v>
      </c>
      <c r="D52" s="15">
        <f>11416232000/19900000</f>
        <v>573.67999999999995</v>
      </c>
      <c r="E52" s="16" t="s">
        <v>11</v>
      </c>
      <c r="F52" s="15" t="s">
        <v>11</v>
      </c>
      <c r="G52" s="15" t="s">
        <v>11</v>
      </c>
      <c r="H52" s="15"/>
      <c r="I52" s="15"/>
      <c r="J52" s="15"/>
      <c r="K52" s="15"/>
      <c r="L52" s="17" t="s">
        <v>30</v>
      </c>
      <c r="M52" s="5" t="s">
        <v>13</v>
      </c>
      <c r="N52" s="5"/>
    </row>
    <row r="53" spans="1:14" ht="14.1" customHeight="1" x14ac:dyDescent="0.25">
      <c r="A53" s="18"/>
      <c r="B53" s="5"/>
      <c r="C53" s="19" t="s">
        <v>14</v>
      </c>
      <c r="D53" s="48">
        <v>0.03</v>
      </c>
      <c r="E53" s="48"/>
      <c r="F53" s="48"/>
      <c r="G53" s="48"/>
      <c r="H53" s="34"/>
      <c r="I53" s="34"/>
      <c r="J53" s="34"/>
      <c r="K53" s="34"/>
      <c r="L53" s="20" t="s">
        <v>15</v>
      </c>
      <c r="M53" s="5" t="s">
        <v>13</v>
      </c>
      <c r="N53" s="5"/>
    </row>
    <row r="54" spans="1:14" ht="14.1" customHeight="1" x14ac:dyDescent="0.25">
      <c r="A54" s="18"/>
      <c r="B54" s="5"/>
      <c r="C54" s="19" t="s">
        <v>16</v>
      </c>
      <c r="D54" s="47">
        <f>K54-J54</f>
        <v>36</v>
      </c>
      <c r="E54" s="47"/>
      <c r="F54" s="47"/>
      <c r="G54" s="47"/>
      <c r="H54" s="44">
        <v>15</v>
      </c>
      <c r="I54" s="44">
        <v>54</v>
      </c>
      <c r="J54" s="44">
        <f>IF(H54&lt;$K$4,$K$4,H54)</f>
        <v>18</v>
      </c>
      <c r="K54" s="44">
        <f>IF(I54&gt;$K$5,$K$5,I54)</f>
        <v>54</v>
      </c>
      <c r="L54" s="20" t="s">
        <v>56</v>
      </c>
      <c r="M54" s="5" t="s">
        <v>13</v>
      </c>
      <c r="N54" s="5"/>
    </row>
    <row r="55" spans="1:14" ht="14.1" customHeight="1" x14ac:dyDescent="0.25">
      <c r="A55" s="18"/>
      <c r="B55" s="5"/>
      <c r="C55" s="19" t="s">
        <v>51</v>
      </c>
      <c r="D55" s="46">
        <f>(PV(D53,(J54-$K$4),0,(PV(D53,D54,D52))))</f>
        <v>12524.726613115998</v>
      </c>
      <c r="E55" s="34"/>
      <c r="F55" s="34"/>
      <c r="G55" s="34"/>
      <c r="H55" s="34"/>
      <c r="I55" s="34"/>
      <c r="J55" s="34"/>
      <c r="K55" s="34"/>
      <c r="L55" s="20" t="s">
        <v>19</v>
      </c>
      <c r="M55" s="5"/>
    </row>
    <row r="56" spans="1:14" ht="14.1" customHeight="1" x14ac:dyDescent="0.25">
      <c r="A56" s="12"/>
      <c r="B56" s="45" t="s">
        <v>20</v>
      </c>
      <c r="C56" s="14" t="s">
        <v>10</v>
      </c>
      <c r="D56" s="15">
        <f>120304004000/19900000</f>
        <v>6045.4273366834168</v>
      </c>
      <c r="E56" s="16" t="s">
        <v>11</v>
      </c>
      <c r="F56" s="15" t="s">
        <v>11</v>
      </c>
      <c r="G56" s="15" t="s">
        <v>11</v>
      </c>
      <c r="H56" s="15"/>
      <c r="I56" s="15"/>
      <c r="J56" s="15"/>
      <c r="K56" s="15"/>
      <c r="L56" s="17" t="s">
        <v>30</v>
      </c>
      <c r="M56" s="5" t="s">
        <v>13</v>
      </c>
      <c r="N56" s="5"/>
    </row>
    <row r="57" spans="1:14" ht="14.1" customHeight="1" x14ac:dyDescent="0.25">
      <c r="A57" s="18"/>
      <c r="B57" s="5"/>
      <c r="C57" s="19" t="s">
        <v>14</v>
      </c>
      <c r="D57" s="48">
        <v>0.03</v>
      </c>
      <c r="E57" s="48"/>
      <c r="F57" s="48"/>
      <c r="G57" s="48"/>
      <c r="H57" s="34"/>
      <c r="I57" s="34"/>
      <c r="J57" s="34"/>
      <c r="K57" s="34"/>
      <c r="L57" s="20" t="s">
        <v>15</v>
      </c>
      <c r="M57" s="5" t="s">
        <v>13</v>
      </c>
      <c r="N57" s="5"/>
    </row>
    <row r="58" spans="1:14" ht="14.1" customHeight="1" x14ac:dyDescent="0.25">
      <c r="A58" s="18"/>
      <c r="B58" s="5"/>
      <c r="C58" s="19" t="s">
        <v>16</v>
      </c>
      <c r="D58" s="47">
        <f>K58-J58</f>
        <v>36</v>
      </c>
      <c r="E58" s="47"/>
      <c r="F58" s="47"/>
      <c r="G58" s="47"/>
      <c r="H58" s="44">
        <v>15</v>
      </c>
      <c r="I58" s="44">
        <v>54</v>
      </c>
      <c r="J58" s="44">
        <f>IF(H58&lt;$K$4,$K$4,H58)</f>
        <v>18</v>
      </c>
      <c r="K58" s="44">
        <f>IF(I58&gt;$K$5,$K$5,I58)</f>
        <v>54</v>
      </c>
      <c r="L58" s="20" t="s">
        <v>56</v>
      </c>
      <c r="M58" s="5" t="s">
        <v>13</v>
      </c>
      <c r="N58" s="5"/>
    </row>
    <row r="59" spans="1:14" ht="14.1" customHeight="1" x14ac:dyDescent="0.25">
      <c r="A59" s="18"/>
      <c r="B59" s="5"/>
      <c r="C59" s="19" t="s">
        <v>51</v>
      </c>
      <c r="D59" s="46">
        <f>(PV(D57,(J58-$K$4),0,(PV(D57,D58,D56))))</f>
        <v>131985.29607345167</v>
      </c>
      <c r="E59" s="34"/>
      <c r="F59" s="34"/>
      <c r="G59" s="34"/>
      <c r="H59" s="34"/>
      <c r="I59" s="34"/>
      <c r="J59" s="34"/>
      <c r="K59" s="34"/>
      <c r="L59" s="20" t="s">
        <v>19</v>
      </c>
      <c r="M59" s="5"/>
    </row>
    <row r="60" spans="1:14" ht="14.1" customHeight="1" x14ac:dyDescent="0.25">
      <c r="A60" s="12"/>
      <c r="B60" s="45" t="s">
        <v>28</v>
      </c>
      <c r="C60" s="14" t="s">
        <v>10</v>
      </c>
      <c r="D60" s="15">
        <f>61376694000/19900000</f>
        <v>3084.2559798994976</v>
      </c>
      <c r="E60" s="16" t="s">
        <v>11</v>
      </c>
      <c r="F60" s="15" t="s">
        <v>11</v>
      </c>
      <c r="G60" s="15" t="s">
        <v>11</v>
      </c>
      <c r="H60" s="15"/>
      <c r="I60" s="15"/>
      <c r="J60" s="15"/>
      <c r="K60" s="15"/>
      <c r="L60" s="17" t="s">
        <v>30</v>
      </c>
      <c r="M60" s="5" t="s">
        <v>13</v>
      </c>
      <c r="N60" s="5"/>
    </row>
    <row r="61" spans="1:14" ht="14.1" customHeight="1" x14ac:dyDescent="0.25">
      <c r="A61" s="18"/>
      <c r="B61" s="5"/>
      <c r="C61" s="19" t="s">
        <v>14</v>
      </c>
      <c r="D61" s="48">
        <v>0.03</v>
      </c>
      <c r="E61" s="48"/>
      <c r="F61" s="48"/>
      <c r="G61" s="48"/>
      <c r="H61" s="34"/>
      <c r="I61" s="34"/>
      <c r="J61" s="34"/>
      <c r="K61" s="34"/>
      <c r="L61" s="20" t="s">
        <v>15</v>
      </c>
      <c r="M61" s="5" t="s">
        <v>13</v>
      </c>
      <c r="N61" s="5"/>
    </row>
    <row r="62" spans="1:14" ht="14.1" customHeight="1" x14ac:dyDescent="0.25">
      <c r="A62" s="18"/>
      <c r="B62" s="5"/>
      <c r="C62" s="19" t="s">
        <v>16</v>
      </c>
      <c r="D62" s="47">
        <f>K62-J62</f>
        <v>36</v>
      </c>
      <c r="E62" s="47"/>
      <c r="F62" s="47"/>
      <c r="G62" s="47"/>
      <c r="H62" s="44">
        <v>15</v>
      </c>
      <c r="I62" s="44">
        <v>54</v>
      </c>
      <c r="J62" s="44">
        <f>IF(H62&lt;$K$4,$K$4,H62)</f>
        <v>18</v>
      </c>
      <c r="K62" s="44">
        <f>IF(I62&gt;$K$5,$K$5,I62)</f>
        <v>54</v>
      </c>
      <c r="L62" s="20" t="s">
        <v>56</v>
      </c>
      <c r="M62" s="5" t="s">
        <v>13</v>
      </c>
      <c r="N62" s="5"/>
    </row>
    <row r="63" spans="1:14" ht="14.1" customHeight="1" x14ac:dyDescent="0.25">
      <c r="A63" s="18"/>
      <c r="B63" s="5"/>
      <c r="C63" s="19" t="s">
        <v>51</v>
      </c>
      <c r="D63" s="46">
        <f>(PV(D61,(J62-$K$4),0,(PV(D61,D62,D60))))</f>
        <v>67336.255321972872</v>
      </c>
      <c r="E63" s="34"/>
      <c r="F63" s="34"/>
      <c r="G63" s="34"/>
      <c r="H63" s="34"/>
      <c r="I63" s="34"/>
      <c r="J63" s="34"/>
      <c r="K63" s="34"/>
      <c r="L63" s="20" t="s">
        <v>19</v>
      </c>
      <c r="M63" s="5"/>
    </row>
    <row r="64" spans="1:14" ht="14.1" customHeight="1" x14ac:dyDescent="0.25">
      <c r="A64" s="12" t="s">
        <v>57</v>
      </c>
      <c r="B64" s="13" t="s">
        <v>9</v>
      </c>
      <c r="C64" s="14" t="s">
        <v>58</v>
      </c>
      <c r="D64" s="15">
        <v>3744.6176915322585</v>
      </c>
      <c r="E64" s="16" t="s">
        <v>11</v>
      </c>
      <c r="F64" s="15" t="s">
        <v>11</v>
      </c>
      <c r="G64" s="15" t="s">
        <v>11</v>
      </c>
      <c r="H64" s="15"/>
      <c r="I64" s="15"/>
      <c r="J64" s="15"/>
      <c r="K64" s="15"/>
      <c r="L64" s="17" t="s">
        <v>30</v>
      </c>
      <c r="M64" s="5" t="s">
        <v>13</v>
      </c>
      <c r="N64" s="5"/>
    </row>
    <row r="65" spans="1:14" ht="14.1" customHeight="1" x14ac:dyDescent="0.25">
      <c r="A65" s="18"/>
      <c r="B65" s="5"/>
      <c r="C65" s="19" t="s">
        <v>14</v>
      </c>
      <c r="D65" s="48">
        <v>0.03</v>
      </c>
      <c r="E65" s="48"/>
      <c r="F65" s="48"/>
      <c r="G65" s="48"/>
      <c r="H65" s="34"/>
      <c r="I65" s="34"/>
      <c r="J65" s="34"/>
      <c r="K65" s="34"/>
      <c r="L65" s="20" t="s">
        <v>15</v>
      </c>
      <c r="M65" s="5" t="s">
        <v>13</v>
      </c>
      <c r="N65" s="5"/>
    </row>
    <row r="66" spans="1:14" ht="14.1" customHeight="1" x14ac:dyDescent="0.25">
      <c r="A66" s="18"/>
      <c r="B66" s="5"/>
      <c r="C66" s="19" t="s">
        <v>16</v>
      </c>
      <c r="D66" s="47">
        <f>K66-J66</f>
        <v>55</v>
      </c>
      <c r="E66" s="47"/>
      <c r="F66" s="47"/>
      <c r="G66" s="47"/>
      <c r="H66" s="44">
        <v>24</v>
      </c>
      <c r="I66" s="44" t="s">
        <v>11</v>
      </c>
      <c r="J66" s="44">
        <f>IF(H66&lt;$K$4,$K$4,H66)</f>
        <v>24</v>
      </c>
      <c r="K66" s="44">
        <f>IF(I66&gt;$K$5,$K$5,I66)</f>
        <v>79</v>
      </c>
      <c r="L66" s="20" t="s">
        <v>56</v>
      </c>
      <c r="M66" s="5" t="s">
        <v>13</v>
      </c>
      <c r="N66" s="5"/>
    </row>
    <row r="67" spans="1:14" ht="14.1" customHeight="1" x14ac:dyDescent="0.25">
      <c r="A67" s="18"/>
      <c r="B67" s="5"/>
      <c r="C67" s="19" t="s">
        <v>51</v>
      </c>
      <c r="D67" s="23">
        <f>(PV(D65,(J66-$K$4),0,D64))*-1</f>
        <v>3136.0583639573556</v>
      </c>
      <c r="E67" s="34"/>
      <c r="F67" s="34"/>
      <c r="G67" s="34"/>
      <c r="H67" s="34"/>
      <c r="I67" s="34"/>
      <c r="J67" s="34"/>
      <c r="K67" s="34"/>
      <c r="L67" s="20" t="s">
        <v>19</v>
      </c>
      <c r="M67" s="5"/>
    </row>
    <row r="68" spans="1:14" ht="14.1" customHeight="1" x14ac:dyDescent="0.25">
      <c r="A68" s="12"/>
      <c r="B68" s="45" t="s">
        <v>20</v>
      </c>
      <c r="C68" s="14" t="s">
        <v>58</v>
      </c>
      <c r="D68" s="15">
        <v>46614.034022177409</v>
      </c>
      <c r="E68" s="16" t="s">
        <v>11</v>
      </c>
      <c r="F68" s="15" t="s">
        <v>11</v>
      </c>
      <c r="G68" s="15" t="s">
        <v>11</v>
      </c>
      <c r="H68" s="15"/>
      <c r="I68" s="15"/>
      <c r="J68" s="15"/>
      <c r="K68" s="15"/>
      <c r="L68" s="17" t="s">
        <v>30</v>
      </c>
      <c r="M68" s="5" t="s">
        <v>13</v>
      </c>
      <c r="N68" s="5"/>
    </row>
    <row r="69" spans="1:14" ht="14.1" customHeight="1" x14ac:dyDescent="0.25">
      <c r="A69" s="18"/>
      <c r="B69" s="5"/>
      <c r="C69" s="19" t="s">
        <v>14</v>
      </c>
      <c r="D69" s="48">
        <v>0.03</v>
      </c>
      <c r="E69" s="48"/>
      <c r="F69" s="48"/>
      <c r="G69" s="48"/>
      <c r="H69" s="34"/>
      <c r="I69" s="34"/>
      <c r="J69" s="34"/>
      <c r="K69" s="34"/>
      <c r="L69" s="20" t="s">
        <v>15</v>
      </c>
      <c r="M69" s="5" t="s">
        <v>13</v>
      </c>
      <c r="N69" s="5"/>
    </row>
    <row r="70" spans="1:14" ht="14.1" customHeight="1" x14ac:dyDescent="0.25">
      <c r="A70" s="18"/>
      <c r="B70" s="5"/>
      <c r="C70" s="19" t="s">
        <v>16</v>
      </c>
      <c r="D70" s="47">
        <f>K70-J70</f>
        <v>55</v>
      </c>
      <c r="E70" s="47"/>
      <c r="F70" s="47"/>
      <c r="G70" s="47"/>
      <c r="H70" s="44">
        <v>24</v>
      </c>
      <c r="I70" s="44" t="s">
        <v>11</v>
      </c>
      <c r="J70" s="44">
        <f>IF(H70&lt;$K$4,$K$4,H70)</f>
        <v>24</v>
      </c>
      <c r="K70" s="44">
        <f>IF(I70&gt;$K$5,$K$5,I70)</f>
        <v>79</v>
      </c>
      <c r="L70" s="20" t="s">
        <v>56</v>
      </c>
      <c r="M70" s="5" t="s">
        <v>13</v>
      </c>
      <c r="N70" s="5"/>
    </row>
    <row r="71" spans="1:14" ht="14.1" customHeight="1" x14ac:dyDescent="0.25">
      <c r="A71" s="18"/>
      <c r="B71" s="5"/>
      <c r="C71" s="19" t="s">
        <v>51</v>
      </c>
      <c r="D71" s="23">
        <f>(PV(D69,(J70-$K$4),0,D68))*-1</f>
        <v>39038.519634089826</v>
      </c>
      <c r="E71" s="34"/>
      <c r="F71" s="34"/>
      <c r="G71" s="34"/>
      <c r="H71" s="34"/>
      <c r="I71" s="34"/>
      <c r="J71" s="34"/>
      <c r="K71" s="34"/>
      <c r="L71" s="20" t="s">
        <v>19</v>
      </c>
      <c r="M71" s="5"/>
    </row>
    <row r="72" spans="1:14" ht="14.1" customHeight="1" x14ac:dyDescent="0.25">
      <c r="A72" s="12"/>
      <c r="B72" s="45" t="s">
        <v>28</v>
      </c>
      <c r="C72" s="14" t="s">
        <v>58</v>
      </c>
      <c r="D72" s="15">
        <v>10157.813508064517</v>
      </c>
      <c r="E72" s="16" t="s">
        <v>11</v>
      </c>
      <c r="F72" s="15" t="s">
        <v>11</v>
      </c>
      <c r="G72" s="15" t="s">
        <v>11</v>
      </c>
      <c r="H72" s="15"/>
      <c r="I72" s="15"/>
      <c r="J72" s="15"/>
      <c r="K72" s="15"/>
      <c r="L72" s="17" t="s">
        <v>30</v>
      </c>
      <c r="M72" s="5" t="s">
        <v>13</v>
      </c>
      <c r="N72" s="5"/>
    </row>
    <row r="73" spans="1:14" ht="14.1" customHeight="1" x14ac:dyDescent="0.25">
      <c r="A73" s="18"/>
      <c r="B73" s="5"/>
      <c r="C73" s="19" t="s">
        <v>14</v>
      </c>
      <c r="D73" s="48">
        <v>0.03</v>
      </c>
      <c r="E73" s="48"/>
      <c r="F73" s="48"/>
      <c r="G73" s="48"/>
      <c r="H73" s="34"/>
      <c r="I73" s="34"/>
      <c r="J73" s="34"/>
      <c r="K73" s="34"/>
      <c r="L73" s="20" t="s">
        <v>15</v>
      </c>
      <c r="M73" s="5" t="s">
        <v>13</v>
      </c>
      <c r="N73" s="5"/>
    </row>
    <row r="74" spans="1:14" ht="14.1" customHeight="1" x14ac:dyDescent="0.25">
      <c r="A74" s="18"/>
      <c r="B74" s="5"/>
      <c r="C74" s="19" t="s">
        <v>16</v>
      </c>
      <c r="D74" s="47">
        <f>K74-J74</f>
        <v>55</v>
      </c>
      <c r="E74" s="47"/>
      <c r="F74" s="47"/>
      <c r="G74" s="47"/>
      <c r="H74" s="44">
        <v>24</v>
      </c>
      <c r="I74" s="44" t="s">
        <v>11</v>
      </c>
      <c r="J74" s="44">
        <f>IF(H74&lt;$K$4,$K$4,H74)</f>
        <v>24</v>
      </c>
      <c r="K74" s="44">
        <f>IF(I74&gt;$K$5,$K$5,I74)</f>
        <v>79</v>
      </c>
      <c r="L74" s="20" t="s">
        <v>56</v>
      </c>
      <c r="M74" s="5" t="s">
        <v>13</v>
      </c>
      <c r="N74" s="5"/>
    </row>
    <row r="75" spans="1:14" ht="14.1" customHeight="1" x14ac:dyDescent="0.25">
      <c r="A75" s="18"/>
      <c r="B75" s="5"/>
      <c r="C75" s="19" t="s">
        <v>51</v>
      </c>
      <c r="D75" s="23">
        <f>(PV(D73,(J74-$K$4),0,D72))*-1</f>
        <v>8507.0088953325958</v>
      </c>
      <c r="E75" s="34"/>
      <c r="F75" s="34"/>
      <c r="G75" s="34"/>
      <c r="H75" s="34"/>
      <c r="I75" s="34"/>
      <c r="J75" s="34"/>
      <c r="K75" s="34"/>
      <c r="L75" s="20" t="s">
        <v>19</v>
      </c>
      <c r="M75" s="5"/>
    </row>
    <row r="76" spans="1:14" ht="14.1" customHeight="1" x14ac:dyDescent="0.25">
      <c r="A76" s="12" t="s">
        <v>31</v>
      </c>
      <c r="B76" s="13" t="s">
        <v>9</v>
      </c>
      <c r="C76" s="14" t="s">
        <v>10</v>
      </c>
      <c r="D76" s="15">
        <v>3259</v>
      </c>
      <c r="E76" s="16" t="s">
        <v>11</v>
      </c>
      <c r="F76" s="15" t="s">
        <v>11</v>
      </c>
      <c r="G76" s="15" t="s">
        <v>11</v>
      </c>
      <c r="H76" s="15"/>
      <c r="I76" s="15"/>
      <c r="J76" s="15"/>
      <c r="K76" s="15"/>
      <c r="L76" s="17" t="s">
        <v>32</v>
      </c>
      <c r="M76" s="5" t="s">
        <v>13</v>
      </c>
    </row>
    <row r="77" spans="1:14" ht="14.1" customHeight="1" x14ac:dyDescent="0.25">
      <c r="A77" s="18"/>
      <c r="B77" s="5"/>
      <c r="C77" s="19" t="s">
        <v>14</v>
      </c>
      <c r="D77" s="48">
        <v>0.03</v>
      </c>
      <c r="E77" s="48"/>
      <c r="F77" s="48"/>
      <c r="G77" s="48"/>
      <c r="H77" s="34"/>
      <c r="I77" s="34"/>
      <c r="J77" s="34"/>
      <c r="K77" s="34"/>
      <c r="L77" s="20" t="s">
        <v>15</v>
      </c>
      <c r="M77" s="5" t="s">
        <v>13</v>
      </c>
    </row>
    <row r="78" spans="1:14" ht="14.1" customHeight="1" x14ac:dyDescent="0.25">
      <c r="A78" s="18"/>
      <c r="B78" s="5"/>
      <c r="C78" s="19" t="s">
        <v>16</v>
      </c>
      <c r="D78" s="47">
        <f>K78-J78</f>
        <v>41</v>
      </c>
      <c r="E78" s="47"/>
      <c r="F78" s="47"/>
      <c r="G78" s="47"/>
      <c r="H78" s="44">
        <v>24</v>
      </c>
      <c r="I78" s="44">
        <v>65</v>
      </c>
      <c r="J78" s="44">
        <f>IF(H78&lt;$K$4,$K$4,H78)</f>
        <v>24</v>
      </c>
      <c r="K78" s="44">
        <f>IF(I78&gt;$K$5,$K$5,I78)</f>
        <v>65</v>
      </c>
      <c r="L78" s="20" t="s">
        <v>50</v>
      </c>
      <c r="M78" s="5" t="s">
        <v>13</v>
      </c>
    </row>
    <row r="79" spans="1:14" ht="14.1" customHeight="1" x14ac:dyDescent="0.25">
      <c r="A79" s="18"/>
      <c r="B79" s="5"/>
      <c r="C79" s="19" t="s">
        <v>51</v>
      </c>
      <c r="D79" s="46">
        <f>(PV(D77,(J78-$K$4),0,(PV(D77,D78,D76))))</f>
        <v>63900.895915687441</v>
      </c>
      <c r="E79" s="34"/>
      <c r="F79" s="34"/>
      <c r="G79" s="34"/>
      <c r="H79" s="34"/>
      <c r="I79" s="34"/>
      <c r="J79" s="34"/>
      <c r="K79" s="34"/>
      <c r="L79" s="20" t="s">
        <v>19</v>
      </c>
      <c r="M79" s="5"/>
    </row>
    <row r="80" spans="1:14" ht="14.1" customHeight="1" x14ac:dyDescent="0.25">
      <c r="A80" s="12"/>
      <c r="B80" s="45" t="s">
        <v>20</v>
      </c>
      <c r="C80" s="14" t="s">
        <v>10</v>
      </c>
      <c r="D80" s="15">
        <v>301</v>
      </c>
      <c r="E80" s="16" t="s">
        <v>11</v>
      </c>
      <c r="F80" s="15" t="s">
        <v>11</v>
      </c>
      <c r="G80" s="15" t="s">
        <v>11</v>
      </c>
      <c r="H80" s="15"/>
      <c r="I80" s="15"/>
      <c r="J80" s="15"/>
      <c r="K80" s="15"/>
      <c r="L80" s="17" t="s">
        <v>32</v>
      </c>
      <c r="M80" s="5" t="s">
        <v>13</v>
      </c>
    </row>
    <row r="81" spans="1:19" ht="14.1" customHeight="1" x14ac:dyDescent="0.25">
      <c r="A81" s="18"/>
      <c r="B81" s="5"/>
      <c r="C81" s="19" t="s">
        <v>14</v>
      </c>
      <c r="D81" s="48">
        <v>0.03</v>
      </c>
      <c r="E81" s="48"/>
      <c r="F81" s="48"/>
      <c r="G81" s="48"/>
      <c r="H81" s="34"/>
      <c r="I81" s="34"/>
      <c r="J81" s="34"/>
      <c r="K81" s="34"/>
      <c r="L81" s="20" t="s">
        <v>15</v>
      </c>
      <c r="M81" s="5" t="s">
        <v>13</v>
      </c>
    </row>
    <row r="82" spans="1:19" ht="14.1" customHeight="1" x14ac:dyDescent="0.25">
      <c r="A82" s="18"/>
      <c r="B82" s="5"/>
      <c r="C82" s="19" t="s">
        <v>16</v>
      </c>
      <c r="D82" s="47">
        <f>K82-J82</f>
        <v>41</v>
      </c>
      <c r="E82" s="47"/>
      <c r="F82" s="47"/>
      <c r="G82" s="47"/>
      <c r="H82" s="44">
        <v>24</v>
      </c>
      <c r="I82" s="44">
        <v>65</v>
      </c>
      <c r="J82" s="44">
        <f>IF(H82&lt;$K$4,$K$4,H82)</f>
        <v>24</v>
      </c>
      <c r="K82" s="44">
        <f>IF(I82&gt;$K$5,$K$5,I82)</f>
        <v>65</v>
      </c>
      <c r="L82" s="20" t="s">
        <v>50</v>
      </c>
      <c r="M82" s="5" t="s">
        <v>13</v>
      </c>
    </row>
    <row r="83" spans="1:19" ht="14.1" customHeight="1" x14ac:dyDescent="0.25">
      <c r="A83" s="18"/>
      <c r="B83" s="5"/>
      <c r="C83" s="19" t="s">
        <v>51</v>
      </c>
      <c r="D83" s="46">
        <f>(PV(D81,(J82-$K$4),0,(PV(D81,D82,D80))))</f>
        <v>5901.8624334525675</v>
      </c>
      <c r="E83" s="34"/>
      <c r="F83" s="34"/>
      <c r="G83" s="34"/>
      <c r="H83" s="34"/>
      <c r="I83" s="34"/>
      <c r="J83" s="34"/>
      <c r="K83" s="34"/>
      <c r="L83" s="20" t="s">
        <v>19</v>
      </c>
      <c r="M83" s="5"/>
    </row>
    <row r="84" spans="1:19" ht="14.1" customHeight="1" x14ac:dyDescent="0.25">
      <c r="A84" s="12" t="s">
        <v>33</v>
      </c>
      <c r="B84" s="13" t="s">
        <v>9</v>
      </c>
      <c r="C84" s="14" t="s">
        <v>10</v>
      </c>
      <c r="D84" s="15">
        <v>3293</v>
      </c>
      <c r="E84" s="16" t="s">
        <v>11</v>
      </c>
      <c r="F84" s="15" t="s">
        <v>11</v>
      </c>
      <c r="G84" s="15" t="s">
        <v>11</v>
      </c>
      <c r="H84" s="15"/>
      <c r="I84" s="15"/>
      <c r="J84" s="15"/>
      <c r="K84" s="15"/>
      <c r="L84" s="17" t="s">
        <v>34</v>
      </c>
      <c r="M84" s="5" t="s">
        <v>13</v>
      </c>
      <c r="S84" s="2" t="s">
        <v>13</v>
      </c>
    </row>
    <row r="85" spans="1:19" ht="14.1" customHeight="1" x14ac:dyDescent="0.25">
      <c r="A85" s="18"/>
      <c r="B85" s="5"/>
      <c r="C85" s="19" t="s">
        <v>14</v>
      </c>
      <c r="D85" s="48">
        <v>0.03</v>
      </c>
      <c r="E85" s="48"/>
      <c r="F85" s="48"/>
      <c r="G85" s="48"/>
      <c r="H85" s="34"/>
      <c r="I85" s="34"/>
      <c r="J85" s="34"/>
      <c r="K85" s="34"/>
      <c r="L85" s="20" t="s">
        <v>15</v>
      </c>
      <c r="M85" s="5" t="s">
        <v>13</v>
      </c>
      <c r="S85" s="2" t="s">
        <v>13</v>
      </c>
    </row>
    <row r="86" spans="1:19" ht="14.1" customHeight="1" x14ac:dyDescent="0.25">
      <c r="A86" s="18"/>
      <c r="B86" s="5"/>
      <c r="C86" s="19" t="s">
        <v>16</v>
      </c>
      <c r="D86" s="47">
        <f>K86-J86</f>
        <v>33</v>
      </c>
      <c r="E86" s="47"/>
      <c r="F86" s="47"/>
      <c r="G86" s="47"/>
      <c r="H86" s="44">
        <v>32</v>
      </c>
      <c r="I86" s="44">
        <v>65</v>
      </c>
      <c r="J86" s="44">
        <f>IF(H86&lt;$K$4,$K$4,H86)</f>
        <v>32</v>
      </c>
      <c r="K86" s="44">
        <f>IF(I86&gt;$K$5,$K$5,I86)</f>
        <v>65</v>
      </c>
      <c r="L86" s="20" t="s">
        <v>50</v>
      </c>
      <c r="M86" s="5" t="s">
        <v>13</v>
      </c>
      <c r="S86" s="2" t="s">
        <v>13</v>
      </c>
    </row>
    <row r="87" spans="1:19" ht="14.1" customHeight="1" x14ac:dyDescent="0.25">
      <c r="A87" s="18"/>
      <c r="B87" s="5"/>
      <c r="C87" s="19" t="s">
        <v>51</v>
      </c>
      <c r="D87" s="46">
        <f>(PV(D85,(J86-$K$4),0,(PV(D85,D86,D84))))</f>
        <v>45208.394049669143</v>
      </c>
      <c r="E87" s="34"/>
      <c r="F87" s="34"/>
      <c r="G87" s="34"/>
      <c r="H87" s="34"/>
      <c r="I87" s="34"/>
      <c r="J87" s="34"/>
      <c r="K87" s="34"/>
      <c r="L87" s="20" t="s">
        <v>19</v>
      </c>
      <c r="M87" s="5"/>
    </row>
    <row r="88" spans="1:19" ht="14.1" customHeight="1" x14ac:dyDescent="0.25">
      <c r="A88" s="12"/>
      <c r="B88" s="45" t="s">
        <v>20</v>
      </c>
      <c r="C88" s="14" t="s">
        <v>10</v>
      </c>
      <c r="D88" s="15">
        <v>1330</v>
      </c>
      <c r="E88" s="16" t="s">
        <v>11</v>
      </c>
      <c r="F88" s="15" t="s">
        <v>11</v>
      </c>
      <c r="G88" s="15" t="s">
        <v>11</v>
      </c>
      <c r="H88" s="15"/>
      <c r="I88" s="15"/>
      <c r="J88" s="15"/>
      <c r="K88" s="15"/>
      <c r="L88" s="17" t="s">
        <v>34</v>
      </c>
      <c r="M88" s="5" t="s">
        <v>13</v>
      </c>
      <c r="S88" s="2" t="s">
        <v>13</v>
      </c>
    </row>
    <row r="89" spans="1:19" ht="14.1" customHeight="1" x14ac:dyDescent="0.25">
      <c r="A89" s="18"/>
      <c r="B89" s="5"/>
      <c r="C89" s="19" t="s">
        <v>14</v>
      </c>
      <c r="D89" s="48">
        <v>0.03</v>
      </c>
      <c r="E89" s="48"/>
      <c r="F89" s="48"/>
      <c r="G89" s="48"/>
      <c r="H89" s="34"/>
      <c r="I89" s="34"/>
      <c r="J89" s="34"/>
      <c r="K89" s="34"/>
      <c r="L89" s="20" t="s">
        <v>15</v>
      </c>
      <c r="M89" s="5" t="s">
        <v>13</v>
      </c>
      <c r="S89" s="2" t="s">
        <v>13</v>
      </c>
    </row>
    <row r="90" spans="1:19" ht="14.1" customHeight="1" x14ac:dyDescent="0.25">
      <c r="A90" s="18"/>
      <c r="B90" s="5"/>
      <c r="C90" s="19" t="s">
        <v>16</v>
      </c>
      <c r="D90" s="47">
        <f>K90-J90</f>
        <v>33</v>
      </c>
      <c r="E90" s="47"/>
      <c r="F90" s="47"/>
      <c r="G90" s="47"/>
      <c r="H90" s="44">
        <v>32</v>
      </c>
      <c r="I90" s="44">
        <v>65</v>
      </c>
      <c r="J90" s="44">
        <f>IF(H90&lt;$K$4,$K$4,H90)</f>
        <v>32</v>
      </c>
      <c r="K90" s="44">
        <f>IF(I90&gt;$K$5,$K$5,I90)</f>
        <v>65</v>
      </c>
      <c r="L90" s="20" t="s">
        <v>50</v>
      </c>
      <c r="M90" s="5" t="s">
        <v>13</v>
      </c>
    </row>
    <row r="91" spans="1:19" ht="14.1" customHeight="1" x14ac:dyDescent="0.25">
      <c r="A91" s="18"/>
      <c r="B91" s="5"/>
      <c r="C91" s="19" t="s">
        <v>51</v>
      </c>
      <c r="D91" s="46">
        <f>(PV(D89,(J90-$K$4),0,(PV(D89,D90,D88))))</f>
        <v>18259.084143959903</v>
      </c>
      <c r="E91" s="34"/>
      <c r="F91" s="34"/>
      <c r="G91" s="34"/>
      <c r="H91" s="34"/>
      <c r="I91" s="34"/>
      <c r="J91" s="34"/>
      <c r="K91" s="34"/>
      <c r="L91" s="20" t="s">
        <v>19</v>
      </c>
      <c r="M91" s="5"/>
    </row>
    <row r="92" spans="1:19" ht="14.1" customHeight="1" x14ac:dyDescent="0.25">
      <c r="A92" s="12" t="s">
        <v>35</v>
      </c>
      <c r="B92" s="13" t="s">
        <v>9</v>
      </c>
      <c r="C92" s="14" t="s">
        <v>10</v>
      </c>
      <c r="D92" s="15">
        <v>649.07000000000005</v>
      </c>
      <c r="E92" s="16" t="s">
        <v>11</v>
      </c>
      <c r="F92" s="15" t="s">
        <v>11</v>
      </c>
      <c r="G92" s="15" t="s">
        <v>11</v>
      </c>
      <c r="H92" s="15"/>
      <c r="I92" s="15"/>
      <c r="J92" s="15"/>
      <c r="K92" s="15"/>
      <c r="L92" s="17" t="s">
        <v>36</v>
      </c>
      <c r="M92" s="5" t="s">
        <v>13</v>
      </c>
    </row>
    <row r="93" spans="1:19" ht="14.1" customHeight="1" x14ac:dyDescent="0.25">
      <c r="A93" s="18"/>
      <c r="B93" s="5"/>
      <c r="C93" s="19" t="s">
        <v>14</v>
      </c>
      <c r="D93" s="48">
        <v>0.03</v>
      </c>
      <c r="E93" s="48"/>
      <c r="F93" s="48"/>
      <c r="G93" s="48"/>
      <c r="H93" s="34"/>
      <c r="I93" s="34"/>
      <c r="J93" s="34"/>
      <c r="K93" s="34"/>
      <c r="L93" s="20" t="s">
        <v>15</v>
      </c>
      <c r="M93" s="5" t="s">
        <v>13</v>
      </c>
    </row>
    <row r="94" spans="1:19" ht="14.1" customHeight="1" x14ac:dyDescent="0.25">
      <c r="A94" s="18"/>
      <c r="B94" s="5"/>
      <c r="C94" s="19" t="s">
        <v>16</v>
      </c>
      <c r="D94" s="47">
        <f>K94-J94</f>
        <v>41</v>
      </c>
      <c r="E94" s="47"/>
      <c r="F94" s="47"/>
      <c r="G94" s="47"/>
      <c r="H94" s="44">
        <v>24</v>
      </c>
      <c r="I94" s="44">
        <v>65</v>
      </c>
      <c r="J94" s="44">
        <f>IF(H94&lt;$K$4,$K$4,H94)</f>
        <v>24</v>
      </c>
      <c r="K94" s="44">
        <f>IF(I94&gt;$K$5,$K$5,I94)</f>
        <v>65</v>
      </c>
      <c r="L94" s="20" t="s">
        <v>50</v>
      </c>
      <c r="M94" s="5" t="s">
        <v>13</v>
      </c>
    </row>
    <row r="95" spans="1:19" ht="14.1" customHeight="1" x14ac:dyDescent="0.25">
      <c r="A95" s="18"/>
      <c r="B95" s="5"/>
      <c r="C95" s="19" t="s">
        <v>51</v>
      </c>
      <c r="D95" s="46">
        <f>(PV(D93,(J94-$K$4),0,(PV(D93,D94,D92))))</f>
        <v>12726.650663392222</v>
      </c>
      <c r="E95" s="34"/>
      <c r="F95" s="34"/>
      <c r="G95" s="34"/>
      <c r="H95" s="34"/>
      <c r="I95" s="34"/>
      <c r="J95" s="34"/>
      <c r="K95" s="34"/>
      <c r="L95" s="20" t="s">
        <v>19</v>
      </c>
      <c r="M95" s="5"/>
    </row>
    <row r="96" spans="1:19" ht="14.1" customHeight="1" x14ac:dyDescent="0.25">
      <c r="A96" s="12"/>
      <c r="B96" s="45" t="s">
        <v>20</v>
      </c>
      <c r="C96" s="14" t="s">
        <v>10</v>
      </c>
      <c r="D96" s="15">
        <f>129.64*0.35</f>
        <v>45.373999999999995</v>
      </c>
      <c r="E96" s="16" t="s">
        <v>11</v>
      </c>
      <c r="F96" s="15" t="s">
        <v>11</v>
      </c>
      <c r="G96" s="15" t="s">
        <v>11</v>
      </c>
      <c r="H96" s="15"/>
      <c r="I96" s="15"/>
      <c r="J96" s="15"/>
      <c r="K96" s="15"/>
      <c r="L96" s="17" t="s">
        <v>37</v>
      </c>
      <c r="M96" s="5" t="s">
        <v>13</v>
      </c>
    </row>
    <row r="97" spans="1:15" ht="14.1" customHeight="1" x14ac:dyDescent="0.25">
      <c r="A97" s="18"/>
      <c r="B97" s="5"/>
      <c r="C97" s="19" t="s">
        <v>14</v>
      </c>
      <c r="D97" s="48">
        <v>0.03</v>
      </c>
      <c r="E97" s="48"/>
      <c r="F97" s="48"/>
      <c r="G97" s="48"/>
      <c r="H97" s="34"/>
      <c r="I97" s="34"/>
      <c r="J97" s="34"/>
      <c r="K97" s="34"/>
      <c r="L97" s="20" t="s">
        <v>15</v>
      </c>
      <c r="M97" s="5" t="s">
        <v>13</v>
      </c>
    </row>
    <row r="98" spans="1:15" ht="14.1" customHeight="1" x14ac:dyDescent="0.25">
      <c r="A98" s="18"/>
      <c r="B98" s="5"/>
      <c r="C98" s="19" t="s">
        <v>16</v>
      </c>
      <c r="D98" s="47">
        <f>K98-J98</f>
        <v>41</v>
      </c>
      <c r="E98" s="47"/>
      <c r="F98" s="47"/>
      <c r="G98" s="47"/>
      <c r="H98" s="44">
        <v>24</v>
      </c>
      <c r="I98" s="44">
        <v>65</v>
      </c>
      <c r="J98" s="44">
        <f>IF(H98&lt;$K$4,$K$4,H98)</f>
        <v>24</v>
      </c>
      <c r="K98" s="44">
        <f>IF(I98&gt;$K$5,$K$5,I98)</f>
        <v>65</v>
      </c>
      <c r="L98" s="20" t="s">
        <v>50</v>
      </c>
      <c r="M98" s="5" t="s">
        <v>13</v>
      </c>
    </row>
    <row r="99" spans="1:15" ht="14.1" customHeight="1" x14ac:dyDescent="0.25">
      <c r="A99" s="28"/>
      <c r="B99" s="21"/>
      <c r="C99" s="22" t="s">
        <v>59</v>
      </c>
      <c r="D99" s="23">
        <f>(PV(D97,(J98-$K$4),0,(PV(D97,D98,D96))))</f>
        <v>889.67144868929165</v>
      </c>
      <c r="E99" s="24"/>
      <c r="F99" s="24"/>
      <c r="G99" s="24"/>
      <c r="H99" s="24"/>
      <c r="I99" s="24"/>
      <c r="J99" s="24"/>
      <c r="K99" s="24"/>
      <c r="L99" s="25" t="s">
        <v>19</v>
      </c>
      <c r="M99" s="5"/>
    </row>
    <row r="100" spans="1:15" ht="14.1" customHeight="1" x14ac:dyDescent="0.25">
      <c r="A100" s="18" t="s">
        <v>38</v>
      </c>
      <c r="B100" s="26" t="s">
        <v>20</v>
      </c>
      <c r="C100" s="19" t="s">
        <v>10</v>
      </c>
      <c r="D100" s="27">
        <v>45838</v>
      </c>
      <c r="E100" s="34" t="s">
        <v>11</v>
      </c>
      <c r="F100" s="34" t="s">
        <v>11</v>
      </c>
      <c r="G100" s="34" t="s">
        <v>11</v>
      </c>
      <c r="H100" s="34"/>
      <c r="I100" s="34"/>
      <c r="J100" s="34"/>
      <c r="K100" s="34"/>
      <c r="L100" s="20" t="s">
        <v>39</v>
      </c>
      <c r="M100" s="5" t="s">
        <v>13</v>
      </c>
      <c r="N100" s="5"/>
    </row>
    <row r="101" spans="1:15" ht="14.1" customHeight="1" x14ac:dyDescent="0.25">
      <c r="A101" s="29"/>
      <c r="B101" s="30"/>
      <c r="C101" s="19" t="s">
        <v>14</v>
      </c>
      <c r="D101" s="48">
        <v>0.02</v>
      </c>
      <c r="E101" s="48"/>
      <c r="F101" s="48"/>
      <c r="G101" s="48"/>
      <c r="H101" s="34"/>
      <c r="I101" s="34"/>
      <c r="J101" s="34"/>
      <c r="K101" s="34"/>
      <c r="L101" s="20" t="s">
        <v>40</v>
      </c>
      <c r="M101" s="5" t="s">
        <v>13</v>
      </c>
      <c r="N101" s="5"/>
      <c r="O101" s="5"/>
    </row>
    <row r="102" spans="1:15" ht="14.1" customHeight="1" x14ac:dyDescent="0.25">
      <c r="A102" s="29"/>
      <c r="B102" s="30"/>
      <c r="C102" s="19" t="s">
        <v>16</v>
      </c>
      <c r="D102" s="47">
        <f>K102-J102</f>
        <v>7.4088692740523934</v>
      </c>
      <c r="E102" s="47"/>
      <c r="F102" s="47"/>
      <c r="G102" s="47"/>
      <c r="H102" s="33" t="s">
        <v>18</v>
      </c>
      <c r="I102" s="33" t="s">
        <v>18</v>
      </c>
      <c r="J102" s="33">
        <v>0</v>
      </c>
      <c r="K102" s="33">
        <v>7.4088692740523934</v>
      </c>
      <c r="L102" s="20" t="s">
        <v>41</v>
      </c>
      <c r="M102" s="5" t="s">
        <v>13</v>
      </c>
      <c r="N102" s="5"/>
      <c r="O102" s="5"/>
    </row>
    <row r="103" spans="1:15" ht="14.1" customHeight="1" x14ac:dyDescent="0.25">
      <c r="A103" s="31"/>
      <c r="B103" s="32"/>
      <c r="C103" s="22" t="s">
        <v>17</v>
      </c>
      <c r="D103" s="23">
        <f>(PV(D101,D102,D100))*-1</f>
        <v>312752.70874499879</v>
      </c>
      <c r="E103" s="24" t="s">
        <v>18</v>
      </c>
      <c r="F103" s="24" t="s">
        <v>18</v>
      </c>
      <c r="G103" s="24" t="s">
        <v>18</v>
      </c>
      <c r="H103" s="24"/>
      <c r="I103" s="24"/>
      <c r="J103" s="24"/>
      <c r="K103" s="24"/>
      <c r="L103" s="25" t="s">
        <v>19</v>
      </c>
      <c r="M103" s="5" t="s">
        <v>13</v>
      </c>
      <c r="N103" s="5"/>
      <c r="O103" s="5"/>
    </row>
    <row r="104" spans="1:15" ht="14.1" customHeight="1" x14ac:dyDescent="0.25">
      <c r="A104" s="2" t="s">
        <v>60</v>
      </c>
    </row>
  </sheetData>
  <mergeCells count="48">
    <mergeCell ref="D98:G98"/>
    <mergeCell ref="D101:G101"/>
    <mergeCell ref="D102:G102"/>
    <mergeCell ref="D89:G89"/>
    <mergeCell ref="D90:G90"/>
    <mergeCell ref="D93:G93"/>
    <mergeCell ref="D94:G94"/>
    <mergeCell ref="D97:G97"/>
    <mergeCell ref="D8:G8"/>
    <mergeCell ref="D9:G9"/>
    <mergeCell ref="D12:G12"/>
    <mergeCell ref="D13:G13"/>
    <mergeCell ref="D25:G25"/>
    <mergeCell ref="D16:G16"/>
    <mergeCell ref="D17:G17"/>
    <mergeCell ref="D20:G20"/>
    <mergeCell ref="D21:G21"/>
    <mergeCell ref="D24:G24"/>
    <mergeCell ref="D49:G49"/>
    <mergeCell ref="D53:G53"/>
    <mergeCell ref="D57:G57"/>
    <mergeCell ref="D61:G61"/>
    <mergeCell ref="D28:G28"/>
    <mergeCell ref="D29:G29"/>
    <mergeCell ref="D32:G32"/>
    <mergeCell ref="D42:G42"/>
    <mergeCell ref="D46:G46"/>
    <mergeCell ref="D33:G33"/>
    <mergeCell ref="D36:G36"/>
    <mergeCell ref="D37:G37"/>
    <mergeCell ref="D41:G41"/>
    <mergeCell ref="D45:G45"/>
    <mergeCell ref="D82:G82"/>
    <mergeCell ref="D86:G86"/>
    <mergeCell ref="D85:G85"/>
    <mergeCell ref="D50:G50"/>
    <mergeCell ref="D54:G54"/>
    <mergeCell ref="D58:G58"/>
    <mergeCell ref="D62:G62"/>
    <mergeCell ref="D65:G65"/>
    <mergeCell ref="D69:G69"/>
    <mergeCell ref="D73:G73"/>
    <mergeCell ref="D77:G77"/>
    <mergeCell ref="D81:G81"/>
    <mergeCell ref="D66:G66"/>
    <mergeCell ref="D70:G70"/>
    <mergeCell ref="D74:G74"/>
    <mergeCell ref="D78:G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Cora (CDC/ONDIEH/NCIPC)</dc:creator>
  <cp:lastModifiedBy>vsm2</cp:lastModifiedBy>
  <dcterms:created xsi:type="dcterms:W3CDTF">2016-02-16T20:11:41Z</dcterms:created>
  <dcterms:modified xsi:type="dcterms:W3CDTF">2017-01-30T16:28:44Z</dcterms:modified>
</cp:coreProperties>
</file>