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dc.gov\private\M120\gul4\PDO\Cost paper update 2017\"/>
    </mc:Choice>
  </mc:AlternateContent>
  <xr:revisionPtr revIDLastSave="0" documentId="13_ncr:1_{590DF072-3256-43CE-93B9-E4123AF6C88E}" xr6:coauthVersionLast="45" xr6:coauthVersionMax="45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RiskSerializationData" sheetId="4" state="hidden" r:id="rId1"/>
    <sheet name="HCC sensitivity" sheetId="1" r:id="rId2"/>
    <sheet name="Prediction Intervals" sheetId="14" r:id="rId3"/>
    <sheet name="Total Cost sensitivity C" sheetId="2" r:id="rId4"/>
    <sheet name="Total Cost Senstivity L" sheetId="11" r:id="rId5"/>
    <sheet name="Total Cost Sensitivity H" sheetId="12" r:id="rId6"/>
    <sheet name="QAL sensitivity" sheetId="5" r:id="rId7"/>
    <sheet name="NF Lost productivity sensitivit" sheetId="7" r:id="rId8"/>
  </sheets>
  <externalReferences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"MQCGEND41BYRVC7GYXLJTC7K"</definedName>
    <definedName name="PalisadeReportWorkbookCreatedBy">"AtRisk"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"$C$38"</definedName>
    <definedName name="RiskSelectedNameCell1" hidden="1">"$A$38"</definedName>
    <definedName name="RiskSelectedNameCell2" hidden="1">"$C$21"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7" l="1"/>
  <c r="B20" i="7" s="1"/>
  <c r="E20" i="7" s="1"/>
  <c r="F20" i="7" s="1"/>
  <c r="B32" i="5"/>
  <c r="E27" i="5" s="1"/>
  <c r="F3" i="5" s="1"/>
  <c r="B11" i="5"/>
  <c r="C11" i="5" s="1"/>
  <c r="B9" i="5"/>
  <c r="B10" i="5"/>
  <c r="C10" i="5" s="1"/>
  <c r="K10" i="5" s="1"/>
  <c r="B4" i="5"/>
  <c r="C4" i="5" s="1"/>
  <c r="B3" i="5"/>
  <c r="C3" i="5" s="1"/>
  <c r="B36" i="12"/>
  <c r="B39" i="12" s="1"/>
  <c r="B37" i="12"/>
  <c r="B29" i="12"/>
  <c r="B13" i="12"/>
  <c r="B14" i="12"/>
  <c r="B15" i="12"/>
  <c r="B36" i="11"/>
  <c r="B37" i="11"/>
  <c r="B29" i="11"/>
  <c r="B13" i="11"/>
  <c r="B14" i="11"/>
  <c r="B15" i="11"/>
  <c r="B36" i="2"/>
  <c r="B37" i="2"/>
  <c r="B39" i="2" s="1"/>
  <c r="B29" i="2"/>
  <c r="B20" i="2"/>
  <c r="B21" i="2"/>
  <c r="B22" i="2"/>
  <c r="B23" i="2"/>
  <c r="B24" i="2" s="1"/>
  <c r="B13" i="2"/>
  <c r="B16" i="2" s="1"/>
  <c r="B14" i="2"/>
  <c r="B15" i="2"/>
  <c r="C45" i="1"/>
  <c r="B30" i="1"/>
  <c r="C40" i="1" s="1"/>
  <c r="B5" i="1" s="1"/>
  <c r="D5" i="1" s="1"/>
  <c r="E5" i="1" s="1"/>
  <c r="N3" i="4"/>
  <c r="N2" i="4"/>
  <c r="C9" i="5"/>
  <c r="E9" i="5"/>
  <c r="D9" i="5"/>
  <c r="D20" i="7"/>
  <c r="D19" i="7"/>
  <c r="D18" i="7"/>
  <c r="D17" i="7"/>
  <c r="D16" i="7"/>
  <c r="D15" i="7"/>
  <c r="D14" i="7"/>
  <c r="D13" i="7"/>
  <c r="D9" i="7"/>
  <c r="D8" i="7"/>
  <c r="D7" i="7"/>
  <c r="D6" i="7"/>
  <c r="D5" i="7"/>
  <c r="D4" i="7"/>
  <c r="D3" i="7"/>
  <c r="D2" i="7"/>
  <c r="D30" i="1"/>
  <c r="C30" i="1"/>
  <c r="L9" i="1"/>
  <c r="G9" i="1"/>
  <c r="C12" i="1"/>
  <c r="C5" i="1"/>
  <c r="C3" i="1"/>
  <c r="H3" i="1"/>
  <c r="I3" i="1"/>
  <c r="M3" i="1"/>
  <c r="N3" i="1"/>
  <c r="C6" i="1"/>
  <c r="M6" i="1"/>
  <c r="N6" i="1"/>
  <c r="O6" i="1"/>
  <c r="C7" i="1"/>
  <c r="M7" i="1"/>
  <c r="N7" i="1"/>
  <c r="O7" i="1"/>
  <c r="H7" i="1"/>
  <c r="I7" i="1"/>
  <c r="J7" i="1"/>
  <c r="H6" i="1"/>
  <c r="I6" i="1"/>
  <c r="J6" i="1"/>
  <c r="O3" i="1"/>
  <c r="J3" i="1"/>
  <c r="M5" i="1"/>
  <c r="N5" i="1"/>
  <c r="O5" i="1"/>
  <c r="H5" i="1"/>
  <c r="I5" i="1"/>
  <c r="J5" i="1"/>
  <c r="C4" i="1"/>
  <c r="C8" i="1"/>
  <c r="M8" i="1"/>
  <c r="N8" i="1"/>
  <c r="O8" i="1"/>
  <c r="H8" i="1"/>
  <c r="I8" i="1"/>
  <c r="J8" i="1"/>
  <c r="H4" i="1"/>
  <c r="I4" i="1"/>
  <c r="M4" i="1"/>
  <c r="N4" i="1"/>
  <c r="O4" i="1"/>
  <c r="N9" i="1"/>
  <c r="O9" i="1"/>
  <c r="J4" i="1"/>
  <c r="I9" i="1"/>
  <c r="J9" i="1"/>
  <c r="B19" i="7" l="1"/>
  <c r="E19" i="7" s="1"/>
  <c r="F19" i="7" s="1"/>
  <c r="B5" i="7"/>
  <c r="E5" i="7" s="1"/>
  <c r="F5" i="7" s="1"/>
  <c r="B3" i="7"/>
  <c r="E3" i="7" s="1"/>
  <c r="F3" i="7" s="1"/>
  <c r="B18" i="7"/>
  <c r="E18" i="7" s="1"/>
  <c r="F18" i="7" s="1"/>
  <c r="B7" i="7"/>
  <c r="E7" i="7" s="1"/>
  <c r="F7" i="7" s="1"/>
  <c r="B16" i="7"/>
  <c r="E16" i="7" s="1"/>
  <c r="F16" i="7" s="1"/>
  <c r="B6" i="7"/>
  <c r="E6" i="7" s="1"/>
  <c r="F6" i="7" s="1"/>
  <c r="B9" i="7"/>
  <c r="E9" i="7" s="1"/>
  <c r="F9" i="7" s="1"/>
  <c r="B17" i="7"/>
  <c r="E17" i="7" s="1"/>
  <c r="F17" i="7" s="1"/>
  <c r="B8" i="7"/>
  <c r="E8" i="7" s="1"/>
  <c r="F8" i="7" s="1"/>
  <c r="B4" i="7"/>
  <c r="E4" i="7" s="1"/>
  <c r="F4" i="7" s="1"/>
  <c r="B39" i="11"/>
  <c r="B2" i="7"/>
  <c r="E2" i="7" s="1"/>
  <c r="B13" i="7"/>
  <c r="E13" i="7" s="1"/>
  <c r="B14" i="7"/>
  <c r="E14" i="7" s="1"/>
  <c r="F14" i="7" s="1"/>
  <c r="F21" i="7" s="1"/>
  <c r="B5" i="2"/>
  <c r="B5" i="11"/>
  <c r="B5" i="12"/>
  <c r="B16" i="12"/>
  <c r="B16" i="11"/>
  <c r="C41" i="1"/>
  <c r="B6" i="1" s="1"/>
  <c r="D6" i="1" s="1"/>
  <c r="E6" i="1" s="1"/>
  <c r="B6" i="12" s="1"/>
  <c r="C38" i="1"/>
  <c r="B3" i="1" s="1"/>
  <c r="D3" i="1" s="1"/>
  <c r="C39" i="1"/>
  <c r="B4" i="1" s="1"/>
  <c r="D4" i="1" s="1"/>
  <c r="E4" i="1" s="1"/>
  <c r="B4" i="12" s="1"/>
  <c r="E30" i="5"/>
  <c r="F11" i="5" s="1"/>
  <c r="B15" i="7"/>
  <c r="E15" i="7" s="1"/>
  <c r="F15" i="7" s="1"/>
  <c r="B6" i="2"/>
  <c r="E3" i="1"/>
  <c r="F10" i="7"/>
  <c r="K11" i="5"/>
  <c r="L11" i="5" s="1"/>
  <c r="G11" i="5"/>
  <c r="H11" i="5" s="1"/>
  <c r="I11" i="5"/>
  <c r="J11" i="5" s="1"/>
  <c r="K3" i="5"/>
  <c r="L3" i="5" s="1"/>
  <c r="G3" i="5"/>
  <c r="H3" i="5" s="1"/>
  <c r="I3" i="5"/>
  <c r="J3" i="5" s="1"/>
  <c r="K4" i="5"/>
  <c r="G4" i="5"/>
  <c r="I4" i="5"/>
  <c r="C43" i="1"/>
  <c r="B8" i="1" s="1"/>
  <c r="D8" i="1" s="1"/>
  <c r="E8" i="1" s="1"/>
  <c r="E29" i="5"/>
  <c r="F10" i="5" s="1"/>
  <c r="L10" i="5" s="1"/>
  <c r="C42" i="1"/>
  <c r="B7" i="1" s="1"/>
  <c r="I10" i="5"/>
  <c r="E28" i="5"/>
  <c r="G10" i="5"/>
  <c r="E10" i="7" l="1"/>
  <c r="B4" i="11"/>
  <c r="B10" i="7"/>
  <c r="G10" i="7" s="1"/>
  <c r="B4" i="2"/>
  <c r="E21" i="7"/>
  <c r="E25" i="7" s="1"/>
  <c r="B6" i="11"/>
  <c r="B21" i="7"/>
  <c r="G21" i="7" s="1"/>
  <c r="F4" i="5"/>
  <c r="F12" i="5" s="1"/>
  <c r="E31" i="5"/>
  <c r="J10" i="5"/>
  <c r="H21" i="7"/>
  <c r="H4" i="5"/>
  <c r="B9" i="1"/>
  <c r="D7" i="1"/>
  <c r="F25" i="7"/>
  <c r="H10" i="7"/>
  <c r="J4" i="5"/>
  <c r="J12" i="5" s="1"/>
  <c r="B32" i="11" s="1"/>
  <c r="H10" i="5"/>
  <c r="B8" i="2"/>
  <c r="B8" i="12"/>
  <c r="B8" i="11"/>
  <c r="B3" i="12"/>
  <c r="B3" i="11"/>
  <c r="B3" i="2"/>
  <c r="B22" i="7" l="1"/>
  <c r="H12" i="5"/>
  <c r="B32" i="2" s="1"/>
  <c r="L4" i="5"/>
  <c r="L12" i="5" s="1"/>
  <c r="B32" i="12" s="1"/>
  <c r="E7" i="1"/>
  <c r="D9" i="1"/>
  <c r="E9" i="1" s="1"/>
  <c r="H22" i="7"/>
  <c r="B27" i="12"/>
  <c r="B31" i="12" s="1"/>
  <c r="B27" i="2"/>
  <c r="B27" i="11"/>
  <c r="B31" i="11" s="1"/>
  <c r="B7" i="12" l="1"/>
  <c r="B7" i="11"/>
  <c r="B7" i="2"/>
  <c r="B31" i="2"/>
  <c r="B9" i="2"/>
  <c r="B9" i="12"/>
  <c r="B33" i="12" s="1"/>
  <c r="B42" i="12" s="1"/>
  <c r="B9" i="11"/>
  <c r="B33" i="11" s="1"/>
  <c r="B42" i="11" s="1"/>
  <c r="B33" i="2" l="1"/>
  <c r="B42" i="2" l="1"/>
  <c r="C33" i="2" s="1"/>
  <c r="C20" i="2" l="1"/>
  <c r="C42" i="2"/>
  <c r="C37" i="2"/>
  <c r="C38" i="2"/>
  <c r="C24" i="2"/>
  <c r="C13" i="2"/>
  <c r="C15" i="2"/>
  <c r="C36" i="2"/>
  <c r="C22" i="2"/>
  <c r="C16" i="2"/>
  <c r="C21" i="2"/>
  <c r="C14" i="2"/>
  <c r="C23" i="2"/>
  <c r="C29" i="2"/>
  <c r="C39" i="2"/>
  <c r="C5" i="2"/>
  <c r="C6" i="2"/>
  <c r="C4" i="2"/>
  <c r="C32" i="2"/>
  <c r="C8" i="2"/>
  <c r="C3" i="2"/>
  <c r="C27" i="2"/>
  <c r="C7" i="2"/>
  <c r="C31" i="2"/>
  <c r="C9" i="2"/>
  <c r="G3" i="4" l="1"/>
  <c r="A3" i="4"/>
  <c r="G2" i="4"/>
  <c r="A2" i="4"/>
</calcChain>
</file>

<file path=xl/sharedStrings.xml><?xml version="1.0" encoding="utf-8"?>
<sst xmlns="http://schemas.openxmlformats.org/spreadsheetml/2006/main" count="2273" uniqueCount="267">
  <si>
    <t>Total</t>
  </si>
  <si>
    <t>Medicare</t>
  </si>
  <si>
    <t>Medicaid</t>
  </si>
  <si>
    <t>Champus/VA</t>
  </si>
  <si>
    <t>Other</t>
  </si>
  <si>
    <t>Source of Insurance for Persons with Painkiller Abuse or Dependence</t>
  </si>
  <si>
    <t>Population Count</t>
  </si>
  <si>
    <t>Private Insurance</t>
  </si>
  <si>
    <t>Uninsured</t>
  </si>
  <si>
    <t>Total Health Care Spending Due to Dependence and Abuse</t>
  </si>
  <si>
    <t>Health</t>
  </si>
  <si>
    <t>Insurance</t>
  </si>
  <si>
    <t>Coverage</t>
  </si>
  <si>
    <t>Freq.</t>
  </si>
  <si>
    <t>Percent</t>
  </si>
  <si>
    <t>Cum.</t>
  </si>
  <si>
    <t>Private</t>
  </si>
  <si>
    <t>None</t>
  </si>
  <si>
    <t>Mean Health Care Cost Difference</t>
  </si>
  <si>
    <t>Lower Range of Prevalence</t>
  </si>
  <si>
    <t>Upper Range of Prevalence</t>
  </si>
  <si>
    <t>Total Costs in Millions</t>
  </si>
  <si>
    <t>Main Estimate</t>
  </si>
  <si>
    <t>2012 Price Index</t>
  </si>
  <si>
    <t>Inflation factor</t>
  </si>
  <si>
    <t>count</t>
  </si>
  <si>
    <t>lb</t>
  </si>
  <si>
    <t>ub</t>
  </si>
  <si>
    <t>Champus/</t>
  </si>
  <si>
    <t>2017 Price Index</t>
  </si>
  <si>
    <t>proportion</t>
  </si>
  <si>
    <t>Nonfatal Costs</t>
  </si>
  <si>
    <t xml:space="preserve">Aggregate Costs (Range based on 95% CI of prevalence) </t>
  </si>
  <si>
    <t>Percentage of Aggregate Costs</t>
  </si>
  <si>
    <t>Health Care</t>
  </si>
  <si>
    <t xml:space="preserve">Total </t>
  </si>
  <si>
    <t>Substance Abuse Treatment</t>
  </si>
  <si>
    <t xml:space="preserve">Federal </t>
  </si>
  <si>
    <t>State and Local</t>
  </si>
  <si>
    <t xml:space="preserve">Criminal Justice </t>
  </si>
  <si>
    <t>Police protection</t>
  </si>
  <si>
    <t>Legal and adjudication</t>
  </si>
  <si>
    <t>Correctional facilities</t>
  </si>
  <si>
    <t>Property lost due to crime</t>
  </si>
  <si>
    <t>Total criminal justice costs</t>
  </si>
  <si>
    <t>Lost Productivity</t>
  </si>
  <si>
    <t>Reduced productive time/increased disability</t>
  </si>
  <si>
    <t>Production lost for incarcerated individuals</t>
  </si>
  <si>
    <t>Value of Reduced Quality of Life</t>
  </si>
  <si>
    <t>Total Lost Productivity</t>
  </si>
  <si>
    <t>Total Non Fatal Costs</t>
  </si>
  <si>
    <t>Fatal Costs</t>
  </si>
  <si>
    <t>Value of Statistical Life Lost</t>
  </si>
  <si>
    <t>Total Fatal Costs</t>
  </si>
  <si>
    <t>Total of Nonfatal and Fatal</t>
  </si>
  <si>
    <t>QAL weight</t>
  </si>
  <si>
    <t>QAL decrement</t>
  </si>
  <si>
    <t>Value of health realted quality of life Lost per person (Central VSL)</t>
  </si>
  <si>
    <t>Value of health realted quality of life Lost Aggregate (Central VSL)</t>
  </si>
  <si>
    <t>Value of health realted quality of life Lost per person (Lower VSL)</t>
  </si>
  <si>
    <t>Value of health realted quality of life Lost Aggregate (Lower VSL)</t>
  </si>
  <si>
    <t>Value of health realted quality of life Lost per person (Upper VSL)</t>
  </si>
  <si>
    <t>Value of health realted quality of life Lost Aggregate (Upper VSL)</t>
  </si>
  <si>
    <t>treat_sta</t>
  </si>
  <si>
    <t>Male</t>
  </si>
  <si>
    <t>Prevalence of Opioid Drug Abuse/Dependence (Year 2017)</t>
  </si>
  <si>
    <t>Per Person Annual Production Value of US Population (Year 2016 $)</t>
  </si>
  <si>
    <t>Per Person Annual Production Value of US Population (Year 2017 $)</t>
  </si>
  <si>
    <t>Annual Production Value of US Population (Year 2017 $)</t>
  </si>
  <si>
    <t>12 to 14</t>
  </si>
  <si>
    <t>15 to 19</t>
  </si>
  <si>
    <t xml:space="preserve">GDP Deflator </t>
  </si>
  <si>
    <t>20 to 25</t>
  </si>
  <si>
    <t>26 to 29</t>
  </si>
  <si>
    <t>Source: https://research.stlouisfed.org/fred2/series/GDPDEF/</t>
  </si>
  <si>
    <t>30 to 34</t>
  </si>
  <si>
    <t>35 to 49</t>
  </si>
  <si>
    <t>50 to 64</t>
  </si>
  <si>
    <t>65+</t>
  </si>
  <si>
    <t>Costs in Millions</t>
  </si>
  <si>
    <t>Overall</t>
  </si>
  <si>
    <t>Female</t>
  </si>
  <si>
    <t>GENDER</t>
  </si>
  <si>
    <t>IMPUTATION</t>
  </si>
  <si>
    <t>AGE</t>
  </si>
  <si>
    <t>1 - Male</t>
  </si>
  <si>
    <t>2 - Fema</t>
  </si>
  <si>
    <t>to 14</t>
  </si>
  <si>
    <t>to 19</t>
  </si>
  <si>
    <t>to 25</t>
  </si>
  <si>
    <t>to 29</t>
  </si>
  <si>
    <t>to 34</t>
  </si>
  <si>
    <t>to 49</t>
  </si>
  <si>
    <t>to 64</t>
  </si>
  <si>
    <t>Cases</t>
  </si>
  <si>
    <t>treat_stat_</t>
  </si>
  <si>
    <t>Individuals Expanded descriptors for vignettes</t>
  </si>
  <si>
    <t>Lower CI</t>
  </si>
  <si>
    <t>Upper CI</t>
  </si>
  <si>
    <t>Non use disorder</t>
  </si>
  <si>
    <t xml:space="preserve">Active injection misuse </t>
  </si>
  <si>
    <t xml:space="preserve">Active prescription misuse </t>
  </si>
  <si>
    <t xml:space="preserve">Initiation stage of methadone therapy </t>
  </si>
  <si>
    <t xml:space="preserve">Initiation stage of buprenorphine therapy </t>
  </si>
  <si>
    <t xml:space="preserve">Stabilized methadone therapy </t>
  </si>
  <si>
    <t xml:space="preserve">Stabilized buprenorphine therapy </t>
  </si>
  <si>
    <t>Mean of Therapy weights</t>
  </si>
  <si>
    <t xml:space="preserve">Remission </t>
  </si>
  <si>
    <t>t_4</t>
  </si>
  <si>
    <t xml:space="preserve">        </t>
  </si>
  <si>
    <t>GF1_rK0qDwEAEAAkAQwjACYAOQCIAJwAnQCrALkA/gAgARoBKgD//wAAAAAAAQQAAAAABSMsIyMwAAAAAUlQb2xpY2UgcHJvdGVjdGlvbiAvIEFnZ3JlZ2F0ZSBDb3N0cyAoUmFuZ2UgYmFzZWQgb24gOTUlIENJIG9mIHByZXZhbGVuY2UpAQABARAAAgABClN0YXRpc3RpY3MDAQEA/wEBAQEBAAEBAQAEAAAAAQEBAQEAAQEBAAQAAAABvQAAPwA3UGVydEFsdCgibWluIiw1MDcxLjc2MDMxOSwwLjUsNTYzNS41LCJtYXgiLDYxOTguODkxNjk4KQAAJQEAAgAGARABAQECAZqZmZmZmak/AABmZmZmZmbuPwAABQABAQEAAQEBAA==</t>
  </si>
  <si>
    <t>@RISK Output Results</t>
  </si>
  <si>
    <t>Performed By: Florence, Curtis (CDC/DDNID/NCIPC/DIP)</t>
  </si>
  <si>
    <t>Date: Thursday, September 17, 2020 3:31:40 PM</t>
  </si>
  <si>
    <t>Name</t>
  </si>
  <si>
    <t>Worksheet</t>
  </si>
  <si>
    <t>Cell</t>
  </si>
  <si>
    <t>Min</t>
  </si>
  <si>
    <t>Mean</t>
  </si>
  <si>
    <t>Max</t>
  </si>
  <si>
    <t>Errors</t>
  </si>
  <si>
    <t>Economic Burden Detailed Calcualtions.xlsx</t>
  </si>
  <si>
    <t>Private / lb</t>
  </si>
  <si>
    <t>HCC sensitivity</t>
  </si>
  <si>
    <t>C38</t>
  </si>
  <si>
    <t>0</t>
  </si>
  <si>
    <t>Medicare / lb</t>
  </si>
  <si>
    <t>C39</t>
  </si>
  <si>
    <t>Medicaid / lb</t>
  </si>
  <si>
    <t>C40</t>
  </si>
  <si>
    <t>Champus/ / lb</t>
  </si>
  <si>
    <t>C41</t>
  </si>
  <si>
    <t>Other / lb</t>
  </si>
  <si>
    <t>C42</t>
  </si>
  <si>
    <t>None / lb</t>
  </si>
  <si>
    <t>C43</t>
  </si>
  <si>
    <t>Private Insurance / Total Costs in Millions</t>
  </si>
  <si>
    <t>E3</t>
  </si>
  <si>
    <t>Medicare / Total Costs in Millions</t>
  </si>
  <si>
    <t>E4</t>
  </si>
  <si>
    <t>Medicaid / Total Costs in Millions</t>
  </si>
  <si>
    <t>E5</t>
  </si>
  <si>
    <t>Champus/VA / Total Costs in Millions</t>
  </si>
  <si>
    <t>E6</t>
  </si>
  <si>
    <t>Other / Total Costs in Millions</t>
  </si>
  <si>
    <t>E7</t>
  </si>
  <si>
    <t>Uninsured / Total Costs in Millions</t>
  </si>
  <si>
    <t>E8</t>
  </si>
  <si>
    <t>Total / Total Costs in Millions</t>
  </si>
  <si>
    <t>E9</t>
  </si>
  <si>
    <t>Total / Aggregate Costs (Range based on 95% CI of prevalence)</t>
  </si>
  <si>
    <t>Total Cost sensitivity C</t>
  </si>
  <si>
    <t>B9</t>
  </si>
  <si>
    <t>B16</t>
  </si>
  <si>
    <t>Total criminal justice costs / Aggregate Costs (Range based on 95% CI of prevalence)</t>
  </si>
  <si>
    <t>B24</t>
  </si>
  <si>
    <t>Total Lost Productivity / Aggregate Costs (Range based on 95% CI of prevalence)</t>
  </si>
  <si>
    <t>B31</t>
  </si>
  <si>
    <t>Value of Reduced Quality of Life / Aggregate Costs (Range based on 95% CI of prevalence)</t>
  </si>
  <si>
    <t>B32</t>
  </si>
  <si>
    <t>Total Non Fatal Costs / Aggregate Costs (Range based on 95% CI of prevalence)</t>
  </si>
  <si>
    <t>B33</t>
  </si>
  <si>
    <t>Total Fatal Costs / Aggregate Costs (Range based on 95% CI of prevalence)</t>
  </si>
  <si>
    <t>B39</t>
  </si>
  <si>
    <t>Total of Nonfatal and Fatal / Aggregate Costs (Range based on 95% CI of prevalence)</t>
  </si>
  <si>
    <t>B42</t>
  </si>
  <si>
    <t>Total Cost Senstivity L</t>
  </si>
  <si>
    <t>Total Cost Sensitivity H</t>
  </si>
  <si>
    <t>Active injection misuse / QAL decrement</t>
  </si>
  <si>
    <t>QAL sensitivity</t>
  </si>
  <si>
    <t>C3</t>
  </si>
  <si>
    <t>Active prescription misuse / QAL decrement</t>
  </si>
  <si>
    <t>C4</t>
  </si>
  <si>
    <t>C10</t>
  </si>
  <si>
    <t>Remission / QAL decrement</t>
  </si>
  <si>
    <t>C11</t>
  </si>
  <si>
    <t>1 / Cum.</t>
  </si>
  <si>
    <t>E27</t>
  </si>
  <si>
    <t>2 / Cum.</t>
  </si>
  <si>
    <t>E28</t>
  </si>
  <si>
    <t>3 / Cum.</t>
  </si>
  <si>
    <t>E29</t>
  </si>
  <si>
    <t>4 / Cum.</t>
  </si>
  <si>
    <t>E30</t>
  </si>
  <si>
    <t>Active injection misuse</t>
  </si>
  <si>
    <t>G3</t>
  </si>
  <si>
    <t>Active prescription misuse</t>
  </si>
  <si>
    <t>G4</t>
  </si>
  <si>
    <t>G10</t>
  </si>
  <si>
    <t>Remission</t>
  </si>
  <si>
    <t>G11</t>
  </si>
  <si>
    <t>H3</t>
  </si>
  <si>
    <t>H4</t>
  </si>
  <si>
    <t>H10</t>
  </si>
  <si>
    <t>H11</t>
  </si>
  <si>
    <t>H12</t>
  </si>
  <si>
    <t>I3</t>
  </si>
  <si>
    <t>I4</t>
  </si>
  <si>
    <t>I10</t>
  </si>
  <si>
    <t>I11</t>
  </si>
  <si>
    <t>J3</t>
  </si>
  <si>
    <t>J4</t>
  </si>
  <si>
    <t>J10</t>
  </si>
  <si>
    <t>J11</t>
  </si>
  <si>
    <t>J12</t>
  </si>
  <si>
    <t>K3</t>
  </si>
  <si>
    <t>K4</t>
  </si>
  <si>
    <t>K10</t>
  </si>
  <si>
    <t>K11</t>
  </si>
  <si>
    <t>L3</t>
  </si>
  <si>
    <t>L4</t>
  </si>
  <si>
    <t>L10</t>
  </si>
  <si>
    <t>L11</t>
  </si>
  <si>
    <t>L12</t>
  </si>
  <si>
    <t>NF Lost productivity sensitivit</t>
  </si>
  <si>
    <t>F3</t>
  </si>
  <si>
    <t>F4</t>
  </si>
  <si>
    <t>F5</t>
  </si>
  <si>
    <t>F6</t>
  </si>
  <si>
    <t>F7</t>
  </si>
  <si>
    <t>F8</t>
  </si>
  <si>
    <t>F9</t>
  </si>
  <si>
    <t>F10</t>
  </si>
  <si>
    <t>F14</t>
  </si>
  <si>
    <t>F15</t>
  </si>
  <si>
    <t>F16</t>
  </si>
  <si>
    <t>F17</t>
  </si>
  <si>
    <t>F18</t>
  </si>
  <si>
    <t>F19</t>
  </si>
  <si>
    <t>F20</t>
  </si>
  <si>
    <t>F21</t>
  </si>
  <si>
    <t>F25</t>
  </si>
  <si>
    <t>Total and component cost sensitivity analysis 2017 Alternative QAL weight Woody 2008.xlsx</t>
  </si>
  <si>
    <t>In treatment, off drugs / QAL decrement</t>
  </si>
  <si>
    <t>D3</t>
  </si>
  <si>
    <t>In treatment, on drugs,non-IDU and IDU / QAL decrement</t>
  </si>
  <si>
    <t>D4</t>
  </si>
  <si>
    <t>Out of treatment, off drugs / QAL decrement</t>
  </si>
  <si>
    <t>D5</t>
  </si>
  <si>
    <t>Out of treatment, on drugs,non-IDU and IDU / QAL decrement</t>
  </si>
  <si>
    <t>D6</t>
  </si>
  <si>
    <t>F23</t>
  </si>
  <si>
    <t>F24</t>
  </si>
  <si>
    <t>F26</t>
  </si>
  <si>
    <t>In treatment, off drugs</t>
  </si>
  <si>
    <t>In treatment, on drugs,non-IDU and IDU</t>
  </si>
  <si>
    <t>Out of treatment, off drugs</t>
  </si>
  <si>
    <t>G5</t>
  </si>
  <si>
    <t>Out of treatment, on drugs,non-IDU and IDU</t>
  </si>
  <si>
    <t>G6</t>
  </si>
  <si>
    <t>Total Cost</t>
  </si>
  <si>
    <t>G7</t>
  </si>
  <si>
    <t>I5</t>
  </si>
  <si>
    <t>I6</t>
  </si>
  <si>
    <t>I7</t>
  </si>
  <si>
    <t>K5</t>
  </si>
  <si>
    <t>K6</t>
  </si>
  <si>
    <t>K7</t>
  </si>
  <si>
    <t>Total and component cost sensitivity analysis 2017 Harris QALY.xlsx</t>
  </si>
  <si>
    <t>Baseline</t>
  </si>
  <si>
    <t>During Trial</t>
  </si>
  <si>
    <t>Total and component cost sensitivity analysis 2017 New Base Case Fatal Undercount.xlsx</t>
  </si>
  <si>
    <t>Total and component cost sensitivity analysis 2017 New Base Case Nonfatal Undercount.xlsx</t>
  </si>
  <si>
    <t>Total and component cost sensitivity analysis 2017 New Base Case.xlsx</t>
  </si>
  <si>
    <t>B35</t>
  </si>
  <si>
    <t>B41</t>
  </si>
  <si>
    <t>B44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</si>
</sst>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&quot;$&quot;#,##0"/>
    <numFmt numFmtId="165" formatCode="0.000"/>
    <numFmt numFmtId="166" formatCode="0.0%"/>
    <numFmt numFmtId="167" formatCode="0.000%"/>
    <numFmt numFmtId="168" formatCode="&quot;$&quot;#,##0.00"/>
    <numFmt numFmtId="169" formatCode="0.000000000000"/>
    <numFmt numFmtId="170" formatCode="#,##0.00000000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00"/>
      <name val="Calibri"/>
      <family val="2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name val="Segoe UI"/>
      <family val="2"/>
    </font>
    <font>
      <sz val="8.5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8" fillId="0" borderId="0"/>
    <xf numFmtId="43" fontId="10" fillId="0" borderId="0" applyFont="0" applyFill="0" applyBorder="0" applyAlignment="0" applyProtection="0"/>
  </cellStyleXfs>
  <cellXfs count="96">
    <xf numFmtId="0" fontId="0" fillId="0" borderId="0" xfId="0"/>
    <xf numFmtId="11" fontId="0" fillId="0" borderId="0" xfId="0" applyNumberFormat="1"/>
    <xf numFmtId="3" fontId="0" fillId="0" borderId="0" xfId="0" applyNumberFormat="1"/>
    <xf numFmtId="0" fontId="1" fillId="0" borderId="0" xfId="0" applyFont="1" applyAlignment="1">
      <alignment vertical="center"/>
    </xf>
    <xf numFmtId="4" fontId="0" fillId="0" borderId="0" xfId="0" applyNumberFormat="1"/>
    <xf numFmtId="164" fontId="3" fillId="0" borderId="1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0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7" fontId="2" fillId="0" borderId="0" xfId="0" applyNumberFormat="1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/>
    <xf numFmtId="168" fontId="0" fillId="0" borderId="0" xfId="0" applyNumberFormat="1"/>
    <xf numFmtId="168" fontId="0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8" fillId="0" borderId="0" xfId="1" applyNumberFormat="1"/>
    <xf numFmtId="0" fontId="0" fillId="0" borderId="0" xfId="0" applyFont="1"/>
    <xf numFmtId="3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2" xfId="0" applyFont="1" applyBorder="1"/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/>
    <xf numFmtId="3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9" fontId="0" fillId="0" borderId="0" xfId="0" applyNumberFormat="1"/>
    <xf numFmtId="169" fontId="7" fillId="0" borderId="0" xfId="0" applyNumberFormat="1" applyFont="1"/>
    <xf numFmtId="17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wrapText="1"/>
    </xf>
    <xf numFmtId="164" fontId="0" fillId="0" borderId="1" xfId="0" applyNumberFormat="1" applyBorder="1" applyAlignment="1">
      <alignment horizontal="center"/>
    </xf>
    <xf numFmtId="0" fontId="11" fillId="2" borderId="0" xfId="0" quotePrefix="1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43" fontId="3" fillId="3" borderId="4" xfId="2" applyFont="1" applyFill="1" applyBorder="1"/>
    <xf numFmtId="49" fontId="14" fillId="3" borderId="5" xfId="2" applyNumberFormat="1" applyFont="1" applyFill="1" applyBorder="1" applyAlignment="1">
      <alignment vertical="top"/>
    </xf>
    <xf numFmtId="43" fontId="14" fillId="3" borderId="5" xfId="2" applyFont="1" applyFill="1" applyBorder="1" applyAlignment="1">
      <alignment vertical="top"/>
    </xf>
    <xf numFmtId="10" fontId="14" fillId="3" borderId="5" xfId="2" applyNumberFormat="1" applyFont="1" applyFill="1" applyBorder="1" applyAlignment="1">
      <alignment vertical="top"/>
    </xf>
    <xf numFmtId="49" fontId="14" fillId="3" borderId="6" xfId="2" applyNumberFormat="1" applyFont="1" applyFill="1" applyBorder="1" applyAlignment="1">
      <alignment vertical="top"/>
    </xf>
    <xf numFmtId="49" fontId="14" fillId="3" borderId="7" xfId="2" applyNumberFormat="1" applyFont="1" applyFill="1" applyBorder="1" applyAlignment="1">
      <alignment horizontal="left" vertical="center"/>
    </xf>
    <xf numFmtId="43" fontId="3" fillId="3" borderId="7" xfId="2" applyFont="1" applyFill="1" applyBorder="1"/>
    <xf numFmtId="0" fontId="3" fillId="0" borderId="8" xfId="2" applyNumberFormat="1" applyFont="1" applyFill="1" applyBorder="1"/>
    <xf numFmtId="0" fontId="15" fillId="0" borderId="9" xfId="2" applyNumberFormat="1" applyFont="1" applyFill="1" applyBorder="1" applyAlignment="1">
      <alignment horizontal="left" vertical="center"/>
    </xf>
    <xf numFmtId="3" fontId="15" fillId="0" borderId="9" xfId="2" applyNumberFormat="1" applyFont="1" applyFill="1" applyBorder="1" applyAlignment="1">
      <alignment horizontal="left" vertical="center"/>
    </xf>
    <xf numFmtId="0" fontId="15" fillId="0" borderId="10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/>
    <xf numFmtId="0" fontId="15" fillId="0" borderId="12" xfId="2" applyNumberFormat="1" applyFont="1" applyFill="1" applyBorder="1" applyAlignment="1">
      <alignment horizontal="left" vertical="center"/>
    </xf>
    <xf numFmtId="3" fontId="15" fillId="0" borderId="12" xfId="2" applyNumberFormat="1" applyFont="1" applyFill="1" applyBorder="1" applyAlignment="1">
      <alignment horizontal="left" vertical="center"/>
    </xf>
    <xf numFmtId="0" fontId="15" fillId="0" borderId="13" xfId="2" applyNumberFormat="1" applyFont="1" applyFill="1" applyBorder="1" applyAlignment="1">
      <alignment horizontal="left" vertical="center"/>
    </xf>
    <xf numFmtId="168" fontId="15" fillId="0" borderId="12" xfId="2" applyNumberFormat="1" applyFont="1" applyFill="1" applyBorder="1" applyAlignment="1">
      <alignment horizontal="left" vertical="center"/>
    </xf>
    <xf numFmtId="164" fontId="15" fillId="0" borderId="12" xfId="2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/>
    <xf numFmtId="0" fontId="15" fillId="0" borderId="15" xfId="2" applyNumberFormat="1" applyFont="1" applyFill="1" applyBorder="1" applyAlignment="1">
      <alignment horizontal="left" vertical="center"/>
    </xf>
    <xf numFmtId="3" fontId="15" fillId="0" borderId="15" xfId="2" applyNumberFormat="1" applyFont="1" applyFill="1" applyBorder="1" applyAlignment="1">
      <alignment horizontal="left" vertical="center"/>
    </xf>
    <xf numFmtId="0" fontId="15" fillId="0" borderId="16" xfId="2" applyNumberFormat="1" applyFont="1" applyFill="1" applyBorder="1" applyAlignment="1">
      <alignment horizontal="left" vertical="center"/>
    </xf>
    <xf numFmtId="4" fontId="15" fillId="0" borderId="12" xfId="2" applyNumberFormat="1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 xr:uid="{8785FBF1-EDEB-497B-B6CB-EEF9C443C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and%20component%20cost%20sensitivity%20analysis%202017%20New%20Base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HCC sensitivity"/>
      <sheetName val="Sheet1"/>
      <sheetName val="rsklibSimData"/>
      <sheetName val="Total Cost sensitivity C"/>
      <sheetName val="Total Cost Senstivity L"/>
      <sheetName val="Total Cost Sensitivity H"/>
      <sheetName val="QAL sensitivity"/>
      <sheetName val="NF Lost productivity sensitivit"/>
    </sheetNames>
    <sheetDataSet>
      <sheetData sheetId="0"/>
      <sheetData sheetId="1"/>
      <sheetData sheetId="2"/>
      <sheetData sheetId="3"/>
      <sheetData sheetId="4">
        <row r="20">
          <cell r="B20">
            <v>6208.6548360388597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5CDB-6568-49D5-8A11-D6B46314F5D3}">
  <dimension ref="A1:AG16"/>
  <sheetViews>
    <sheetView workbookViewId="0"/>
  </sheetViews>
  <sheetFormatPr defaultRowHeight="14.5" x14ac:dyDescent="0.35"/>
  <sheetData>
    <row r="1" spans="1:33" x14ac:dyDescent="0.35">
      <c r="A1">
        <v>1</v>
      </c>
      <c r="B1">
        <v>7</v>
      </c>
    </row>
    <row r="2" spans="1:33" x14ac:dyDescent="0.35">
      <c r="A2" s="2">
        <f ca="1">'[1]Total Cost sensitivity C'!$B$20</f>
        <v>6208.6548360388597</v>
      </c>
      <c r="B2" t="b">
        <v>0</v>
      </c>
      <c r="C2">
        <v>1</v>
      </c>
      <c r="D2">
        <v>1</v>
      </c>
      <c r="E2" t="s">
        <v>110</v>
      </c>
      <c r="F2">
        <v>1</v>
      </c>
      <c r="G2" s="2">
        <f ca="1">'[1]Total Cost sensitivity C'!$B$20</f>
        <v>6208.6548360388597</v>
      </c>
      <c r="H2">
        <v>0</v>
      </c>
      <c r="I2">
        <v>1</v>
      </c>
      <c r="J2" t="b">
        <v>1</v>
      </c>
      <c r="K2" t="b">
        <v>0</v>
      </c>
      <c r="L2">
        <v>1</v>
      </c>
      <c r="M2" t="b">
        <v>0</v>
      </c>
      <c r="N2" t="e">
        <f>_</f>
        <v>#NAME?</v>
      </c>
    </row>
    <row r="3" spans="1:33" x14ac:dyDescent="0.35">
      <c r="A3" s="2">
        <f ca="1">'[1]Total Cost sensitivity C'!$B$20</f>
        <v>6208.6548360388597</v>
      </c>
      <c r="B3" t="b">
        <v>0</v>
      </c>
      <c r="C3">
        <v>1</v>
      </c>
      <c r="D3">
        <v>1</v>
      </c>
      <c r="E3" t="s">
        <v>110</v>
      </c>
      <c r="F3">
        <v>1</v>
      </c>
      <c r="G3" s="2">
        <f ca="1">'[1]Total Cost sensitivity C'!$B$20</f>
        <v>6208.6548360388597</v>
      </c>
      <c r="H3">
        <v>0</v>
      </c>
      <c r="I3">
        <v>1</v>
      </c>
      <c r="J3" t="b">
        <v>1</v>
      </c>
      <c r="K3" t="b">
        <v>0</v>
      </c>
      <c r="L3">
        <v>1</v>
      </c>
      <c r="M3" t="b">
        <v>0</v>
      </c>
      <c r="N3" t="e">
        <f>_</f>
        <v>#NAME?</v>
      </c>
      <c r="AG3" s="2"/>
    </row>
    <row r="4" spans="1:33" x14ac:dyDescent="0.35">
      <c r="A4" s="2"/>
      <c r="G4" s="2"/>
      <c r="AG4" s="2"/>
    </row>
    <row r="5" spans="1:33" x14ac:dyDescent="0.35">
      <c r="A5" s="2"/>
      <c r="G5" s="2"/>
    </row>
    <row r="6" spans="1:33" x14ac:dyDescent="0.35">
      <c r="A6" s="2"/>
      <c r="G6" s="2"/>
    </row>
    <row r="12" spans="1:33" x14ac:dyDescent="0.35">
      <c r="A12" s="2"/>
      <c r="AG12" s="2"/>
    </row>
    <row r="14" spans="1:33" x14ac:dyDescent="0.35">
      <c r="A14" s="2"/>
      <c r="AG14" s="2"/>
    </row>
    <row r="15" spans="1:33" x14ac:dyDescent="0.35">
      <c r="A15" s="2"/>
      <c r="AG15" s="2"/>
    </row>
    <row r="16" spans="1:33" x14ac:dyDescent="0.35">
      <c r="A16" s="2"/>
      <c r="AG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opLeftCell="C38" workbookViewId="0">
      <selection activeCell="C38" sqref="C38"/>
    </sheetView>
  </sheetViews>
  <sheetFormatPr defaultRowHeight="14.5" x14ac:dyDescent="0.35"/>
  <cols>
    <col min="1" max="1" width="32" bestFit="1" customWidth="1"/>
    <col min="2" max="2" width="21.1796875" customWidth="1"/>
    <col min="3" max="3" width="22.26953125" bestFit="1" customWidth="1"/>
    <col min="4" max="4" width="19.1796875" customWidth="1"/>
    <col min="5" max="5" width="10.1796875" bestFit="1" customWidth="1"/>
    <col min="6" max="6" width="25.26953125" bestFit="1" customWidth="1"/>
    <col min="7" max="7" width="11.7265625" bestFit="1" customWidth="1"/>
    <col min="8" max="8" width="12" bestFit="1" customWidth="1"/>
    <col min="9" max="9" width="14.81640625" bestFit="1" customWidth="1"/>
    <col min="11" max="11" width="25.54296875" bestFit="1" customWidth="1"/>
    <col min="13" max="13" width="8.453125" bestFit="1" customWidth="1"/>
    <col min="14" max="14" width="14.81640625" bestFit="1" customWidth="1"/>
  </cols>
  <sheetData>
    <row r="1" spans="1:15" x14ac:dyDescent="0.35">
      <c r="A1" s="6" t="s">
        <v>22</v>
      </c>
      <c r="F1" s="6" t="s">
        <v>19</v>
      </c>
      <c r="K1" s="6" t="s">
        <v>20</v>
      </c>
    </row>
    <row r="2" spans="1:15" ht="87" x14ac:dyDescent="0.35">
      <c r="A2" s="7" t="s">
        <v>5</v>
      </c>
      <c r="B2" s="7" t="s">
        <v>6</v>
      </c>
      <c r="C2" s="7" t="s">
        <v>18</v>
      </c>
      <c r="D2" s="8" t="s">
        <v>9</v>
      </c>
      <c r="E2" s="9" t="s">
        <v>21</v>
      </c>
      <c r="F2" s="7" t="s">
        <v>5</v>
      </c>
      <c r="G2" s="7" t="s">
        <v>6</v>
      </c>
      <c r="H2" s="7" t="s">
        <v>18</v>
      </c>
      <c r="I2" s="8" t="s">
        <v>9</v>
      </c>
      <c r="J2" s="9" t="s">
        <v>21</v>
      </c>
      <c r="K2" s="7" t="s">
        <v>5</v>
      </c>
      <c r="L2" s="7" t="s">
        <v>6</v>
      </c>
      <c r="M2" s="7" t="s">
        <v>18</v>
      </c>
      <c r="N2" s="8" t="s">
        <v>9</v>
      </c>
      <c r="O2" s="9" t="s">
        <v>21</v>
      </c>
    </row>
    <row r="3" spans="1:15" x14ac:dyDescent="0.35">
      <c r="A3" s="7" t="s">
        <v>7</v>
      </c>
      <c r="B3" s="2">
        <f t="shared" ref="B3:B8" ca="1" si="0">C38</f>
        <v>776350.1732640001</v>
      </c>
      <c r="C3" s="5">
        <f>15500*C$12</f>
        <v>16618.325000000001</v>
      </c>
      <c r="D3" s="11">
        <f t="shared" ref="D3:D8" ca="1" si="1">B3*C3</f>
        <v>12901639493.107466</v>
      </c>
      <c r="E3" s="41">
        <f ca="1">_xll.RiskOutput()+D3/1000000</f>
        <v>12901.639493107466</v>
      </c>
      <c r="F3" s="7" t="s">
        <v>7</v>
      </c>
      <c r="G3" s="2">
        <v>596881</v>
      </c>
      <c r="H3" s="5">
        <f t="shared" ref="H3:H8" si="2">C3</f>
        <v>16618.325000000001</v>
      </c>
      <c r="I3" s="11">
        <f t="shared" ref="I3:I8" si="3">G3*H3</f>
        <v>9919162444.3250008</v>
      </c>
      <c r="J3" s="11">
        <f>I3/1000000</f>
        <v>9919.1624443250003</v>
      </c>
      <c r="K3" s="7" t="s">
        <v>7</v>
      </c>
      <c r="L3" s="2">
        <v>955819</v>
      </c>
      <c r="M3" s="5">
        <f t="shared" ref="M3:M8" si="4">C3</f>
        <v>16618.325000000001</v>
      </c>
      <c r="N3" s="13">
        <f t="shared" ref="N3:N8" si="5">L3*M3</f>
        <v>15884110783.175001</v>
      </c>
      <c r="O3" s="13">
        <f>N3/1000000</f>
        <v>15884.110783175001</v>
      </c>
    </row>
    <row r="4" spans="1:15" x14ac:dyDescent="0.35">
      <c r="A4" s="7" t="s">
        <v>1</v>
      </c>
      <c r="B4" s="2">
        <f t="shared" ca="1" si="0"/>
        <v>173375.6163804</v>
      </c>
      <c r="C4" s="11">
        <f>17052*C$12</f>
        <v>18282.301799999997</v>
      </c>
      <c r="D4" s="11">
        <f t="shared" ca="1" si="1"/>
        <v>3169705343.427496</v>
      </c>
      <c r="E4" s="11">
        <f ca="1">_xll.RiskOutput()+D4/1000000</f>
        <v>3169.7053434274958</v>
      </c>
      <c r="F4" s="7" t="s">
        <v>1</v>
      </c>
      <c r="G4" s="2">
        <v>96221</v>
      </c>
      <c r="H4" s="5">
        <f t="shared" si="2"/>
        <v>18282.301799999997</v>
      </c>
      <c r="I4" s="11">
        <f t="shared" si="3"/>
        <v>1759141361.4977999</v>
      </c>
      <c r="J4" s="11">
        <f t="shared" ref="J4:J9" si="6">I4/1000000</f>
        <v>1759.1413614977998</v>
      </c>
      <c r="K4" s="7" t="s">
        <v>1</v>
      </c>
      <c r="L4" s="2">
        <v>250530</v>
      </c>
      <c r="M4" s="5">
        <f t="shared" si="4"/>
        <v>18282.301799999997</v>
      </c>
      <c r="N4" s="13">
        <f t="shared" si="5"/>
        <v>4580265069.9539995</v>
      </c>
      <c r="O4" s="13">
        <f t="shared" ref="O4:O9" si="7">N4/1000000</f>
        <v>4580.265069954</v>
      </c>
    </row>
    <row r="5" spans="1:15" x14ac:dyDescent="0.35">
      <c r="A5" s="7" t="s">
        <v>2</v>
      </c>
      <c r="B5" s="2">
        <f t="shared" ca="1" si="0"/>
        <v>756185.067774</v>
      </c>
      <c r="C5" s="11">
        <f>13743*C$12</f>
        <v>14734.557449999998</v>
      </c>
      <c r="D5" s="11">
        <f t="shared" ca="1" si="1"/>
        <v>11142052323.948145</v>
      </c>
      <c r="E5" s="11">
        <f ca="1">_xll.RiskOutput()+D5/1000000</f>
        <v>11142.052323948144</v>
      </c>
      <c r="F5" s="7" t="s">
        <v>2</v>
      </c>
      <c r="G5" s="2">
        <v>630151</v>
      </c>
      <c r="H5" s="5">
        <f t="shared" si="2"/>
        <v>14734.557449999998</v>
      </c>
      <c r="I5" s="11">
        <f t="shared" si="3"/>
        <v>9284996111.6749496</v>
      </c>
      <c r="J5" s="11">
        <f t="shared" si="6"/>
        <v>9284.9961116749491</v>
      </c>
      <c r="K5" s="7" t="s">
        <v>2</v>
      </c>
      <c r="L5" s="2">
        <v>882218</v>
      </c>
      <c r="M5" s="5">
        <f t="shared" si="4"/>
        <v>14734.557449999998</v>
      </c>
      <c r="N5" s="13">
        <f t="shared" si="5"/>
        <v>12999091804.424099</v>
      </c>
      <c r="O5" s="13">
        <f t="shared" si="7"/>
        <v>12999.091804424099</v>
      </c>
    </row>
    <row r="6" spans="1:15" x14ac:dyDescent="0.35">
      <c r="A6" s="7" t="s">
        <v>3</v>
      </c>
      <c r="B6" s="2">
        <f t="shared" ca="1" si="0"/>
        <v>67618.262021700008</v>
      </c>
      <c r="C6" s="5">
        <f>15500*C$12</f>
        <v>16618.325000000001</v>
      </c>
      <c r="D6" s="11">
        <f t="shared" ca="1" si="1"/>
        <v>1123702254.2117679</v>
      </c>
      <c r="E6" s="11">
        <f ca="1">_xll.RiskOutput()+D6/1000000</f>
        <v>1123.7022542117679</v>
      </c>
      <c r="F6" s="7" t="s">
        <v>3</v>
      </c>
      <c r="G6" s="2">
        <v>11897</v>
      </c>
      <c r="H6" s="5">
        <f t="shared" si="2"/>
        <v>16618.325000000001</v>
      </c>
      <c r="I6" s="11">
        <f t="shared" si="3"/>
        <v>197708212.52500001</v>
      </c>
      <c r="J6" s="11">
        <f t="shared" si="6"/>
        <v>197.70821252499999</v>
      </c>
      <c r="K6" s="7" t="s">
        <v>3</v>
      </c>
      <c r="L6" s="2">
        <v>123340</v>
      </c>
      <c r="M6" s="5">
        <f t="shared" si="4"/>
        <v>16618.325000000001</v>
      </c>
      <c r="N6" s="13">
        <f t="shared" si="5"/>
        <v>2049704205.5</v>
      </c>
      <c r="O6" s="13">
        <f t="shared" si="7"/>
        <v>2049.7042055000002</v>
      </c>
    </row>
    <row r="7" spans="1:15" x14ac:dyDescent="0.35">
      <c r="A7" s="7" t="s">
        <v>4</v>
      </c>
      <c r="B7" s="2">
        <f t="shared" ca="1" si="0"/>
        <v>49349.783718600003</v>
      </c>
      <c r="C7" s="5">
        <f>15500*C$12</f>
        <v>16618.325000000001</v>
      </c>
      <c r="D7" s="11">
        <f t="shared" ca="1" si="1"/>
        <v>820110744.51540339</v>
      </c>
      <c r="E7" s="11">
        <f ca="1">_xll.RiskOutput()+D7/1000000</f>
        <v>820.11074451540344</v>
      </c>
      <c r="F7" s="7" t="s">
        <v>4</v>
      </c>
      <c r="G7" s="2">
        <v>9563</v>
      </c>
      <c r="H7" s="5">
        <f t="shared" si="2"/>
        <v>16618.325000000001</v>
      </c>
      <c r="I7" s="11">
        <f t="shared" si="3"/>
        <v>158921041.97499999</v>
      </c>
      <c r="J7" s="11">
        <f t="shared" si="6"/>
        <v>158.92104197499998</v>
      </c>
      <c r="K7" s="7" t="s">
        <v>4</v>
      </c>
      <c r="L7" s="2">
        <v>89137</v>
      </c>
      <c r="M7" s="5">
        <f t="shared" si="4"/>
        <v>16618.325000000001</v>
      </c>
      <c r="N7" s="13">
        <f t="shared" si="5"/>
        <v>1481307635.5250001</v>
      </c>
      <c r="O7" s="13">
        <f t="shared" si="7"/>
        <v>1481.307635525</v>
      </c>
    </row>
    <row r="8" spans="1:15" x14ac:dyDescent="0.35">
      <c r="A8" s="7" t="s">
        <v>8</v>
      </c>
      <c r="B8" s="2">
        <f t="shared" ca="1" si="0"/>
        <v>306488.309778</v>
      </c>
      <c r="C8" s="14">
        <f>((16776/3687)*(0.5*3687)-(0.5*3687))*C$12</f>
        <v>7016.6856749999997</v>
      </c>
      <c r="D8" s="11">
        <f t="shared" ca="1" si="1"/>
        <v>2150532132.7742548</v>
      </c>
      <c r="E8" s="11">
        <f ca="1">_xll.RiskOutput()+D8/1000000</f>
        <v>2150.5321327742549</v>
      </c>
      <c r="F8" s="7" t="s">
        <v>8</v>
      </c>
      <c r="G8" s="2">
        <v>171414</v>
      </c>
      <c r="H8" s="5">
        <f t="shared" si="2"/>
        <v>7016.6856749999997</v>
      </c>
      <c r="I8" s="11">
        <f t="shared" si="3"/>
        <v>1202758158.29445</v>
      </c>
      <c r="J8" s="11">
        <f t="shared" si="6"/>
        <v>1202.7581582944501</v>
      </c>
      <c r="K8" s="7" t="s">
        <v>8</v>
      </c>
      <c r="L8" s="2">
        <v>441563</v>
      </c>
      <c r="M8" s="5">
        <f t="shared" si="4"/>
        <v>7016.6856749999997</v>
      </c>
      <c r="N8" s="13">
        <f t="shared" si="5"/>
        <v>3098308776.7100248</v>
      </c>
      <c r="O8" s="13">
        <f t="shared" si="7"/>
        <v>3098.3087767100246</v>
      </c>
    </row>
    <row r="9" spans="1:15" x14ac:dyDescent="0.35">
      <c r="A9" s="15" t="s">
        <v>0</v>
      </c>
      <c r="B9" s="10">
        <f ca="1">SUM(B3:B8)</f>
        <v>2129367.2129367003</v>
      </c>
      <c r="C9" s="16"/>
      <c r="D9" s="11">
        <f ca="1">SUM(D3:D8)</f>
        <v>31307742291.984535</v>
      </c>
      <c r="E9" s="11">
        <f ca="1">_xll.RiskOutput()+D9/1000000</f>
        <v>31307.742291984534</v>
      </c>
      <c r="F9" s="15" t="s">
        <v>0</v>
      </c>
      <c r="G9" s="10">
        <f>SUM(G3:G8)</f>
        <v>1516127</v>
      </c>
      <c r="H9" s="16"/>
      <c r="I9" s="11">
        <f>SUM(I3:I8)</f>
        <v>22522687330.292198</v>
      </c>
      <c r="J9" s="11">
        <f t="shared" si="6"/>
        <v>22522.687330292199</v>
      </c>
      <c r="K9" s="15" t="s">
        <v>0</v>
      </c>
      <c r="L9" s="12">
        <f>SUM(L3:L8)</f>
        <v>2742607</v>
      </c>
      <c r="M9" s="17"/>
      <c r="N9" s="13">
        <f>SUM(N3:N8)</f>
        <v>40092788275.288124</v>
      </c>
      <c r="O9" s="13">
        <f t="shared" si="7"/>
        <v>40092.788275288127</v>
      </c>
    </row>
    <row r="10" spans="1:15" x14ac:dyDescent="0.35">
      <c r="A10" s="3"/>
      <c r="B10" t="s">
        <v>23</v>
      </c>
      <c r="C10" s="18">
        <v>100</v>
      </c>
    </row>
    <row r="11" spans="1:15" x14ac:dyDescent="0.35">
      <c r="A11" s="3"/>
      <c r="B11" t="s">
        <v>29</v>
      </c>
      <c r="C11" s="20">
        <v>107.215</v>
      </c>
    </row>
    <row r="12" spans="1:15" x14ac:dyDescent="0.35">
      <c r="A12" s="3"/>
      <c r="B12" t="s">
        <v>24</v>
      </c>
      <c r="C12">
        <f>C11/C10</f>
        <v>1.0721499999999999</v>
      </c>
    </row>
    <row r="13" spans="1:15" x14ac:dyDescent="0.35">
      <c r="C13" s="2"/>
    </row>
    <row r="15" spans="1:15" x14ac:dyDescent="0.35">
      <c r="C15" s="1"/>
    </row>
    <row r="19" spans="1:7" x14ac:dyDescent="0.35">
      <c r="A19" t="s">
        <v>10</v>
      </c>
      <c r="B19" s="2"/>
    </row>
    <row r="20" spans="1:7" x14ac:dyDescent="0.35">
      <c r="A20" t="s">
        <v>11</v>
      </c>
      <c r="B20" s="2"/>
    </row>
    <row r="21" spans="1:7" x14ac:dyDescent="0.35">
      <c r="A21" t="s">
        <v>12</v>
      </c>
      <c r="B21" s="2" t="s">
        <v>25</v>
      </c>
      <c r="C21" t="s">
        <v>26</v>
      </c>
      <c r="D21" t="s">
        <v>27</v>
      </c>
    </row>
    <row r="22" spans="1:7" x14ac:dyDescent="0.35">
      <c r="B22" s="2"/>
      <c r="G22" s="2"/>
    </row>
    <row r="23" spans="1:7" x14ac:dyDescent="0.35">
      <c r="A23" t="s">
        <v>16</v>
      </c>
      <c r="B23" s="2">
        <v>776350</v>
      </c>
      <c r="C23">
        <v>596881</v>
      </c>
      <c r="D23">
        <v>955819</v>
      </c>
      <c r="G23" s="4"/>
    </row>
    <row r="24" spans="1:7" x14ac:dyDescent="0.35">
      <c r="A24" t="s">
        <v>1</v>
      </c>
      <c r="B24" s="2">
        <v>173376</v>
      </c>
      <c r="C24">
        <v>96221</v>
      </c>
      <c r="D24">
        <v>250530</v>
      </c>
      <c r="G24" s="2"/>
    </row>
    <row r="25" spans="1:7" x14ac:dyDescent="0.35">
      <c r="A25" t="s">
        <v>2</v>
      </c>
      <c r="B25" s="2">
        <v>756184</v>
      </c>
      <c r="C25">
        <v>630151</v>
      </c>
      <c r="D25">
        <v>882218</v>
      </c>
      <c r="G25" s="4"/>
    </row>
    <row r="26" spans="1:7" x14ac:dyDescent="0.35">
      <c r="A26" t="s">
        <v>28</v>
      </c>
      <c r="B26" s="2">
        <v>67618</v>
      </c>
      <c r="C26">
        <v>11897</v>
      </c>
      <c r="D26">
        <v>123340</v>
      </c>
      <c r="G26" s="4"/>
    </row>
    <row r="27" spans="1:7" x14ac:dyDescent="0.35">
      <c r="A27" t="s">
        <v>4</v>
      </c>
      <c r="B27">
        <v>49350</v>
      </c>
      <c r="C27">
        <v>9563</v>
      </c>
      <c r="D27">
        <v>89137</v>
      </c>
      <c r="G27" s="4"/>
    </row>
    <row r="28" spans="1:7" x14ac:dyDescent="0.35">
      <c r="A28" t="s">
        <v>17</v>
      </c>
      <c r="B28">
        <v>306488</v>
      </c>
      <c r="C28">
        <v>171414</v>
      </c>
      <c r="D28">
        <v>441563</v>
      </c>
    </row>
    <row r="29" spans="1:7" x14ac:dyDescent="0.35">
      <c r="G29" s="2"/>
    </row>
    <row r="30" spans="1:7" x14ac:dyDescent="0.35">
      <c r="A30" t="s">
        <v>0</v>
      </c>
      <c r="B30">
        <f ca="1">_xll.RiskNormal(2129367,212936.7,_xll.RiskStatic(2129367))</f>
        <v>2129367</v>
      </c>
      <c r="C30">
        <f>SUM(C23:C29)</f>
        <v>1516127</v>
      </c>
      <c r="D30">
        <f>SUM(D23:D29)</f>
        <v>2742607</v>
      </c>
    </row>
    <row r="33" spans="1:9" x14ac:dyDescent="0.35">
      <c r="F33" t="s">
        <v>10</v>
      </c>
    </row>
    <row r="34" spans="1:9" x14ac:dyDescent="0.35">
      <c r="A34" t="s">
        <v>10</v>
      </c>
      <c r="F34" t="s">
        <v>11</v>
      </c>
    </row>
    <row r="35" spans="1:9" x14ac:dyDescent="0.35">
      <c r="A35" t="s">
        <v>11</v>
      </c>
      <c r="F35" t="s">
        <v>12</v>
      </c>
      <c r="G35" t="s">
        <v>13</v>
      </c>
      <c r="H35" t="s">
        <v>14</v>
      </c>
      <c r="I35" t="s">
        <v>15</v>
      </c>
    </row>
    <row r="36" spans="1:9" x14ac:dyDescent="0.35">
      <c r="A36" t="s">
        <v>12</v>
      </c>
      <c r="B36" t="s">
        <v>30</v>
      </c>
    </row>
    <row r="37" spans="1:9" x14ac:dyDescent="0.35">
      <c r="F37" t="s">
        <v>16</v>
      </c>
      <c r="G37" s="2">
        <v>1955646</v>
      </c>
      <c r="H37">
        <v>41.97</v>
      </c>
      <c r="I37">
        <v>41.97</v>
      </c>
    </row>
    <row r="38" spans="1:9" x14ac:dyDescent="0.35">
      <c r="A38" t="s">
        <v>16</v>
      </c>
      <c r="B38">
        <v>0.36459200000000003</v>
      </c>
      <c r="C38" s="2">
        <f ca="1">_xll.RiskOutput()+B38*B30</f>
        <v>776350.1732640001</v>
      </c>
      <c r="F38" t="s">
        <v>1</v>
      </c>
      <c r="G38" s="4">
        <v>481173.1</v>
      </c>
      <c r="H38">
        <v>10.33</v>
      </c>
      <c r="I38">
        <v>52.3</v>
      </c>
    </row>
    <row r="39" spans="1:9" x14ac:dyDescent="0.35">
      <c r="A39" t="s">
        <v>1</v>
      </c>
      <c r="B39">
        <v>8.1421199999999999E-2</v>
      </c>
      <c r="C39" s="2">
        <f ca="1">_xll.RiskOutput()+B39*B30</f>
        <v>173375.6163804</v>
      </c>
      <c r="F39" t="s">
        <v>2</v>
      </c>
      <c r="G39" s="2">
        <v>1383343</v>
      </c>
      <c r="H39">
        <v>29.69</v>
      </c>
      <c r="I39">
        <v>81.98</v>
      </c>
    </row>
    <row r="40" spans="1:9" x14ac:dyDescent="0.35">
      <c r="A40" t="s">
        <v>2</v>
      </c>
      <c r="B40">
        <v>0.35512199999999999</v>
      </c>
      <c r="C40" s="2">
        <f ca="1">_xll.RiskOutput()+B40*B30</f>
        <v>756185.067774</v>
      </c>
      <c r="F40" t="s">
        <v>3</v>
      </c>
      <c r="G40" s="4">
        <v>54125.667999999998</v>
      </c>
      <c r="H40">
        <v>1.1599999999999999</v>
      </c>
      <c r="I40">
        <v>83.15</v>
      </c>
    </row>
    <row r="41" spans="1:9" x14ac:dyDescent="0.35">
      <c r="A41" t="s">
        <v>28</v>
      </c>
      <c r="B41">
        <v>3.1755100000000001E-2</v>
      </c>
      <c r="C41" s="2">
        <f ca="1">_xll.RiskOutput()+B41*B30</f>
        <v>67618.262021700008</v>
      </c>
      <c r="F41" t="s">
        <v>4</v>
      </c>
      <c r="G41" s="4">
        <v>165232.80799999999</v>
      </c>
      <c r="H41">
        <v>3.55</v>
      </c>
      <c r="I41">
        <v>86.69</v>
      </c>
    </row>
    <row r="42" spans="1:9" x14ac:dyDescent="0.35">
      <c r="A42" t="s">
        <v>4</v>
      </c>
      <c r="B42">
        <v>2.31758E-2</v>
      </c>
      <c r="C42" s="2">
        <f ca="1">_xll.RiskOutput()+B42*B30</f>
        <v>49349.783718600003</v>
      </c>
      <c r="F42" t="s">
        <v>17</v>
      </c>
      <c r="G42" s="4">
        <v>620108.79</v>
      </c>
      <c r="H42">
        <v>13.31</v>
      </c>
      <c r="I42">
        <v>100</v>
      </c>
    </row>
    <row r="43" spans="1:9" x14ac:dyDescent="0.35">
      <c r="A43" t="s">
        <v>17</v>
      </c>
      <c r="B43">
        <v>0.14393400000000001</v>
      </c>
      <c r="C43" s="2">
        <f ca="1">_xll.RiskOutput()+B43*B30</f>
        <v>306488.309778</v>
      </c>
    </row>
    <row r="44" spans="1:9" x14ac:dyDescent="0.35">
      <c r="C44" s="2"/>
      <c r="F44" t="s">
        <v>0</v>
      </c>
      <c r="G44" s="2">
        <v>4659629</v>
      </c>
      <c r="H44">
        <v>100</v>
      </c>
    </row>
    <row r="45" spans="1:9" x14ac:dyDescent="0.35">
      <c r="A45" t="s">
        <v>0</v>
      </c>
      <c r="B45">
        <v>1</v>
      </c>
      <c r="C45" s="2">
        <f ca="1">_xll.RiskNormal(2129367,130243,_xll.RiskStatic(2129367))</f>
        <v>2129367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E056-0C1A-4082-94F0-9BE3A420BF4D}">
  <dimension ref="A1:J522"/>
  <sheetViews>
    <sheetView topLeftCell="A7" workbookViewId="0">
      <selection activeCell="M20" sqref="M20"/>
    </sheetView>
  </sheetViews>
  <sheetFormatPr defaultRowHeight="14.5" x14ac:dyDescent="0.35"/>
  <sheetData>
    <row r="1" spans="1:10" ht="17.5" x14ac:dyDescent="0.35">
      <c r="A1" s="70" t="s">
        <v>111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35">
      <c r="A2" s="72" t="s">
        <v>112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35">
      <c r="A3" s="72" t="s">
        <v>113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x14ac:dyDescent="0.35">
      <c r="A5" s="74"/>
      <c r="B5" s="75" t="s">
        <v>114</v>
      </c>
      <c r="C5" s="75" t="s">
        <v>115</v>
      </c>
      <c r="D5" s="75" t="s">
        <v>116</v>
      </c>
      <c r="E5" s="76" t="s">
        <v>117</v>
      </c>
      <c r="F5" s="76" t="s">
        <v>118</v>
      </c>
      <c r="G5" s="76" t="s">
        <v>119</v>
      </c>
      <c r="H5" s="77">
        <v>2.5000000000000001E-2</v>
      </c>
      <c r="I5" s="77">
        <v>0.97499999999999998</v>
      </c>
      <c r="J5" s="78" t="s">
        <v>120</v>
      </c>
    </row>
    <row r="6" spans="1:10" x14ac:dyDescent="0.35">
      <c r="A6" s="79" t="s">
        <v>121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x14ac:dyDescent="0.35">
      <c r="A7" s="81"/>
      <c r="B7" s="82" t="s">
        <v>122</v>
      </c>
      <c r="C7" s="82" t="s">
        <v>123</v>
      </c>
      <c r="D7" s="82" t="s">
        <v>124</v>
      </c>
      <c r="E7" s="83">
        <v>441971.8</v>
      </c>
      <c r="F7" s="83">
        <v>776350.3</v>
      </c>
      <c r="G7" s="83">
        <v>1125201</v>
      </c>
      <c r="H7" s="83">
        <v>624180.30000000005</v>
      </c>
      <c r="I7" s="83">
        <v>928510.8</v>
      </c>
      <c r="J7" s="84" t="s">
        <v>125</v>
      </c>
    </row>
    <row r="8" spans="1:10" x14ac:dyDescent="0.35">
      <c r="A8" s="85"/>
      <c r="B8" s="86" t="s">
        <v>126</v>
      </c>
      <c r="C8" s="86" t="s">
        <v>123</v>
      </c>
      <c r="D8" s="86" t="s">
        <v>127</v>
      </c>
      <c r="E8" s="87">
        <v>98701.77</v>
      </c>
      <c r="F8" s="87">
        <v>173375.7</v>
      </c>
      <c r="G8" s="87">
        <v>251281.5</v>
      </c>
      <c r="H8" s="87">
        <v>139392.79999999999</v>
      </c>
      <c r="I8" s="87">
        <v>207356.3</v>
      </c>
      <c r="J8" s="88" t="s">
        <v>125</v>
      </c>
    </row>
    <row r="9" spans="1:10" x14ac:dyDescent="0.35">
      <c r="A9" s="85"/>
      <c r="B9" s="86" t="s">
        <v>128</v>
      </c>
      <c r="C9" s="86" t="s">
        <v>123</v>
      </c>
      <c r="D9" s="86" t="s">
        <v>129</v>
      </c>
      <c r="E9" s="87">
        <v>430492</v>
      </c>
      <c r="F9" s="87">
        <v>756185.2</v>
      </c>
      <c r="G9" s="87">
        <v>1095975</v>
      </c>
      <c r="H9" s="87">
        <v>607967.69999999995</v>
      </c>
      <c r="I9" s="87">
        <v>904393.4</v>
      </c>
      <c r="J9" s="88" t="s">
        <v>125</v>
      </c>
    </row>
    <row r="10" spans="1:10" x14ac:dyDescent="0.35">
      <c r="A10" s="85"/>
      <c r="B10" s="86" t="s">
        <v>130</v>
      </c>
      <c r="C10" s="86" t="s">
        <v>123</v>
      </c>
      <c r="D10" s="86" t="s">
        <v>131</v>
      </c>
      <c r="E10" s="87">
        <v>38494.699999999997</v>
      </c>
      <c r="F10" s="87">
        <v>67618.27</v>
      </c>
      <c r="G10" s="87">
        <v>98002.34</v>
      </c>
      <c r="H10" s="87">
        <v>54364.63</v>
      </c>
      <c r="I10" s="87">
        <v>80871.09</v>
      </c>
      <c r="J10" s="88" t="s">
        <v>125</v>
      </c>
    </row>
    <row r="11" spans="1:10" x14ac:dyDescent="0.35">
      <c r="A11" s="85"/>
      <c r="B11" s="86" t="s">
        <v>132</v>
      </c>
      <c r="C11" s="86" t="s">
        <v>123</v>
      </c>
      <c r="D11" s="86" t="s">
        <v>133</v>
      </c>
      <c r="E11" s="87">
        <v>28094.560000000001</v>
      </c>
      <c r="F11" s="87">
        <v>49349.79</v>
      </c>
      <c r="G11" s="87">
        <v>71524.97</v>
      </c>
      <c r="H11" s="87">
        <v>39676.89</v>
      </c>
      <c r="I11" s="87">
        <v>59022.080000000002</v>
      </c>
      <c r="J11" s="88" t="s">
        <v>125</v>
      </c>
    </row>
    <row r="12" spans="1:10" x14ac:dyDescent="0.35">
      <c r="A12" s="85"/>
      <c r="B12" s="86" t="s">
        <v>134</v>
      </c>
      <c r="C12" s="86" t="s">
        <v>123</v>
      </c>
      <c r="D12" s="86" t="s">
        <v>135</v>
      </c>
      <c r="E12" s="87">
        <v>174482.1</v>
      </c>
      <c r="F12" s="87">
        <v>306488.40000000002</v>
      </c>
      <c r="G12" s="87">
        <v>444207.9</v>
      </c>
      <c r="H12" s="87">
        <v>246414.5</v>
      </c>
      <c r="I12" s="87">
        <v>366558.4</v>
      </c>
      <c r="J12" s="88" t="s">
        <v>125</v>
      </c>
    </row>
    <row r="13" spans="1:10" x14ac:dyDescent="0.35">
      <c r="A13" s="85"/>
      <c r="B13" s="86" t="s">
        <v>136</v>
      </c>
      <c r="C13" s="86" t="s">
        <v>123</v>
      </c>
      <c r="D13" s="86" t="s">
        <v>137</v>
      </c>
      <c r="E13" s="89">
        <v>7344.83</v>
      </c>
      <c r="F13" s="89">
        <v>12901.64</v>
      </c>
      <c r="G13" s="89">
        <v>18698.95</v>
      </c>
      <c r="H13" s="89">
        <v>10372.83</v>
      </c>
      <c r="I13" s="89">
        <v>15430.29</v>
      </c>
      <c r="J13" s="88" t="s">
        <v>125</v>
      </c>
    </row>
    <row r="14" spans="1:10" x14ac:dyDescent="0.35">
      <c r="A14" s="85"/>
      <c r="B14" s="86" t="s">
        <v>138</v>
      </c>
      <c r="C14" s="86" t="s">
        <v>123</v>
      </c>
      <c r="D14" s="86" t="s">
        <v>139</v>
      </c>
      <c r="E14" s="90">
        <v>1804.5</v>
      </c>
      <c r="F14" s="90">
        <v>3169.71</v>
      </c>
      <c r="G14" s="90">
        <v>4594</v>
      </c>
      <c r="H14" s="90">
        <v>2548.42</v>
      </c>
      <c r="I14" s="90">
        <v>3790.95</v>
      </c>
      <c r="J14" s="88" t="s">
        <v>125</v>
      </c>
    </row>
    <row r="15" spans="1:10" x14ac:dyDescent="0.35">
      <c r="A15" s="85"/>
      <c r="B15" s="86" t="s">
        <v>140</v>
      </c>
      <c r="C15" s="86" t="s">
        <v>123</v>
      </c>
      <c r="D15" s="86" t="s">
        <v>141</v>
      </c>
      <c r="E15" s="90">
        <v>6343.11</v>
      </c>
      <c r="F15" s="90">
        <v>11142.05</v>
      </c>
      <c r="G15" s="90">
        <v>16148.7</v>
      </c>
      <c r="H15" s="90">
        <v>8958.14</v>
      </c>
      <c r="I15" s="90">
        <v>13325.84</v>
      </c>
      <c r="J15" s="88" t="s">
        <v>125</v>
      </c>
    </row>
    <row r="16" spans="1:10" x14ac:dyDescent="0.35">
      <c r="A16" s="85"/>
      <c r="B16" s="86" t="s">
        <v>142</v>
      </c>
      <c r="C16" s="86" t="s">
        <v>123</v>
      </c>
      <c r="D16" s="86" t="s">
        <v>143</v>
      </c>
      <c r="E16" s="90">
        <v>639.72</v>
      </c>
      <c r="F16" s="90">
        <v>1123.7</v>
      </c>
      <c r="G16" s="90">
        <v>1628.64</v>
      </c>
      <c r="H16" s="90">
        <v>903.45</v>
      </c>
      <c r="I16" s="90">
        <v>1343.94</v>
      </c>
      <c r="J16" s="88" t="s">
        <v>125</v>
      </c>
    </row>
    <row r="17" spans="1:10" x14ac:dyDescent="0.35">
      <c r="A17" s="85"/>
      <c r="B17" s="86" t="s">
        <v>144</v>
      </c>
      <c r="C17" s="86" t="s">
        <v>123</v>
      </c>
      <c r="D17" s="86" t="s">
        <v>145</v>
      </c>
      <c r="E17" s="90">
        <v>466.88</v>
      </c>
      <c r="F17" s="90">
        <v>820.11</v>
      </c>
      <c r="G17" s="90">
        <v>1188.6300000000001</v>
      </c>
      <c r="H17" s="90">
        <v>659.36</v>
      </c>
      <c r="I17" s="90">
        <v>980.85</v>
      </c>
      <c r="J17" s="88" t="s">
        <v>125</v>
      </c>
    </row>
    <row r="18" spans="1:10" x14ac:dyDescent="0.35">
      <c r="A18" s="85"/>
      <c r="B18" s="86" t="s">
        <v>146</v>
      </c>
      <c r="C18" s="86" t="s">
        <v>123</v>
      </c>
      <c r="D18" s="86" t="s">
        <v>147</v>
      </c>
      <c r="E18" s="90">
        <v>1224.29</v>
      </c>
      <c r="F18" s="90">
        <v>2150.5300000000002</v>
      </c>
      <c r="G18" s="90">
        <v>3116.87</v>
      </c>
      <c r="H18" s="90">
        <v>1729.01</v>
      </c>
      <c r="I18" s="90">
        <v>2572.0300000000002</v>
      </c>
      <c r="J18" s="88" t="s">
        <v>125</v>
      </c>
    </row>
    <row r="19" spans="1:10" x14ac:dyDescent="0.35">
      <c r="A19" s="85"/>
      <c r="B19" s="86" t="s">
        <v>148</v>
      </c>
      <c r="C19" s="86" t="s">
        <v>123</v>
      </c>
      <c r="D19" s="86" t="s">
        <v>149</v>
      </c>
      <c r="E19" s="90">
        <v>17823.32</v>
      </c>
      <c r="F19" s="90">
        <v>31307.75</v>
      </c>
      <c r="G19" s="90">
        <v>45375.79</v>
      </c>
      <c r="H19" s="90">
        <v>25171.21</v>
      </c>
      <c r="I19" s="90">
        <v>37443.89</v>
      </c>
      <c r="J19" s="88" t="s">
        <v>125</v>
      </c>
    </row>
    <row r="20" spans="1:10" x14ac:dyDescent="0.35">
      <c r="A20" s="85"/>
      <c r="B20" s="86" t="s">
        <v>150</v>
      </c>
      <c r="C20" s="86" t="s">
        <v>151</v>
      </c>
      <c r="D20" s="86" t="s">
        <v>152</v>
      </c>
      <c r="E20" s="90">
        <v>17823.32</v>
      </c>
      <c r="F20" s="90">
        <v>31307.75</v>
      </c>
      <c r="G20" s="90">
        <v>45375.79</v>
      </c>
      <c r="H20" s="90">
        <v>25171.21</v>
      </c>
      <c r="I20" s="90">
        <v>37443.89</v>
      </c>
      <c r="J20" s="88" t="s">
        <v>125</v>
      </c>
    </row>
    <row r="21" spans="1:10" x14ac:dyDescent="0.35">
      <c r="A21" s="85"/>
      <c r="B21" s="86" t="s">
        <v>150</v>
      </c>
      <c r="C21" s="86" t="s">
        <v>151</v>
      </c>
      <c r="D21" s="86" t="s">
        <v>153</v>
      </c>
      <c r="E21" s="90">
        <v>3232.42</v>
      </c>
      <c r="F21" s="90">
        <v>3534</v>
      </c>
      <c r="G21" s="90">
        <v>3820.16</v>
      </c>
      <c r="H21" s="90">
        <v>3354.58</v>
      </c>
      <c r="I21" s="90">
        <v>3713.64</v>
      </c>
      <c r="J21" s="88" t="s">
        <v>125</v>
      </c>
    </row>
    <row r="22" spans="1:10" x14ac:dyDescent="0.35">
      <c r="A22" s="85"/>
      <c r="B22" s="86" t="s">
        <v>154</v>
      </c>
      <c r="C22" s="86" t="s">
        <v>151</v>
      </c>
      <c r="D22" s="86" t="s">
        <v>155</v>
      </c>
      <c r="E22" s="90">
        <v>13619.81</v>
      </c>
      <c r="F22" s="90">
        <v>14819.38</v>
      </c>
      <c r="G22" s="90">
        <v>16030.57</v>
      </c>
      <c r="H22" s="90">
        <v>14181.43</v>
      </c>
      <c r="I22" s="90">
        <v>15462.11</v>
      </c>
      <c r="J22" s="88" t="s">
        <v>125</v>
      </c>
    </row>
    <row r="23" spans="1:10" x14ac:dyDescent="0.35">
      <c r="A23" s="85"/>
      <c r="B23" s="86" t="s">
        <v>156</v>
      </c>
      <c r="C23" s="86" t="s">
        <v>151</v>
      </c>
      <c r="D23" s="86" t="s">
        <v>157</v>
      </c>
      <c r="E23" s="90">
        <v>21503.88</v>
      </c>
      <c r="F23" s="90">
        <v>31310.94</v>
      </c>
      <c r="G23" s="90">
        <v>41069.82</v>
      </c>
      <c r="H23" s="90">
        <v>26680.63</v>
      </c>
      <c r="I23" s="90">
        <v>35953.870000000003</v>
      </c>
      <c r="J23" s="88" t="s">
        <v>125</v>
      </c>
    </row>
    <row r="24" spans="1:10" x14ac:dyDescent="0.35">
      <c r="A24" s="85"/>
      <c r="B24" s="86" t="s">
        <v>158</v>
      </c>
      <c r="C24" s="86" t="s">
        <v>151</v>
      </c>
      <c r="D24" s="86" t="s">
        <v>159</v>
      </c>
      <c r="E24" s="90">
        <v>268023.09999999998</v>
      </c>
      <c r="F24" s="90">
        <v>389911.7</v>
      </c>
      <c r="G24" s="90">
        <v>515465.2</v>
      </c>
      <c r="H24" s="90">
        <v>337692.6</v>
      </c>
      <c r="I24" s="90">
        <v>444278</v>
      </c>
      <c r="J24" s="88" t="s">
        <v>125</v>
      </c>
    </row>
    <row r="25" spans="1:10" x14ac:dyDescent="0.35">
      <c r="A25" s="85"/>
      <c r="B25" s="86" t="s">
        <v>160</v>
      </c>
      <c r="C25" s="86" t="s">
        <v>151</v>
      </c>
      <c r="D25" s="86" t="s">
        <v>161</v>
      </c>
      <c r="E25" s="90">
        <v>350249.7</v>
      </c>
      <c r="F25" s="90">
        <v>470883.8</v>
      </c>
      <c r="G25" s="90">
        <v>591397.30000000005</v>
      </c>
      <c r="H25" s="90">
        <v>417783.3</v>
      </c>
      <c r="I25" s="90">
        <v>525692</v>
      </c>
      <c r="J25" s="88" t="s">
        <v>125</v>
      </c>
    </row>
    <row r="26" spans="1:10" x14ac:dyDescent="0.35">
      <c r="A26" s="85"/>
      <c r="B26" s="86" t="s">
        <v>162</v>
      </c>
      <c r="C26" s="86" t="s">
        <v>151</v>
      </c>
      <c r="D26" s="86" t="s">
        <v>163</v>
      </c>
      <c r="E26" s="90">
        <v>542913.9</v>
      </c>
      <c r="F26" s="90">
        <v>549690.80000000005</v>
      </c>
      <c r="G26" s="90">
        <v>556427.4</v>
      </c>
      <c r="H26" s="90">
        <v>544834.80000000005</v>
      </c>
      <c r="I26" s="90">
        <v>554545.6</v>
      </c>
      <c r="J26" s="88" t="s">
        <v>125</v>
      </c>
    </row>
    <row r="27" spans="1:10" x14ac:dyDescent="0.35">
      <c r="A27" s="85"/>
      <c r="B27" s="86" t="s">
        <v>164</v>
      </c>
      <c r="C27" s="86" t="s">
        <v>151</v>
      </c>
      <c r="D27" s="86" t="s">
        <v>165</v>
      </c>
      <c r="E27" s="90">
        <v>902212.9</v>
      </c>
      <c r="F27" s="90">
        <v>1020575</v>
      </c>
      <c r="G27" s="90">
        <v>1140667</v>
      </c>
      <c r="H27" s="90">
        <v>967244.4</v>
      </c>
      <c r="I27" s="90">
        <v>1075680</v>
      </c>
      <c r="J27" s="88" t="s">
        <v>125</v>
      </c>
    </row>
    <row r="28" spans="1:10" x14ac:dyDescent="0.35">
      <c r="A28" s="85"/>
      <c r="B28" s="86" t="s">
        <v>150</v>
      </c>
      <c r="C28" s="86" t="s">
        <v>166</v>
      </c>
      <c r="D28" s="86" t="s">
        <v>152</v>
      </c>
      <c r="E28" s="90">
        <v>17823.32</v>
      </c>
      <c r="F28" s="90">
        <v>31307.75</v>
      </c>
      <c r="G28" s="90">
        <v>45375.79</v>
      </c>
      <c r="H28" s="90">
        <v>25171.21</v>
      </c>
      <c r="I28" s="90">
        <v>37443.89</v>
      </c>
      <c r="J28" s="88" t="s">
        <v>125</v>
      </c>
    </row>
    <row r="29" spans="1:10" x14ac:dyDescent="0.35">
      <c r="A29" s="85"/>
      <c r="B29" s="86" t="s">
        <v>150</v>
      </c>
      <c r="C29" s="86" t="s">
        <v>166</v>
      </c>
      <c r="D29" s="86" t="s">
        <v>153</v>
      </c>
      <c r="E29" s="90">
        <v>3240.99</v>
      </c>
      <c r="F29" s="90">
        <v>3534</v>
      </c>
      <c r="G29" s="90">
        <v>3841.28</v>
      </c>
      <c r="H29" s="90">
        <v>3355.14</v>
      </c>
      <c r="I29" s="90">
        <v>3712.96</v>
      </c>
      <c r="J29" s="88" t="s">
        <v>125</v>
      </c>
    </row>
    <row r="30" spans="1:10" x14ac:dyDescent="0.35">
      <c r="A30" s="85"/>
      <c r="B30" s="86" t="s">
        <v>156</v>
      </c>
      <c r="C30" s="86" t="s">
        <v>166</v>
      </c>
      <c r="D30" s="86" t="s">
        <v>157</v>
      </c>
      <c r="E30" s="90">
        <v>21166.560000000001</v>
      </c>
      <c r="F30" s="90">
        <v>31310.94</v>
      </c>
      <c r="G30" s="90">
        <v>41145.14</v>
      </c>
      <c r="H30" s="90">
        <v>26670.38</v>
      </c>
      <c r="I30" s="90">
        <v>35943.71</v>
      </c>
      <c r="J30" s="88" t="s">
        <v>125</v>
      </c>
    </row>
    <row r="31" spans="1:10" x14ac:dyDescent="0.35">
      <c r="A31" s="85"/>
      <c r="B31" s="86" t="s">
        <v>158</v>
      </c>
      <c r="C31" s="86" t="s">
        <v>166</v>
      </c>
      <c r="D31" s="86" t="s">
        <v>159</v>
      </c>
      <c r="E31" s="90">
        <v>125806.8</v>
      </c>
      <c r="F31" s="90">
        <v>183019.8</v>
      </c>
      <c r="G31" s="90">
        <v>241953</v>
      </c>
      <c r="H31" s="90">
        <v>158508.79999999999</v>
      </c>
      <c r="I31" s="90">
        <v>208538.6</v>
      </c>
      <c r="J31" s="88" t="s">
        <v>125</v>
      </c>
    </row>
    <row r="32" spans="1:10" x14ac:dyDescent="0.35">
      <c r="A32" s="85"/>
      <c r="B32" s="86" t="s">
        <v>160</v>
      </c>
      <c r="C32" s="86" t="s">
        <v>166</v>
      </c>
      <c r="D32" s="86" t="s">
        <v>161</v>
      </c>
      <c r="E32" s="90">
        <v>206672.6</v>
      </c>
      <c r="F32" s="90">
        <v>263991.8</v>
      </c>
      <c r="G32" s="90">
        <v>322394.7</v>
      </c>
      <c r="H32" s="90">
        <v>238229.5</v>
      </c>
      <c r="I32" s="90">
        <v>290659.59999999998</v>
      </c>
      <c r="J32" s="88" t="s">
        <v>125</v>
      </c>
    </row>
    <row r="33" spans="1:10" x14ac:dyDescent="0.35">
      <c r="A33" s="85"/>
      <c r="B33" s="86" t="s">
        <v>162</v>
      </c>
      <c r="C33" s="86" t="s">
        <v>166</v>
      </c>
      <c r="D33" s="86" t="s">
        <v>163</v>
      </c>
      <c r="E33" s="90">
        <v>285220.8</v>
      </c>
      <c r="F33" s="90">
        <v>291976.3</v>
      </c>
      <c r="G33" s="90">
        <v>298746.5</v>
      </c>
      <c r="H33" s="90">
        <v>287120</v>
      </c>
      <c r="I33" s="90">
        <v>296830.7</v>
      </c>
      <c r="J33" s="88" t="s">
        <v>125</v>
      </c>
    </row>
    <row r="34" spans="1:10" x14ac:dyDescent="0.35">
      <c r="A34" s="85"/>
      <c r="B34" s="86" t="s">
        <v>164</v>
      </c>
      <c r="C34" s="86" t="s">
        <v>166</v>
      </c>
      <c r="D34" s="86" t="s">
        <v>165</v>
      </c>
      <c r="E34" s="90">
        <v>494899.6</v>
      </c>
      <c r="F34" s="90">
        <v>555968.1</v>
      </c>
      <c r="G34" s="90">
        <v>615679.4</v>
      </c>
      <c r="H34" s="90">
        <v>529822.80000000005</v>
      </c>
      <c r="I34" s="90">
        <v>582988.6</v>
      </c>
      <c r="J34" s="88" t="s">
        <v>125</v>
      </c>
    </row>
    <row r="35" spans="1:10" x14ac:dyDescent="0.35">
      <c r="A35" s="85"/>
      <c r="B35" s="86" t="s">
        <v>150</v>
      </c>
      <c r="C35" s="86" t="s">
        <v>167</v>
      </c>
      <c r="D35" s="86" t="s">
        <v>152</v>
      </c>
      <c r="E35" s="90">
        <v>17823.32</v>
      </c>
      <c r="F35" s="90">
        <v>31307.75</v>
      </c>
      <c r="G35" s="90">
        <v>45375.79</v>
      </c>
      <c r="H35" s="90">
        <v>25171.21</v>
      </c>
      <c r="I35" s="90">
        <v>37443.89</v>
      </c>
      <c r="J35" s="88" t="s">
        <v>125</v>
      </c>
    </row>
    <row r="36" spans="1:10" x14ac:dyDescent="0.35">
      <c r="A36" s="85"/>
      <c r="B36" s="86" t="s">
        <v>150</v>
      </c>
      <c r="C36" s="86" t="s">
        <v>167</v>
      </c>
      <c r="D36" s="86" t="s">
        <v>153</v>
      </c>
      <c r="E36" s="90">
        <v>3220.53</v>
      </c>
      <c r="F36" s="90">
        <v>3534</v>
      </c>
      <c r="G36" s="90">
        <v>3834.83</v>
      </c>
      <c r="H36" s="90">
        <v>3355.51</v>
      </c>
      <c r="I36" s="90">
        <v>3712.66</v>
      </c>
      <c r="J36" s="88" t="s">
        <v>125</v>
      </c>
    </row>
    <row r="37" spans="1:10" x14ac:dyDescent="0.35">
      <c r="A37" s="85"/>
      <c r="B37" s="86" t="s">
        <v>156</v>
      </c>
      <c r="C37" s="86" t="s">
        <v>167</v>
      </c>
      <c r="D37" s="86" t="s">
        <v>157</v>
      </c>
      <c r="E37" s="90">
        <v>21103.38</v>
      </c>
      <c r="F37" s="90">
        <v>31310.94</v>
      </c>
      <c r="G37" s="90">
        <v>41257.699999999997</v>
      </c>
      <c r="H37" s="90">
        <v>26679.8</v>
      </c>
      <c r="I37" s="90">
        <v>35954.269999999997</v>
      </c>
      <c r="J37" s="88" t="s">
        <v>125</v>
      </c>
    </row>
    <row r="38" spans="1:10" x14ac:dyDescent="0.35">
      <c r="A38" s="85"/>
      <c r="B38" s="86" t="s">
        <v>158</v>
      </c>
      <c r="C38" s="86" t="s">
        <v>167</v>
      </c>
      <c r="D38" s="86" t="s">
        <v>159</v>
      </c>
      <c r="E38" s="90">
        <v>410239.4</v>
      </c>
      <c r="F38" s="90">
        <v>596803.6</v>
      </c>
      <c r="G38" s="90">
        <v>788977.3</v>
      </c>
      <c r="H38" s="90">
        <v>516876.4</v>
      </c>
      <c r="I38" s="90">
        <v>680017.3</v>
      </c>
      <c r="J38" s="88" t="s">
        <v>125</v>
      </c>
    </row>
    <row r="39" spans="1:10" x14ac:dyDescent="0.35">
      <c r="A39" s="85"/>
      <c r="B39" s="86" t="s">
        <v>160</v>
      </c>
      <c r="C39" s="86" t="s">
        <v>167</v>
      </c>
      <c r="D39" s="86" t="s">
        <v>161</v>
      </c>
      <c r="E39" s="90">
        <v>491339.9</v>
      </c>
      <c r="F39" s="90">
        <v>677775.6</v>
      </c>
      <c r="G39" s="90">
        <v>864783.4</v>
      </c>
      <c r="H39" s="90">
        <v>597156.30000000005</v>
      </c>
      <c r="I39" s="90">
        <v>761187.2</v>
      </c>
      <c r="J39" s="88" t="s">
        <v>125</v>
      </c>
    </row>
    <row r="40" spans="1:10" x14ac:dyDescent="0.35">
      <c r="A40" s="85"/>
      <c r="B40" s="86" t="s">
        <v>162</v>
      </c>
      <c r="C40" s="86" t="s">
        <v>167</v>
      </c>
      <c r="D40" s="86" t="s">
        <v>163</v>
      </c>
      <c r="E40" s="90">
        <v>795708.1</v>
      </c>
      <c r="F40" s="90">
        <v>802449.4</v>
      </c>
      <c r="G40" s="90">
        <v>809197.4</v>
      </c>
      <c r="H40" s="90">
        <v>797593.9</v>
      </c>
      <c r="I40" s="90">
        <v>807305.3</v>
      </c>
      <c r="J40" s="88" t="s">
        <v>125</v>
      </c>
    </row>
    <row r="41" spans="1:10" x14ac:dyDescent="0.35">
      <c r="A41" s="85"/>
      <c r="B41" s="86" t="s">
        <v>164</v>
      </c>
      <c r="C41" s="86" t="s">
        <v>167</v>
      </c>
      <c r="D41" s="86" t="s">
        <v>165</v>
      </c>
      <c r="E41" s="90">
        <v>1297016</v>
      </c>
      <c r="F41" s="90">
        <v>1480225</v>
      </c>
      <c r="G41" s="90">
        <v>1672797</v>
      </c>
      <c r="H41" s="90">
        <v>1399478</v>
      </c>
      <c r="I41" s="90">
        <v>1563731</v>
      </c>
      <c r="J41" s="88" t="s">
        <v>125</v>
      </c>
    </row>
    <row r="42" spans="1:10" x14ac:dyDescent="0.35">
      <c r="A42" s="85"/>
      <c r="B42" s="86" t="s">
        <v>168</v>
      </c>
      <c r="C42" s="86" t="s">
        <v>169</v>
      </c>
      <c r="D42" s="86" t="s">
        <v>170</v>
      </c>
      <c r="E42" s="86">
        <v>0.4057849</v>
      </c>
      <c r="F42" s="86">
        <v>0.48799999999999999</v>
      </c>
      <c r="G42" s="86">
        <v>0.56882279999999996</v>
      </c>
      <c r="H42" s="86">
        <v>0.45099929999999999</v>
      </c>
      <c r="I42" s="86">
        <v>0.52499910000000005</v>
      </c>
      <c r="J42" s="88" t="s">
        <v>125</v>
      </c>
    </row>
    <row r="43" spans="1:10" x14ac:dyDescent="0.35">
      <c r="A43" s="85"/>
      <c r="B43" s="86" t="s">
        <v>171</v>
      </c>
      <c r="C43" s="86" t="s">
        <v>169</v>
      </c>
      <c r="D43" s="86" t="s">
        <v>172</v>
      </c>
      <c r="E43" s="86">
        <v>0.297792</v>
      </c>
      <c r="F43" s="86">
        <v>0.374</v>
      </c>
      <c r="G43" s="86">
        <v>0.45195550000000001</v>
      </c>
      <c r="H43" s="86">
        <v>0.33899770000000001</v>
      </c>
      <c r="I43" s="86">
        <v>0.40899770000000002</v>
      </c>
      <c r="J43" s="88" t="s">
        <v>125</v>
      </c>
    </row>
    <row r="44" spans="1:10" x14ac:dyDescent="0.35">
      <c r="A44" s="85"/>
      <c r="B44" s="86" t="s">
        <v>56</v>
      </c>
      <c r="C44" s="86" t="s">
        <v>169</v>
      </c>
      <c r="D44" s="86" t="s">
        <v>173</v>
      </c>
      <c r="E44" s="86">
        <v>0.2144828</v>
      </c>
      <c r="F44" s="86">
        <v>0.28499999999999998</v>
      </c>
      <c r="G44" s="86">
        <v>0.35325400000000001</v>
      </c>
      <c r="H44" s="86">
        <v>0.25474790000000003</v>
      </c>
      <c r="I44" s="86">
        <v>0.3152491</v>
      </c>
      <c r="J44" s="88" t="s">
        <v>125</v>
      </c>
    </row>
    <row r="45" spans="1:10" x14ac:dyDescent="0.35">
      <c r="A45" s="85"/>
      <c r="B45" s="86" t="s">
        <v>174</v>
      </c>
      <c r="C45" s="86" t="s">
        <v>169</v>
      </c>
      <c r="D45" s="86" t="s">
        <v>175</v>
      </c>
      <c r="E45" s="86">
        <v>0.1332933</v>
      </c>
      <c r="F45" s="86">
        <v>0.193</v>
      </c>
      <c r="G45" s="86">
        <v>0.252058</v>
      </c>
      <c r="H45" s="86">
        <v>0.1659977</v>
      </c>
      <c r="I45" s="86">
        <v>0.2199989</v>
      </c>
      <c r="J45" s="88" t="s">
        <v>125</v>
      </c>
    </row>
    <row r="46" spans="1:10" x14ac:dyDescent="0.35">
      <c r="A46" s="85"/>
      <c r="B46" s="86" t="s">
        <v>176</v>
      </c>
      <c r="C46" s="86" t="s">
        <v>169</v>
      </c>
      <c r="D46" s="86" t="s">
        <v>177</v>
      </c>
      <c r="E46" s="86">
        <v>118994.8</v>
      </c>
      <c r="F46" s="86">
        <v>163062.39999999999</v>
      </c>
      <c r="G46" s="86">
        <v>207142.9</v>
      </c>
      <c r="H46" s="86">
        <v>143513.20000000001</v>
      </c>
      <c r="I46" s="86">
        <v>182609.3</v>
      </c>
      <c r="J46" s="88" t="s">
        <v>125</v>
      </c>
    </row>
    <row r="47" spans="1:10" x14ac:dyDescent="0.35">
      <c r="A47" s="85"/>
      <c r="B47" s="86" t="s">
        <v>178</v>
      </c>
      <c r="C47" s="86" t="s">
        <v>169</v>
      </c>
      <c r="D47" s="86" t="s">
        <v>179</v>
      </c>
      <c r="E47" s="86">
        <v>936621.6</v>
      </c>
      <c r="F47" s="86">
        <v>1283483</v>
      </c>
      <c r="G47" s="86">
        <v>1630446</v>
      </c>
      <c r="H47" s="86">
        <v>1129609</v>
      </c>
      <c r="I47" s="86">
        <v>1437339</v>
      </c>
      <c r="J47" s="88" t="s">
        <v>125</v>
      </c>
    </row>
    <row r="48" spans="1:10" x14ac:dyDescent="0.35">
      <c r="A48" s="85"/>
      <c r="B48" s="86" t="s">
        <v>180</v>
      </c>
      <c r="C48" s="86" t="s">
        <v>169</v>
      </c>
      <c r="D48" s="86" t="s">
        <v>181</v>
      </c>
      <c r="E48" s="86">
        <v>494433</v>
      </c>
      <c r="F48" s="86">
        <v>677537.7</v>
      </c>
      <c r="G48" s="86">
        <v>860695.8</v>
      </c>
      <c r="H48" s="86">
        <v>596309.30000000005</v>
      </c>
      <c r="I48" s="86">
        <v>758756.8</v>
      </c>
      <c r="J48" s="88" t="s">
        <v>125</v>
      </c>
    </row>
    <row r="49" spans="1:10" x14ac:dyDescent="0.35">
      <c r="A49" s="85"/>
      <c r="B49" s="86" t="s">
        <v>182</v>
      </c>
      <c r="C49" s="86" t="s">
        <v>169</v>
      </c>
      <c r="D49" s="86" t="s">
        <v>183</v>
      </c>
      <c r="E49" s="86">
        <v>3855.8890000000001</v>
      </c>
      <c r="F49" s="86">
        <v>5283.85</v>
      </c>
      <c r="G49" s="86">
        <v>6712.2280000000001</v>
      </c>
      <c r="H49" s="86">
        <v>4650.3810000000003</v>
      </c>
      <c r="I49" s="86">
        <v>5917.2460000000001</v>
      </c>
      <c r="J49" s="88" t="s">
        <v>125</v>
      </c>
    </row>
    <row r="50" spans="1:10" x14ac:dyDescent="0.35">
      <c r="A50" s="85"/>
      <c r="B50" s="86" t="s">
        <v>184</v>
      </c>
      <c r="C50" s="86" t="s">
        <v>169</v>
      </c>
      <c r="D50" s="86" t="s">
        <v>185</v>
      </c>
      <c r="E50" s="89">
        <v>209922.3</v>
      </c>
      <c r="F50" s="89">
        <v>252454.1</v>
      </c>
      <c r="G50" s="89">
        <v>294265.7</v>
      </c>
      <c r="H50" s="89">
        <v>233312.8</v>
      </c>
      <c r="I50" s="89">
        <v>271594.7</v>
      </c>
      <c r="J50" s="88" t="s">
        <v>125</v>
      </c>
    </row>
    <row r="51" spans="1:10" x14ac:dyDescent="0.35">
      <c r="A51" s="85"/>
      <c r="B51" s="86" t="s">
        <v>186</v>
      </c>
      <c r="C51" s="86" t="s">
        <v>169</v>
      </c>
      <c r="D51" s="86" t="s">
        <v>187</v>
      </c>
      <c r="E51" s="90">
        <v>154055</v>
      </c>
      <c r="F51" s="90">
        <v>193479.2</v>
      </c>
      <c r="G51" s="90">
        <v>233807.5</v>
      </c>
      <c r="H51" s="90">
        <v>175371.7</v>
      </c>
      <c r="I51" s="90">
        <v>211584.4</v>
      </c>
      <c r="J51" s="88" t="s">
        <v>125</v>
      </c>
    </row>
    <row r="52" spans="1:10" x14ac:dyDescent="0.35">
      <c r="A52" s="85"/>
      <c r="B52" s="86"/>
      <c r="C52" s="86" t="s">
        <v>169</v>
      </c>
      <c r="D52" s="86" t="s">
        <v>188</v>
      </c>
      <c r="E52" s="89">
        <v>110957.1</v>
      </c>
      <c r="F52" s="89">
        <v>147437.4</v>
      </c>
      <c r="G52" s="89">
        <v>182746.8</v>
      </c>
      <c r="H52" s="89">
        <v>131787.20000000001</v>
      </c>
      <c r="I52" s="89">
        <v>163085.9</v>
      </c>
      <c r="J52" s="88" t="s">
        <v>125</v>
      </c>
    </row>
    <row r="53" spans="1:10" x14ac:dyDescent="0.35">
      <c r="A53" s="85"/>
      <c r="B53" s="86" t="s">
        <v>189</v>
      </c>
      <c r="C53" s="86" t="s">
        <v>169</v>
      </c>
      <c r="D53" s="86" t="s">
        <v>190</v>
      </c>
      <c r="E53" s="90">
        <v>68955.820000000007</v>
      </c>
      <c r="F53" s="90">
        <v>99843.53</v>
      </c>
      <c r="G53" s="90">
        <v>130395.7</v>
      </c>
      <c r="H53" s="90">
        <v>85874.58</v>
      </c>
      <c r="I53" s="90">
        <v>113810.7</v>
      </c>
      <c r="J53" s="88" t="s">
        <v>125</v>
      </c>
    </row>
    <row r="54" spans="1:10" x14ac:dyDescent="0.35">
      <c r="A54" s="85"/>
      <c r="B54" s="86" t="s">
        <v>184</v>
      </c>
      <c r="C54" s="86" t="s">
        <v>169</v>
      </c>
      <c r="D54" s="86" t="s">
        <v>191</v>
      </c>
      <c r="E54" s="89">
        <v>29587.79</v>
      </c>
      <c r="F54" s="89">
        <v>41165.730000000003</v>
      </c>
      <c r="G54" s="89">
        <v>54272.76</v>
      </c>
      <c r="H54" s="89">
        <v>35438.550000000003</v>
      </c>
      <c r="I54" s="89">
        <v>47121.65</v>
      </c>
      <c r="J54" s="88" t="s">
        <v>125</v>
      </c>
    </row>
    <row r="55" spans="1:10" x14ac:dyDescent="0.35">
      <c r="A55" s="85"/>
      <c r="B55" s="86" t="s">
        <v>186</v>
      </c>
      <c r="C55" s="86" t="s">
        <v>169</v>
      </c>
      <c r="D55" s="86" t="s">
        <v>192</v>
      </c>
      <c r="E55" s="89">
        <v>168871.3</v>
      </c>
      <c r="F55" s="89">
        <v>248324</v>
      </c>
      <c r="G55" s="89">
        <v>336400.7</v>
      </c>
      <c r="H55" s="89">
        <v>211463</v>
      </c>
      <c r="I55" s="89">
        <v>287043</v>
      </c>
      <c r="J55" s="88" t="s">
        <v>125</v>
      </c>
    </row>
    <row r="56" spans="1:10" x14ac:dyDescent="0.35">
      <c r="A56" s="85"/>
      <c r="B56" s="86"/>
      <c r="C56" s="86" t="s">
        <v>169</v>
      </c>
      <c r="D56" s="86" t="s">
        <v>193</v>
      </c>
      <c r="E56" s="89">
        <v>66859.59</v>
      </c>
      <c r="F56" s="89">
        <v>99894.38</v>
      </c>
      <c r="G56" s="89">
        <v>136225.79999999999</v>
      </c>
      <c r="H56" s="89">
        <v>84342.78</v>
      </c>
      <c r="I56" s="89">
        <v>116382.9</v>
      </c>
      <c r="J56" s="88" t="s">
        <v>125</v>
      </c>
    </row>
    <row r="57" spans="1:10" x14ac:dyDescent="0.35">
      <c r="A57" s="85"/>
      <c r="B57" s="86" t="s">
        <v>189</v>
      </c>
      <c r="C57" s="86" t="s">
        <v>169</v>
      </c>
      <c r="D57" s="86" t="s">
        <v>194</v>
      </c>
      <c r="E57" s="89">
        <v>319.19</v>
      </c>
      <c r="F57" s="89">
        <v>527.54999999999995</v>
      </c>
      <c r="G57" s="89">
        <v>773.12</v>
      </c>
      <c r="H57" s="89">
        <v>433.52</v>
      </c>
      <c r="I57" s="89">
        <v>626.95000000000005</v>
      </c>
      <c r="J57" s="88" t="s">
        <v>125</v>
      </c>
    </row>
    <row r="58" spans="1:10" x14ac:dyDescent="0.35">
      <c r="A58" s="85"/>
      <c r="B58" s="86"/>
      <c r="C58" s="86" t="s">
        <v>169</v>
      </c>
      <c r="D58" s="86" t="s">
        <v>195</v>
      </c>
      <c r="E58" s="89">
        <v>268023.09999999998</v>
      </c>
      <c r="F58" s="89">
        <v>389911.7</v>
      </c>
      <c r="G58" s="89">
        <v>515465.2</v>
      </c>
      <c r="H58" s="89">
        <v>337692.6</v>
      </c>
      <c r="I58" s="89">
        <v>444278</v>
      </c>
      <c r="J58" s="88" t="s">
        <v>125</v>
      </c>
    </row>
    <row r="59" spans="1:10" x14ac:dyDescent="0.35">
      <c r="A59" s="85"/>
      <c r="B59" s="86" t="s">
        <v>184</v>
      </c>
      <c r="C59" s="86" t="s">
        <v>169</v>
      </c>
      <c r="D59" s="86" t="s">
        <v>196</v>
      </c>
      <c r="E59" s="89">
        <v>98534.95</v>
      </c>
      <c r="F59" s="89">
        <v>118498.9</v>
      </c>
      <c r="G59" s="89">
        <v>138124.70000000001</v>
      </c>
      <c r="H59" s="89">
        <v>109514.2</v>
      </c>
      <c r="I59" s="89">
        <v>127483.2</v>
      </c>
      <c r="J59" s="88" t="s">
        <v>125</v>
      </c>
    </row>
    <row r="60" spans="1:10" x14ac:dyDescent="0.35">
      <c r="A60" s="85"/>
      <c r="B60" s="86" t="s">
        <v>186</v>
      </c>
      <c r="C60" s="86" t="s">
        <v>169</v>
      </c>
      <c r="D60" s="86" t="s">
        <v>197</v>
      </c>
      <c r="E60" s="89">
        <v>72311.520000000004</v>
      </c>
      <c r="F60" s="89">
        <v>90816.77</v>
      </c>
      <c r="G60" s="89">
        <v>109746.4</v>
      </c>
      <c r="H60" s="89">
        <v>82317.3</v>
      </c>
      <c r="I60" s="89">
        <v>99315.12</v>
      </c>
      <c r="J60" s="88" t="s">
        <v>125</v>
      </c>
    </row>
    <row r="61" spans="1:10" x14ac:dyDescent="0.35">
      <c r="A61" s="85"/>
      <c r="B61" s="86"/>
      <c r="C61" s="86" t="s">
        <v>169</v>
      </c>
      <c r="D61" s="86" t="s">
        <v>198</v>
      </c>
      <c r="E61" s="89">
        <v>52081.91</v>
      </c>
      <c r="F61" s="89">
        <v>69205.289999999994</v>
      </c>
      <c r="G61" s="89">
        <v>85779.11</v>
      </c>
      <c r="H61" s="89">
        <v>61859.32</v>
      </c>
      <c r="I61" s="89">
        <v>76550.53</v>
      </c>
      <c r="J61" s="88" t="s">
        <v>125</v>
      </c>
    </row>
    <row r="62" spans="1:10" x14ac:dyDescent="0.35">
      <c r="A62" s="85"/>
      <c r="B62" s="86" t="s">
        <v>189</v>
      </c>
      <c r="C62" s="86" t="s">
        <v>169</v>
      </c>
      <c r="D62" s="86" t="s">
        <v>199</v>
      </c>
      <c r="E62" s="89">
        <v>32367.02</v>
      </c>
      <c r="F62" s="89">
        <v>46865.33</v>
      </c>
      <c r="G62" s="89">
        <v>61206.14</v>
      </c>
      <c r="H62" s="89">
        <v>40308.480000000003</v>
      </c>
      <c r="I62" s="89">
        <v>53421.36</v>
      </c>
      <c r="J62" s="88" t="s">
        <v>125</v>
      </c>
    </row>
    <row r="63" spans="1:10" x14ac:dyDescent="0.35">
      <c r="A63" s="85"/>
      <c r="B63" s="86" t="s">
        <v>184</v>
      </c>
      <c r="C63" s="86" t="s">
        <v>169</v>
      </c>
      <c r="D63" s="86" t="s">
        <v>200</v>
      </c>
      <c r="E63" s="90">
        <v>13888.15</v>
      </c>
      <c r="F63" s="90">
        <v>19322.689999999999</v>
      </c>
      <c r="G63" s="90">
        <v>25474.97</v>
      </c>
      <c r="H63" s="90">
        <v>16634.419999999998</v>
      </c>
      <c r="I63" s="90">
        <v>22118.33</v>
      </c>
      <c r="J63" s="88" t="s">
        <v>125</v>
      </c>
    </row>
    <row r="64" spans="1:10" x14ac:dyDescent="0.35">
      <c r="A64" s="85"/>
      <c r="B64" s="86" t="s">
        <v>186</v>
      </c>
      <c r="C64" s="86" t="s">
        <v>169</v>
      </c>
      <c r="D64" s="86" t="s">
        <v>201</v>
      </c>
      <c r="E64" s="90">
        <v>79266.100000000006</v>
      </c>
      <c r="F64" s="90">
        <v>116560.3</v>
      </c>
      <c r="G64" s="90">
        <v>157902.39999999999</v>
      </c>
      <c r="H64" s="90">
        <v>99258.15</v>
      </c>
      <c r="I64" s="90">
        <v>134734.5</v>
      </c>
      <c r="J64" s="88" t="s">
        <v>125</v>
      </c>
    </row>
    <row r="65" spans="1:10" x14ac:dyDescent="0.35">
      <c r="A65" s="85"/>
      <c r="B65" s="86"/>
      <c r="C65" s="86" t="s">
        <v>169</v>
      </c>
      <c r="D65" s="86" t="s">
        <v>202</v>
      </c>
      <c r="E65" s="90">
        <v>31383.07</v>
      </c>
      <c r="F65" s="90">
        <v>46889.2</v>
      </c>
      <c r="G65" s="90">
        <v>63942.7</v>
      </c>
      <c r="H65" s="90">
        <v>39589.47</v>
      </c>
      <c r="I65" s="90">
        <v>54628.69</v>
      </c>
      <c r="J65" s="88" t="s">
        <v>125</v>
      </c>
    </row>
    <row r="66" spans="1:10" x14ac:dyDescent="0.35">
      <c r="A66" s="85"/>
      <c r="B66" s="86" t="s">
        <v>189</v>
      </c>
      <c r="C66" s="86" t="s">
        <v>169</v>
      </c>
      <c r="D66" s="86" t="s">
        <v>203</v>
      </c>
      <c r="E66" s="90">
        <v>149.82</v>
      </c>
      <c r="F66" s="90">
        <v>247.63</v>
      </c>
      <c r="G66" s="90">
        <v>362.89</v>
      </c>
      <c r="H66" s="90">
        <v>203.49</v>
      </c>
      <c r="I66" s="90">
        <v>294.27999999999997</v>
      </c>
      <c r="J66" s="88" t="s">
        <v>125</v>
      </c>
    </row>
    <row r="67" spans="1:10" x14ac:dyDescent="0.35">
      <c r="A67" s="85"/>
      <c r="B67" s="86"/>
      <c r="C67" s="86" t="s">
        <v>169</v>
      </c>
      <c r="D67" s="86" t="s">
        <v>204</v>
      </c>
      <c r="E67" s="90">
        <v>125806.8</v>
      </c>
      <c r="F67" s="90">
        <v>183019.8</v>
      </c>
      <c r="G67" s="90">
        <v>241953</v>
      </c>
      <c r="H67" s="90">
        <v>158508.79999999999</v>
      </c>
      <c r="I67" s="90">
        <v>208538.6</v>
      </c>
      <c r="J67" s="88" t="s">
        <v>125</v>
      </c>
    </row>
    <row r="68" spans="1:10" x14ac:dyDescent="0.35">
      <c r="A68" s="85"/>
      <c r="B68" s="86" t="s">
        <v>184</v>
      </c>
      <c r="C68" s="86" t="s">
        <v>169</v>
      </c>
      <c r="D68" s="86" t="s">
        <v>205</v>
      </c>
      <c r="E68" s="89">
        <v>321309.59999999998</v>
      </c>
      <c r="F68" s="89">
        <v>386409.4</v>
      </c>
      <c r="G68" s="89">
        <v>450406.7</v>
      </c>
      <c r="H68" s="89">
        <v>357111.4</v>
      </c>
      <c r="I68" s="89">
        <v>415706.1</v>
      </c>
      <c r="J68" s="88" t="s">
        <v>125</v>
      </c>
    </row>
    <row r="69" spans="1:10" x14ac:dyDescent="0.35">
      <c r="A69" s="85"/>
      <c r="B69" s="86" t="s">
        <v>186</v>
      </c>
      <c r="C69" s="86" t="s">
        <v>169</v>
      </c>
      <c r="D69" s="86" t="s">
        <v>206</v>
      </c>
      <c r="E69" s="89">
        <v>235798.39999999999</v>
      </c>
      <c r="F69" s="89">
        <v>296141.7</v>
      </c>
      <c r="G69" s="89">
        <v>357868.6</v>
      </c>
      <c r="H69" s="89">
        <v>268426</v>
      </c>
      <c r="I69" s="89">
        <v>323853.7</v>
      </c>
      <c r="J69" s="88" t="s">
        <v>125</v>
      </c>
    </row>
    <row r="70" spans="1:10" x14ac:dyDescent="0.35">
      <c r="A70" s="85"/>
      <c r="B70" s="86"/>
      <c r="C70" s="86" t="s">
        <v>169</v>
      </c>
      <c r="D70" s="86" t="s">
        <v>207</v>
      </c>
      <c r="E70" s="89">
        <v>169832.3</v>
      </c>
      <c r="F70" s="89">
        <v>225669.4</v>
      </c>
      <c r="G70" s="89">
        <v>279714.5</v>
      </c>
      <c r="H70" s="89">
        <v>201715.20000000001</v>
      </c>
      <c r="I70" s="89">
        <v>249621.3</v>
      </c>
      <c r="J70" s="88" t="s">
        <v>125</v>
      </c>
    </row>
    <row r="71" spans="1:10" x14ac:dyDescent="0.35">
      <c r="A71" s="85"/>
      <c r="B71" s="86" t="s">
        <v>189</v>
      </c>
      <c r="C71" s="86" t="s">
        <v>169</v>
      </c>
      <c r="D71" s="86" t="s">
        <v>208</v>
      </c>
      <c r="E71" s="89">
        <v>105544.6</v>
      </c>
      <c r="F71" s="89">
        <v>152821.70000000001</v>
      </c>
      <c r="G71" s="89">
        <v>199585.2</v>
      </c>
      <c r="H71" s="89">
        <v>131440.70000000001</v>
      </c>
      <c r="I71" s="89">
        <v>174200.1</v>
      </c>
      <c r="J71" s="88" t="s">
        <v>125</v>
      </c>
    </row>
    <row r="72" spans="1:10" x14ac:dyDescent="0.35">
      <c r="A72" s="85"/>
      <c r="B72" s="86" t="s">
        <v>184</v>
      </c>
      <c r="C72" s="86" t="s">
        <v>169</v>
      </c>
      <c r="D72" s="86" t="s">
        <v>209</v>
      </c>
      <c r="E72" s="90">
        <v>45287.44</v>
      </c>
      <c r="F72" s="90">
        <v>63008.77</v>
      </c>
      <c r="G72" s="90">
        <v>83070.55</v>
      </c>
      <c r="H72" s="90">
        <v>54242.69</v>
      </c>
      <c r="I72" s="90">
        <v>72124.98</v>
      </c>
      <c r="J72" s="88" t="s">
        <v>125</v>
      </c>
    </row>
    <row r="73" spans="1:10" x14ac:dyDescent="0.35">
      <c r="A73" s="85"/>
      <c r="B73" s="86" t="s">
        <v>186</v>
      </c>
      <c r="C73" s="86" t="s">
        <v>169</v>
      </c>
      <c r="D73" s="86" t="s">
        <v>210</v>
      </c>
      <c r="E73" s="90">
        <v>258476.4</v>
      </c>
      <c r="F73" s="90">
        <v>380087.8</v>
      </c>
      <c r="G73" s="90">
        <v>514899</v>
      </c>
      <c r="H73" s="90">
        <v>323667.90000000002</v>
      </c>
      <c r="I73" s="90">
        <v>439351.6</v>
      </c>
      <c r="J73" s="88" t="s">
        <v>125</v>
      </c>
    </row>
    <row r="74" spans="1:10" x14ac:dyDescent="0.35">
      <c r="A74" s="85"/>
      <c r="B74" s="86"/>
      <c r="C74" s="86" t="s">
        <v>169</v>
      </c>
      <c r="D74" s="86" t="s">
        <v>211</v>
      </c>
      <c r="E74" s="90">
        <v>102336.1</v>
      </c>
      <c r="F74" s="90">
        <v>152899.5</v>
      </c>
      <c r="G74" s="90">
        <v>208508.79999999999</v>
      </c>
      <c r="H74" s="90">
        <v>129096.1</v>
      </c>
      <c r="I74" s="90">
        <v>178137</v>
      </c>
      <c r="J74" s="88" t="s">
        <v>125</v>
      </c>
    </row>
    <row r="75" spans="1:10" x14ac:dyDescent="0.35">
      <c r="A75" s="85"/>
      <c r="B75" s="86" t="s">
        <v>189</v>
      </c>
      <c r="C75" s="86" t="s">
        <v>169</v>
      </c>
      <c r="D75" s="86" t="s">
        <v>212</v>
      </c>
      <c r="E75" s="90">
        <v>488.55</v>
      </c>
      <c r="F75" s="90">
        <v>807.48</v>
      </c>
      <c r="G75" s="90">
        <v>1183.3499999999999</v>
      </c>
      <c r="H75" s="90">
        <v>663.55</v>
      </c>
      <c r="I75" s="90">
        <v>959.62</v>
      </c>
      <c r="J75" s="88" t="s">
        <v>125</v>
      </c>
    </row>
    <row r="76" spans="1:10" x14ac:dyDescent="0.35">
      <c r="A76" s="85"/>
      <c r="B76" s="86"/>
      <c r="C76" s="86" t="s">
        <v>169</v>
      </c>
      <c r="D76" s="86" t="s">
        <v>213</v>
      </c>
      <c r="E76" s="90">
        <v>410239.4</v>
      </c>
      <c r="F76" s="90">
        <v>596803.6</v>
      </c>
      <c r="G76" s="90">
        <v>788977.3</v>
      </c>
      <c r="H76" s="90">
        <v>516876.4</v>
      </c>
      <c r="I76" s="90">
        <v>680017.3</v>
      </c>
      <c r="J76" s="88" t="s">
        <v>125</v>
      </c>
    </row>
    <row r="77" spans="1:10" x14ac:dyDescent="0.35">
      <c r="A77" s="85"/>
      <c r="B77" s="86" t="s">
        <v>70</v>
      </c>
      <c r="C77" s="86" t="s">
        <v>214</v>
      </c>
      <c r="D77" s="86" t="s">
        <v>215</v>
      </c>
      <c r="E77" s="87">
        <v>73296170</v>
      </c>
      <c r="F77" s="87">
        <v>129437000</v>
      </c>
      <c r="G77" s="87">
        <v>184801200</v>
      </c>
      <c r="H77" s="87">
        <v>104066400</v>
      </c>
      <c r="I77" s="87">
        <v>154806100</v>
      </c>
      <c r="J77" s="88" t="s">
        <v>125</v>
      </c>
    </row>
    <row r="78" spans="1:10" x14ac:dyDescent="0.35">
      <c r="A78" s="85"/>
      <c r="B78" s="86" t="s">
        <v>72</v>
      </c>
      <c r="C78" s="86" t="s">
        <v>214</v>
      </c>
      <c r="D78" s="86" t="s">
        <v>216</v>
      </c>
      <c r="E78" s="87">
        <v>577382400</v>
      </c>
      <c r="F78" s="87">
        <v>1019625000</v>
      </c>
      <c r="G78" s="87">
        <v>1455751000</v>
      </c>
      <c r="H78" s="87">
        <v>819771600</v>
      </c>
      <c r="I78" s="87">
        <v>1219468000</v>
      </c>
      <c r="J78" s="88" t="s">
        <v>125</v>
      </c>
    </row>
    <row r="79" spans="1:10" x14ac:dyDescent="0.35">
      <c r="A79" s="85"/>
      <c r="B79" s="86" t="s">
        <v>73</v>
      </c>
      <c r="C79" s="86" t="s">
        <v>214</v>
      </c>
      <c r="D79" s="86" t="s">
        <v>217</v>
      </c>
      <c r="E79" s="87">
        <v>822878100</v>
      </c>
      <c r="F79" s="87">
        <v>1453157000</v>
      </c>
      <c r="G79" s="87">
        <v>2074717000</v>
      </c>
      <c r="H79" s="87">
        <v>1168328000</v>
      </c>
      <c r="I79" s="87">
        <v>1737971000</v>
      </c>
      <c r="J79" s="88" t="s">
        <v>125</v>
      </c>
    </row>
    <row r="80" spans="1:10" x14ac:dyDescent="0.35">
      <c r="A80" s="85"/>
      <c r="B80" s="86" t="s">
        <v>75</v>
      </c>
      <c r="C80" s="86" t="s">
        <v>214</v>
      </c>
      <c r="D80" s="86" t="s">
        <v>218</v>
      </c>
      <c r="E80" s="87">
        <v>1465372000</v>
      </c>
      <c r="F80" s="87">
        <v>2587765000</v>
      </c>
      <c r="G80" s="87">
        <v>3694632000</v>
      </c>
      <c r="H80" s="87">
        <v>2080545000</v>
      </c>
      <c r="I80" s="87">
        <v>3094957000</v>
      </c>
      <c r="J80" s="88" t="s">
        <v>125</v>
      </c>
    </row>
    <row r="81" spans="1:10" x14ac:dyDescent="0.35">
      <c r="A81" s="85"/>
      <c r="B81" s="86" t="s">
        <v>76</v>
      </c>
      <c r="C81" s="86" t="s">
        <v>214</v>
      </c>
      <c r="D81" s="86" t="s">
        <v>219</v>
      </c>
      <c r="E81" s="87">
        <v>2717676000</v>
      </c>
      <c r="F81" s="87">
        <v>4799264000</v>
      </c>
      <c r="G81" s="87">
        <v>6852058000</v>
      </c>
      <c r="H81" s="87">
        <v>3858575000</v>
      </c>
      <c r="I81" s="87">
        <v>5739902000</v>
      </c>
      <c r="J81" s="88" t="s">
        <v>125</v>
      </c>
    </row>
    <row r="82" spans="1:10" x14ac:dyDescent="0.35">
      <c r="A82" s="85"/>
      <c r="B82" s="86" t="s">
        <v>77</v>
      </c>
      <c r="C82" s="86" t="s">
        <v>214</v>
      </c>
      <c r="D82" s="86" t="s">
        <v>220</v>
      </c>
      <c r="E82" s="87">
        <v>2716211000</v>
      </c>
      <c r="F82" s="87">
        <v>4796678000</v>
      </c>
      <c r="G82" s="87">
        <v>6848366000</v>
      </c>
      <c r="H82" s="87">
        <v>3856496000</v>
      </c>
      <c r="I82" s="87">
        <v>5736809000</v>
      </c>
      <c r="J82" s="88" t="s">
        <v>125</v>
      </c>
    </row>
    <row r="83" spans="1:10" x14ac:dyDescent="0.35">
      <c r="A83" s="85"/>
      <c r="B83" s="86" t="s">
        <v>78</v>
      </c>
      <c r="C83" s="86" t="s">
        <v>214</v>
      </c>
      <c r="D83" s="86" t="s">
        <v>221</v>
      </c>
      <c r="E83" s="87">
        <v>88354020</v>
      </c>
      <c r="F83" s="87">
        <v>156028300</v>
      </c>
      <c r="G83" s="87">
        <v>222766400</v>
      </c>
      <c r="H83" s="87">
        <v>125445700</v>
      </c>
      <c r="I83" s="87">
        <v>186609300</v>
      </c>
      <c r="J83" s="88" t="s">
        <v>125</v>
      </c>
    </row>
    <row r="84" spans="1:10" x14ac:dyDescent="0.35">
      <c r="A84" s="85"/>
      <c r="B84" s="86" t="s">
        <v>80</v>
      </c>
      <c r="C84" s="86" t="s">
        <v>214</v>
      </c>
      <c r="D84" s="86" t="s">
        <v>222</v>
      </c>
      <c r="E84" s="87">
        <v>8461169000</v>
      </c>
      <c r="F84" s="87">
        <v>14941960000</v>
      </c>
      <c r="G84" s="87">
        <v>21333090000</v>
      </c>
      <c r="H84" s="87">
        <v>12013230000</v>
      </c>
      <c r="I84" s="87">
        <v>17870520000</v>
      </c>
      <c r="J84" s="88" t="s">
        <v>125</v>
      </c>
    </row>
    <row r="85" spans="1:10" x14ac:dyDescent="0.35">
      <c r="A85" s="85"/>
      <c r="B85" s="86" t="s">
        <v>70</v>
      </c>
      <c r="C85" s="86" t="s">
        <v>214</v>
      </c>
      <c r="D85" s="86" t="s">
        <v>223</v>
      </c>
      <c r="E85" s="87">
        <v>102423300</v>
      </c>
      <c r="F85" s="87">
        <v>180873900</v>
      </c>
      <c r="G85" s="87">
        <v>258239200</v>
      </c>
      <c r="H85" s="87">
        <v>145421300</v>
      </c>
      <c r="I85" s="87">
        <v>216324400</v>
      </c>
      <c r="J85" s="88" t="s">
        <v>125</v>
      </c>
    </row>
    <row r="86" spans="1:10" x14ac:dyDescent="0.35">
      <c r="A86" s="85"/>
      <c r="B86" s="86" t="s">
        <v>72</v>
      </c>
      <c r="C86" s="86" t="s">
        <v>214</v>
      </c>
      <c r="D86" s="86" t="s">
        <v>224</v>
      </c>
      <c r="E86" s="87">
        <v>580165000</v>
      </c>
      <c r="F86" s="87">
        <v>1024539000</v>
      </c>
      <c r="G86" s="87">
        <v>1462766000</v>
      </c>
      <c r="H86" s="87">
        <v>823722300</v>
      </c>
      <c r="I86" s="87">
        <v>1225345000</v>
      </c>
      <c r="J86" s="88" t="s">
        <v>125</v>
      </c>
    </row>
    <row r="87" spans="1:10" x14ac:dyDescent="0.35">
      <c r="A87" s="85"/>
      <c r="B87" s="86" t="s">
        <v>73</v>
      </c>
      <c r="C87" s="86" t="s">
        <v>214</v>
      </c>
      <c r="D87" s="86" t="s">
        <v>225</v>
      </c>
      <c r="E87" s="87">
        <v>704698100</v>
      </c>
      <c r="F87" s="87">
        <v>1244458000</v>
      </c>
      <c r="G87" s="87">
        <v>1776751000</v>
      </c>
      <c r="H87" s="87">
        <v>1000535000</v>
      </c>
      <c r="I87" s="87">
        <v>1488367000</v>
      </c>
      <c r="J87" s="88" t="s">
        <v>125</v>
      </c>
    </row>
    <row r="88" spans="1:10" x14ac:dyDescent="0.35">
      <c r="A88" s="85"/>
      <c r="B88" s="86" t="s">
        <v>75</v>
      </c>
      <c r="C88" s="86" t="s">
        <v>214</v>
      </c>
      <c r="D88" s="86" t="s">
        <v>226</v>
      </c>
      <c r="E88" s="87">
        <v>774063300</v>
      </c>
      <c r="F88" s="87">
        <v>1366953000</v>
      </c>
      <c r="G88" s="87">
        <v>1951641000</v>
      </c>
      <c r="H88" s="87">
        <v>1099020000</v>
      </c>
      <c r="I88" s="87">
        <v>1634870000</v>
      </c>
      <c r="J88" s="88" t="s">
        <v>125</v>
      </c>
    </row>
    <row r="89" spans="1:10" x14ac:dyDescent="0.35">
      <c r="A89" s="85"/>
      <c r="B89" s="86" t="s">
        <v>76</v>
      </c>
      <c r="C89" s="86" t="s">
        <v>214</v>
      </c>
      <c r="D89" s="86" t="s">
        <v>227</v>
      </c>
      <c r="E89" s="87">
        <v>1492592000</v>
      </c>
      <c r="F89" s="87">
        <v>2635835000</v>
      </c>
      <c r="G89" s="87">
        <v>3763263000</v>
      </c>
      <c r="H89" s="87">
        <v>2119193000</v>
      </c>
      <c r="I89" s="87">
        <v>3152449000</v>
      </c>
      <c r="J89" s="88" t="s">
        <v>125</v>
      </c>
    </row>
    <row r="90" spans="1:10" x14ac:dyDescent="0.35">
      <c r="A90" s="85"/>
      <c r="B90" s="86" t="s">
        <v>77</v>
      </c>
      <c r="C90" s="86" t="s">
        <v>214</v>
      </c>
      <c r="D90" s="86" t="s">
        <v>228</v>
      </c>
      <c r="E90" s="87">
        <v>1145262000</v>
      </c>
      <c r="F90" s="87">
        <v>2022470000</v>
      </c>
      <c r="G90" s="87">
        <v>2887543000</v>
      </c>
      <c r="H90" s="87">
        <v>1626052000</v>
      </c>
      <c r="I90" s="87">
        <v>2418867000</v>
      </c>
      <c r="J90" s="88" t="s">
        <v>125</v>
      </c>
    </row>
    <row r="91" spans="1:10" x14ac:dyDescent="0.35">
      <c r="A91" s="85"/>
      <c r="B91" s="86" t="s">
        <v>78</v>
      </c>
      <c r="C91" s="86" t="s">
        <v>214</v>
      </c>
      <c r="D91" s="86" t="s">
        <v>229</v>
      </c>
      <c r="E91" s="87">
        <v>34789730</v>
      </c>
      <c r="F91" s="87">
        <v>61436730</v>
      </c>
      <c r="G91" s="87">
        <v>87715110</v>
      </c>
      <c r="H91" s="87">
        <v>49394700</v>
      </c>
      <c r="I91" s="87">
        <v>73478100</v>
      </c>
      <c r="J91" s="88" t="s">
        <v>125</v>
      </c>
    </row>
    <row r="92" spans="1:10" x14ac:dyDescent="0.35">
      <c r="A92" s="85"/>
      <c r="B92" s="86" t="s">
        <v>80</v>
      </c>
      <c r="C92" s="86" t="s">
        <v>214</v>
      </c>
      <c r="D92" s="86" t="s">
        <v>230</v>
      </c>
      <c r="E92" s="87">
        <v>4833994000</v>
      </c>
      <c r="F92" s="87">
        <v>8536566000</v>
      </c>
      <c r="G92" s="87">
        <v>12187920000</v>
      </c>
      <c r="H92" s="87">
        <v>6863339000</v>
      </c>
      <c r="I92" s="87">
        <v>10209700000</v>
      </c>
      <c r="J92" s="88" t="s">
        <v>125</v>
      </c>
    </row>
    <row r="93" spans="1:10" x14ac:dyDescent="0.35">
      <c r="A93" s="91"/>
      <c r="B93" s="92" t="s">
        <v>0</v>
      </c>
      <c r="C93" s="92" t="s">
        <v>214</v>
      </c>
      <c r="D93" s="92" t="s">
        <v>231</v>
      </c>
      <c r="E93" s="93">
        <v>13295.16</v>
      </c>
      <c r="F93" s="93">
        <v>23478.52</v>
      </c>
      <c r="G93" s="93">
        <v>33521.01</v>
      </c>
      <c r="H93" s="93">
        <v>18876.57</v>
      </c>
      <c r="I93" s="93">
        <v>28080.22</v>
      </c>
      <c r="J93" s="94" t="s">
        <v>125</v>
      </c>
    </row>
    <row r="94" spans="1:10" x14ac:dyDescent="0.35">
      <c r="A94" s="79" t="s">
        <v>232</v>
      </c>
      <c r="B94" s="80"/>
      <c r="C94" s="80"/>
      <c r="D94" s="80"/>
      <c r="E94" s="80"/>
      <c r="F94" s="80"/>
      <c r="G94" s="80"/>
      <c r="H94" s="80"/>
      <c r="I94" s="80"/>
      <c r="J94" s="80"/>
    </row>
    <row r="95" spans="1:10" x14ac:dyDescent="0.35">
      <c r="A95" s="81"/>
      <c r="B95" s="82" t="s">
        <v>122</v>
      </c>
      <c r="C95" s="82" t="s">
        <v>123</v>
      </c>
      <c r="D95" s="82" t="s">
        <v>124</v>
      </c>
      <c r="E95" s="83">
        <v>443570.9</v>
      </c>
      <c r="F95" s="83">
        <v>776350.3</v>
      </c>
      <c r="G95" s="83">
        <v>1109128</v>
      </c>
      <c r="H95" s="83">
        <v>624185.9</v>
      </c>
      <c r="I95" s="83">
        <v>928510.4</v>
      </c>
      <c r="J95" s="84" t="s">
        <v>125</v>
      </c>
    </row>
    <row r="96" spans="1:10" x14ac:dyDescent="0.35">
      <c r="A96" s="85"/>
      <c r="B96" s="86" t="s">
        <v>126</v>
      </c>
      <c r="C96" s="86" t="s">
        <v>123</v>
      </c>
      <c r="D96" s="86" t="s">
        <v>127</v>
      </c>
      <c r="E96" s="87">
        <v>99058.89</v>
      </c>
      <c r="F96" s="87">
        <v>173375.6</v>
      </c>
      <c r="G96" s="87">
        <v>247692.1</v>
      </c>
      <c r="H96" s="87">
        <v>139394.1</v>
      </c>
      <c r="I96" s="87">
        <v>207356.3</v>
      </c>
      <c r="J96" s="88" t="s">
        <v>125</v>
      </c>
    </row>
    <row r="97" spans="1:10" x14ac:dyDescent="0.35">
      <c r="A97" s="85"/>
      <c r="B97" s="86" t="s">
        <v>128</v>
      </c>
      <c r="C97" s="86" t="s">
        <v>123</v>
      </c>
      <c r="D97" s="86" t="s">
        <v>129</v>
      </c>
      <c r="E97" s="87">
        <v>432049.5</v>
      </c>
      <c r="F97" s="87">
        <v>756185.1</v>
      </c>
      <c r="G97" s="87">
        <v>1080319</v>
      </c>
      <c r="H97" s="87">
        <v>607973.19999999995</v>
      </c>
      <c r="I97" s="87">
        <v>904393</v>
      </c>
      <c r="J97" s="88" t="s">
        <v>125</v>
      </c>
    </row>
    <row r="98" spans="1:10" x14ac:dyDescent="0.35">
      <c r="A98" s="85"/>
      <c r="B98" s="86" t="s">
        <v>130</v>
      </c>
      <c r="C98" s="86" t="s">
        <v>123</v>
      </c>
      <c r="D98" s="86" t="s">
        <v>131</v>
      </c>
      <c r="E98" s="87">
        <v>38633.980000000003</v>
      </c>
      <c r="F98" s="87">
        <v>67618.27</v>
      </c>
      <c r="G98" s="87">
        <v>96602.44</v>
      </c>
      <c r="H98" s="87">
        <v>54365.120000000003</v>
      </c>
      <c r="I98" s="87">
        <v>80871.05</v>
      </c>
      <c r="J98" s="88" t="s">
        <v>125</v>
      </c>
    </row>
    <row r="99" spans="1:10" x14ac:dyDescent="0.35">
      <c r="A99" s="85"/>
      <c r="B99" s="86" t="s">
        <v>132</v>
      </c>
      <c r="C99" s="86" t="s">
        <v>123</v>
      </c>
      <c r="D99" s="86" t="s">
        <v>133</v>
      </c>
      <c r="E99" s="87">
        <v>28196.21</v>
      </c>
      <c r="F99" s="87">
        <v>49349.79</v>
      </c>
      <c r="G99" s="87">
        <v>70503.28</v>
      </c>
      <c r="H99" s="87">
        <v>39677.25</v>
      </c>
      <c r="I99" s="87">
        <v>59022.06</v>
      </c>
      <c r="J99" s="88" t="s">
        <v>125</v>
      </c>
    </row>
    <row r="100" spans="1:10" x14ac:dyDescent="0.35">
      <c r="A100" s="85"/>
      <c r="B100" s="86" t="s">
        <v>134</v>
      </c>
      <c r="C100" s="86" t="s">
        <v>123</v>
      </c>
      <c r="D100" s="86" t="s">
        <v>135</v>
      </c>
      <c r="E100" s="87">
        <v>175113.4</v>
      </c>
      <c r="F100" s="87">
        <v>306488.3</v>
      </c>
      <c r="G100" s="87">
        <v>437862.7</v>
      </c>
      <c r="H100" s="87">
        <v>246416.8</v>
      </c>
      <c r="I100" s="87">
        <v>366558.3</v>
      </c>
      <c r="J100" s="88" t="s">
        <v>125</v>
      </c>
    </row>
    <row r="101" spans="1:10" x14ac:dyDescent="0.35">
      <c r="A101" s="85"/>
      <c r="B101" s="86" t="s">
        <v>136</v>
      </c>
      <c r="C101" s="86" t="s">
        <v>123</v>
      </c>
      <c r="D101" s="86" t="s">
        <v>137</v>
      </c>
      <c r="E101" s="89">
        <v>7371.41</v>
      </c>
      <c r="F101" s="89">
        <v>12901.64</v>
      </c>
      <c r="G101" s="89">
        <v>18431.849999999999</v>
      </c>
      <c r="H101" s="89">
        <v>10372.92</v>
      </c>
      <c r="I101" s="89">
        <v>15430.29</v>
      </c>
      <c r="J101" s="88" t="s">
        <v>125</v>
      </c>
    </row>
    <row r="102" spans="1:10" x14ac:dyDescent="0.35">
      <c r="A102" s="85"/>
      <c r="B102" s="86" t="s">
        <v>138</v>
      </c>
      <c r="C102" s="86" t="s">
        <v>123</v>
      </c>
      <c r="D102" s="86" t="s">
        <v>139</v>
      </c>
      <c r="E102" s="90">
        <v>1811.03</v>
      </c>
      <c r="F102" s="90">
        <v>3169.71</v>
      </c>
      <c r="G102" s="90">
        <v>4528.38</v>
      </c>
      <c r="H102" s="90">
        <v>2548.4499999999998</v>
      </c>
      <c r="I102" s="90">
        <v>3790.95</v>
      </c>
      <c r="J102" s="88" t="s">
        <v>125</v>
      </c>
    </row>
    <row r="103" spans="1:10" x14ac:dyDescent="0.35">
      <c r="A103" s="85"/>
      <c r="B103" s="86" t="s">
        <v>140</v>
      </c>
      <c r="C103" s="86" t="s">
        <v>123</v>
      </c>
      <c r="D103" s="86" t="s">
        <v>141</v>
      </c>
      <c r="E103" s="90">
        <v>6366.06</v>
      </c>
      <c r="F103" s="90">
        <v>11142.05</v>
      </c>
      <c r="G103" s="90">
        <v>15918.03</v>
      </c>
      <c r="H103" s="90">
        <v>8958.2199999999993</v>
      </c>
      <c r="I103" s="90">
        <v>13325.83</v>
      </c>
      <c r="J103" s="88" t="s">
        <v>125</v>
      </c>
    </row>
    <row r="104" spans="1:10" x14ac:dyDescent="0.35">
      <c r="A104" s="85"/>
      <c r="B104" s="86" t="s">
        <v>142</v>
      </c>
      <c r="C104" s="86" t="s">
        <v>123</v>
      </c>
      <c r="D104" s="86" t="s">
        <v>143</v>
      </c>
      <c r="E104" s="90">
        <v>642.03</v>
      </c>
      <c r="F104" s="90">
        <v>1123.7</v>
      </c>
      <c r="G104" s="90">
        <v>1605.37</v>
      </c>
      <c r="H104" s="90">
        <v>903.46</v>
      </c>
      <c r="I104" s="90">
        <v>1343.94</v>
      </c>
      <c r="J104" s="88" t="s">
        <v>125</v>
      </c>
    </row>
    <row r="105" spans="1:10" x14ac:dyDescent="0.35">
      <c r="A105" s="85"/>
      <c r="B105" s="86" t="s">
        <v>144</v>
      </c>
      <c r="C105" s="86" t="s">
        <v>123</v>
      </c>
      <c r="D105" s="86" t="s">
        <v>145</v>
      </c>
      <c r="E105" s="90">
        <v>468.57</v>
      </c>
      <c r="F105" s="90">
        <v>820.11</v>
      </c>
      <c r="G105" s="90">
        <v>1171.6500000000001</v>
      </c>
      <c r="H105" s="90">
        <v>659.37</v>
      </c>
      <c r="I105" s="90">
        <v>980.85</v>
      </c>
      <c r="J105" s="88" t="s">
        <v>125</v>
      </c>
    </row>
    <row r="106" spans="1:10" x14ac:dyDescent="0.35">
      <c r="A106" s="85"/>
      <c r="B106" s="86" t="s">
        <v>146</v>
      </c>
      <c r="C106" s="86" t="s">
        <v>123</v>
      </c>
      <c r="D106" s="86" t="s">
        <v>147</v>
      </c>
      <c r="E106" s="90">
        <v>1228.72</v>
      </c>
      <c r="F106" s="90">
        <v>2150.5300000000002</v>
      </c>
      <c r="G106" s="90">
        <v>3072.35</v>
      </c>
      <c r="H106" s="90">
        <v>1729.03</v>
      </c>
      <c r="I106" s="90">
        <v>2572.02</v>
      </c>
      <c r="J106" s="88" t="s">
        <v>125</v>
      </c>
    </row>
    <row r="107" spans="1:10" x14ac:dyDescent="0.35">
      <c r="A107" s="85"/>
      <c r="B107" s="86" t="s">
        <v>148</v>
      </c>
      <c r="C107" s="86" t="s">
        <v>123</v>
      </c>
      <c r="D107" s="86" t="s">
        <v>149</v>
      </c>
      <c r="E107" s="90">
        <v>17887.810000000001</v>
      </c>
      <c r="F107" s="90">
        <v>31307.74</v>
      </c>
      <c r="G107" s="90">
        <v>44727.62</v>
      </c>
      <c r="H107" s="90">
        <v>25171.439999999999</v>
      </c>
      <c r="I107" s="90">
        <v>37443.879999999997</v>
      </c>
      <c r="J107" s="88" t="s">
        <v>125</v>
      </c>
    </row>
    <row r="108" spans="1:10" x14ac:dyDescent="0.35">
      <c r="A108" s="85"/>
      <c r="B108" s="86" t="s">
        <v>150</v>
      </c>
      <c r="C108" s="86" t="s">
        <v>151</v>
      </c>
      <c r="D108" s="86" t="s">
        <v>152</v>
      </c>
      <c r="E108" s="90">
        <v>17887.810000000001</v>
      </c>
      <c r="F108" s="90">
        <v>31307.74</v>
      </c>
      <c r="G108" s="90">
        <v>44727.62</v>
      </c>
      <c r="H108" s="90">
        <v>25171.439999999999</v>
      </c>
      <c r="I108" s="90">
        <v>37443.879999999997</v>
      </c>
      <c r="J108" s="88" t="s">
        <v>125</v>
      </c>
    </row>
    <row r="109" spans="1:10" x14ac:dyDescent="0.35">
      <c r="A109" s="85"/>
      <c r="B109" s="86" t="s">
        <v>150</v>
      </c>
      <c r="C109" s="86" t="s">
        <v>151</v>
      </c>
      <c r="D109" s="86" t="s">
        <v>153</v>
      </c>
      <c r="E109" s="90">
        <v>3241.19</v>
      </c>
      <c r="F109" s="90">
        <v>3534</v>
      </c>
      <c r="G109" s="90">
        <v>3825.74</v>
      </c>
      <c r="H109" s="90">
        <v>3354.49</v>
      </c>
      <c r="I109" s="90">
        <v>3711.9</v>
      </c>
      <c r="J109" s="88" t="s">
        <v>125</v>
      </c>
    </row>
    <row r="110" spans="1:10" x14ac:dyDescent="0.35">
      <c r="A110" s="85"/>
      <c r="B110" s="86" t="s">
        <v>156</v>
      </c>
      <c r="C110" s="86" t="s">
        <v>151</v>
      </c>
      <c r="D110" s="86" t="s">
        <v>157</v>
      </c>
      <c r="E110" s="90">
        <v>19251.75</v>
      </c>
      <c r="F110" s="90">
        <v>31310.93</v>
      </c>
      <c r="G110" s="90">
        <v>42030.080000000002</v>
      </c>
      <c r="H110" s="90">
        <v>26672.84</v>
      </c>
      <c r="I110" s="90">
        <v>35935.769999999997</v>
      </c>
      <c r="J110" s="88" t="s">
        <v>125</v>
      </c>
    </row>
    <row r="111" spans="1:10" x14ac:dyDescent="0.35">
      <c r="A111" s="85"/>
      <c r="B111" s="86" t="s">
        <v>158</v>
      </c>
      <c r="C111" s="86" t="s">
        <v>151</v>
      </c>
      <c r="D111" s="86" t="s">
        <v>159</v>
      </c>
      <c r="E111" s="89">
        <v>4782.4799999999996</v>
      </c>
      <c r="F111" s="89">
        <v>239006.8</v>
      </c>
      <c r="G111" s="89">
        <v>855758.6</v>
      </c>
      <c r="H111" s="89">
        <v>52259.07</v>
      </c>
      <c r="I111" s="89">
        <v>502398.4</v>
      </c>
      <c r="J111" s="88" t="s">
        <v>125</v>
      </c>
    </row>
    <row r="112" spans="1:10" x14ac:dyDescent="0.35">
      <c r="A112" s="85"/>
      <c r="B112" s="86" t="s">
        <v>160</v>
      </c>
      <c r="C112" s="86" t="s">
        <v>151</v>
      </c>
      <c r="D112" s="86" t="s">
        <v>161</v>
      </c>
      <c r="E112" s="90">
        <v>77345.23</v>
      </c>
      <c r="F112" s="90">
        <v>319978.8</v>
      </c>
      <c r="G112" s="90">
        <v>932098.7</v>
      </c>
      <c r="H112" s="90">
        <v>132963.79999999999</v>
      </c>
      <c r="I112" s="90">
        <v>583215.9</v>
      </c>
      <c r="J112" s="88" t="s">
        <v>125</v>
      </c>
    </row>
    <row r="113" spans="1:10" x14ac:dyDescent="0.35">
      <c r="A113" s="85"/>
      <c r="B113" s="86" t="s">
        <v>162</v>
      </c>
      <c r="C113" s="86" t="s">
        <v>151</v>
      </c>
      <c r="D113" s="86" t="s">
        <v>163</v>
      </c>
      <c r="E113" s="90">
        <v>542900.4</v>
      </c>
      <c r="F113" s="90">
        <v>549690.80000000005</v>
      </c>
      <c r="G113" s="90">
        <v>556432.80000000005</v>
      </c>
      <c r="H113" s="90">
        <v>544835.30000000005</v>
      </c>
      <c r="I113" s="90">
        <v>554548</v>
      </c>
      <c r="J113" s="88" t="s">
        <v>125</v>
      </c>
    </row>
    <row r="114" spans="1:10" x14ac:dyDescent="0.35">
      <c r="A114" s="85"/>
      <c r="B114" s="86" t="s">
        <v>164</v>
      </c>
      <c r="C114" s="86" t="s">
        <v>151</v>
      </c>
      <c r="D114" s="86" t="s">
        <v>165</v>
      </c>
      <c r="E114" s="90">
        <v>630215</v>
      </c>
      <c r="F114" s="90">
        <v>869669.6</v>
      </c>
      <c r="G114" s="90">
        <v>1482461</v>
      </c>
      <c r="H114" s="90">
        <v>682518.6</v>
      </c>
      <c r="I114" s="90">
        <v>1133243</v>
      </c>
      <c r="J114" s="88" t="s">
        <v>125</v>
      </c>
    </row>
    <row r="115" spans="1:10" x14ac:dyDescent="0.35">
      <c r="A115" s="85"/>
      <c r="B115" s="86" t="s">
        <v>150</v>
      </c>
      <c r="C115" s="86" t="s">
        <v>166</v>
      </c>
      <c r="D115" s="86" t="s">
        <v>152</v>
      </c>
      <c r="E115" s="90">
        <v>17887.810000000001</v>
      </c>
      <c r="F115" s="90">
        <v>31307.74</v>
      </c>
      <c r="G115" s="90">
        <v>44727.62</v>
      </c>
      <c r="H115" s="90">
        <v>25171.439999999999</v>
      </c>
      <c r="I115" s="90">
        <v>37443.879999999997</v>
      </c>
      <c r="J115" s="88" t="s">
        <v>125</v>
      </c>
    </row>
    <row r="116" spans="1:10" x14ac:dyDescent="0.35">
      <c r="A116" s="85"/>
      <c r="B116" s="86" t="s">
        <v>150</v>
      </c>
      <c r="C116" s="86" t="s">
        <v>166</v>
      </c>
      <c r="D116" s="86" t="s">
        <v>153</v>
      </c>
      <c r="E116" s="90">
        <v>3235.2</v>
      </c>
      <c r="F116" s="90">
        <v>3534</v>
      </c>
      <c r="G116" s="90">
        <v>3826.57</v>
      </c>
      <c r="H116" s="90">
        <v>3355</v>
      </c>
      <c r="I116" s="90">
        <v>3712.62</v>
      </c>
      <c r="J116" s="88" t="s">
        <v>125</v>
      </c>
    </row>
    <row r="117" spans="1:10" x14ac:dyDescent="0.35">
      <c r="A117" s="85"/>
      <c r="B117" s="86" t="s">
        <v>156</v>
      </c>
      <c r="C117" s="86" t="s">
        <v>166</v>
      </c>
      <c r="D117" s="86" t="s">
        <v>157</v>
      </c>
      <c r="E117" s="90">
        <v>19443.689999999999</v>
      </c>
      <c r="F117" s="90">
        <v>31310.93</v>
      </c>
      <c r="G117" s="90">
        <v>41554.81</v>
      </c>
      <c r="H117" s="90">
        <v>26682.93</v>
      </c>
      <c r="I117" s="90">
        <v>35959.29</v>
      </c>
      <c r="J117" s="88" t="s">
        <v>125</v>
      </c>
    </row>
    <row r="118" spans="1:10" x14ac:dyDescent="0.35">
      <c r="A118" s="85"/>
      <c r="B118" s="86" t="s">
        <v>158</v>
      </c>
      <c r="C118" s="86" t="s">
        <v>166</v>
      </c>
      <c r="D118" s="86" t="s">
        <v>159</v>
      </c>
      <c r="E118" s="89">
        <v>2244.84</v>
      </c>
      <c r="F118" s="89">
        <v>112186.8</v>
      </c>
      <c r="G118" s="89">
        <v>401682.6</v>
      </c>
      <c r="H118" s="89">
        <v>24529.77</v>
      </c>
      <c r="I118" s="89">
        <v>235819.6</v>
      </c>
      <c r="J118" s="88" t="s">
        <v>125</v>
      </c>
    </row>
    <row r="119" spans="1:10" x14ac:dyDescent="0.35">
      <c r="A119" s="85"/>
      <c r="B119" s="86" t="s">
        <v>160</v>
      </c>
      <c r="C119" s="86" t="s">
        <v>166</v>
      </c>
      <c r="D119" s="86" t="s">
        <v>161</v>
      </c>
      <c r="E119" s="90">
        <v>74697.2</v>
      </c>
      <c r="F119" s="90">
        <v>193158.9</v>
      </c>
      <c r="G119" s="90">
        <v>481423.1</v>
      </c>
      <c r="H119" s="90">
        <v>105075.9</v>
      </c>
      <c r="I119" s="90">
        <v>317081.8</v>
      </c>
      <c r="J119" s="88" t="s">
        <v>125</v>
      </c>
    </row>
    <row r="120" spans="1:10" x14ac:dyDescent="0.35">
      <c r="A120" s="85"/>
      <c r="B120" s="86" t="s">
        <v>162</v>
      </c>
      <c r="C120" s="86" t="s">
        <v>166</v>
      </c>
      <c r="D120" s="86" t="s">
        <v>163</v>
      </c>
      <c r="E120" s="90">
        <v>285222.40000000002</v>
      </c>
      <c r="F120" s="90">
        <v>291976.3</v>
      </c>
      <c r="G120" s="90">
        <v>298721.8</v>
      </c>
      <c r="H120" s="90">
        <v>287121</v>
      </c>
      <c r="I120" s="90">
        <v>296832</v>
      </c>
      <c r="J120" s="88" t="s">
        <v>125</v>
      </c>
    </row>
    <row r="121" spans="1:10" x14ac:dyDescent="0.35">
      <c r="A121" s="85"/>
      <c r="B121" s="86" t="s">
        <v>164</v>
      </c>
      <c r="C121" s="86" t="s">
        <v>166</v>
      </c>
      <c r="D121" s="86" t="s">
        <v>165</v>
      </c>
      <c r="E121" s="90">
        <v>367178.1</v>
      </c>
      <c r="F121" s="90">
        <v>485135.2</v>
      </c>
      <c r="G121" s="90">
        <v>771455</v>
      </c>
      <c r="H121" s="90">
        <v>396785.8</v>
      </c>
      <c r="I121" s="90">
        <v>609246.1</v>
      </c>
      <c r="J121" s="88" t="s">
        <v>125</v>
      </c>
    </row>
    <row r="122" spans="1:10" x14ac:dyDescent="0.35">
      <c r="A122" s="85"/>
      <c r="B122" s="86" t="s">
        <v>150</v>
      </c>
      <c r="C122" s="86" t="s">
        <v>167</v>
      </c>
      <c r="D122" s="86" t="s">
        <v>152</v>
      </c>
      <c r="E122" s="90">
        <v>17887.810000000001</v>
      </c>
      <c r="F122" s="90">
        <v>31307.74</v>
      </c>
      <c r="G122" s="90">
        <v>44727.62</v>
      </c>
      <c r="H122" s="90">
        <v>25171.439999999999</v>
      </c>
      <c r="I122" s="90">
        <v>37443.879999999997</v>
      </c>
      <c r="J122" s="88" t="s">
        <v>125</v>
      </c>
    </row>
    <row r="123" spans="1:10" x14ac:dyDescent="0.35">
      <c r="A123" s="85"/>
      <c r="B123" s="86" t="s">
        <v>150</v>
      </c>
      <c r="C123" s="86" t="s">
        <v>167</v>
      </c>
      <c r="D123" s="86" t="s">
        <v>153</v>
      </c>
      <c r="E123" s="90">
        <v>3228.51</v>
      </c>
      <c r="F123" s="90">
        <v>3534</v>
      </c>
      <c r="G123" s="90">
        <v>3831.03</v>
      </c>
      <c r="H123" s="90">
        <v>3354.72</v>
      </c>
      <c r="I123" s="90">
        <v>3712.14</v>
      </c>
      <c r="J123" s="88" t="s">
        <v>125</v>
      </c>
    </row>
    <row r="124" spans="1:10" x14ac:dyDescent="0.35">
      <c r="A124" s="85"/>
      <c r="B124" s="86" t="s">
        <v>156</v>
      </c>
      <c r="C124" s="86" t="s">
        <v>167</v>
      </c>
      <c r="D124" s="86" t="s">
        <v>157</v>
      </c>
      <c r="E124" s="90">
        <v>19297.57</v>
      </c>
      <c r="F124" s="90">
        <v>31310.93</v>
      </c>
      <c r="G124" s="90">
        <v>41638.26</v>
      </c>
      <c r="H124" s="90">
        <v>26675.64</v>
      </c>
      <c r="I124" s="90">
        <v>35946.910000000003</v>
      </c>
      <c r="J124" s="88" t="s">
        <v>125</v>
      </c>
    </row>
    <row r="125" spans="1:10" x14ac:dyDescent="0.35">
      <c r="A125" s="85"/>
      <c r="B125" s="86" t="s">
        <v>158</v>
      </c>
      <c r="C125" s="86" t="s">
        <v>167</v>
      </c>
      <c r="D125" s="86" t="s">
        <v>159</v>
      </c>
      <c r="E125" s="89">
        <v>7320.13</v>
      </c>
      <c r="F125" s="89">
        <v>365826.7</v>
      </c>
      <c r="G125" s="89">
        <v>1309835</v>
      </c>
      <c r="H125" s="89">
        <v>79988.37</v>
      </c>
      <c r="I125" s="89">
        <v>768977.1</v>
      </c>
      <c r="J125" s="88" t="s">
        <v>125</v>
      </c>
    </row>
    <row r="126" spans="1:10" x14ac:dyDescent="0.35">
      <c r="A126" s="85"/>
      <c r="B126" s="86" t="s">
        <v>160</v>
      </c>
      <c r="C126" s="86" t="s">
        <v>167</v>
      </c>
      <c r="D126" s="86" t="s">
        <v>161</v>
      </c>
      <c r="E126" s="90">
        <v>80697.39</v>
      </c>
      <c r="F126" s="90">
        <v>446798.7</v>
      </c>
      <c r="G126" s="90">
        <v>1386674</v>
      </c>
      <c r="H126" s="90">
        <v>160598.39999999999</v>
      </c>
      <c r="I126" s="90">
        <v>849723.1</v>
      </c>
      <c r="J126" s="88" t="s">
        <v>125</v>
      </c>
    </row>
    <row r="127" spans="1:10" x14ac:dyDescent="0.35">
      <c r="A127" s="85"/>
      <c r="B127" s="86" t="s">
        <v>162</v>
      </c>
      <c r="C127" s="86" t="s">
        <v>167</v>
      </c>
      <c r="D127" s="86" t="s">
        <v>163</v>
      </c>
      <c r="E127" s="90">
        <v>795668.4</v>
      </c>
      <c r="F127" s="90">
        <v>802449.4</v>
      </c>
      <c r="G127" s="90">
        <v>809226.8</v>
      </c>
      <c r="H127" s="90">
        <v>797593.9</v>
      </c>
      <c r="I127" s="90">
        <v>807304.2</v>
      </c>
      <c r="J127" s="88" t="s">
        <v>125</v>
      </c>
    </row>
    <row r="128" spans="1:10" x14ac:dyDescent="0.35">
      <c r="A128" s="85"/>
      <c r="B128" s="86" t="s">
        <v>164</v>
      </c>
      <c r="C128" s="86" t="s">
        <v>167</v>
      </c>
      <c r="D128" s="86" t="s">
        <v>165</v>
      </c>
      <c r="E128" s="90">
        <v>878202.6</v>
      </c>
      <c r="F128" s="90">
        <v>1249248</v>
      </c>
      <c r="G128" s="90">
        <v>2191671</v>
      </c>
      <c r="H128" s="90">
        <v>963030.1</v>
      </c>
      <c r="I128" s="90">
        <v>1652408</v>
      </c>
      <c r="J128" s="88" t="s">
        <v>125</v>
      </c>
    </row>
    <row r="129" spans="1:10" x14ac:dyDescent="0.35">
      <c r="A129" s="85"/>
      <c r="B129" s="86" t="s">
        <v>233</v>
      </c>
      <c r="C129" s="86" t="s">
        <v>169</v>
      </c>
      <c r="D129" s="86" t="s">
        <v>234</v>
      </c>
      <c r="E129" s="86">
        <v>4.0538170000000002E-7</v>
      </c>
      <c r="F129" s="86">
        <v>0.18939739999999999</v>
      </c>
      <c r="G129" s="86">
        <v>0.8159438</v>
      </c>
      <c r="H129" s="86">
        <v>1.1934159999999999E-2</v>
      </c>
      <c r="I129" s="86">
        <v>0.4496522</v>
      </c>
      <c r="J129" s="88" t="s">
        <v>125</v>
      </c>
    </row>
    <row r="130" spans="1:10" x14ac:dyDescent="0.35">
      <c r="A130" s="85"/>
      <c r="B130" s="86" t="s">
        <v>235</v>
      </c>
      <c r="C130" s="86" t="s">
        <v>169</v>
      </c>
      <c r="D130" s="86" t="s">
        <v>236</v>
      </c>
      <c r="E130" s="86">
        <v>3.2362340000000001E-6</v>
      </c>
      <c r="F130" s="86">
        <v>0.14472080000000001</v>
      </c>
      <c r="G130" s="86">
        <v>0.55610680000000001</v>
      </c>
      <c r="H130" s="86">
        <v>1.126538E-2</v>
      </c>
      <c r="I130" s="86">
        <v>0.32481209999999999</v>
      </c>
      <c r="J130" s="88" t="s">
        <v>125</v>
      </c>
    </row>
    <row r="131" spans="1:10" x14ac:dyDescent="0.35">
      <c r="A131" s="85"/>
      <c r="B131" s="86" t="s">
        <v>237</v>
      </c>
      <c r="C131" s="86" t="s">
        <v>169</v>
      </c>
      <c r="D131" s="86" t="s">
        <v>238</v>
      </c>
      <c r="E131" s="86">
        <v>2.5976840000000001E-6</v>
      </c>
      <c r="F131" s="86">
        <v>0.1954919</v>
      </c>
      <c r="G131" s="86">
        <v>0.83060230000000002</v>
      </c>
      <c r="H131" s="86">
        <v>1.1870489999999999E-2</v>
      </c>
      <c r="I131" s="86">
        <v>0.4691167</v>
      </c>
      <c r="J131" s="88" t="s">
        <v>125</v>
      </c>
    </row>
    <row r="132" spans="1:10" x14ac:dyDescent="0.35">
      <c r="A132" s="85"/>
      <c r="B132" s="86" t="s">
        <v>239</v>
      </c>
      <c r="C132" s="86" t="s">
        <v>169</v>
      </c>
      <c r="D132" s="86" t="s">
        <v>240</v>
      </c>
      <c r="E132" s="86">
        <v>2.334131E-6</v>
      </c>
      <c r="F132" s="86">
        <v>0.2497789</v>
      </c>
      <c r="G132" s="86">
        <v>0.98707029999999996</v>
      </c>
      <c r="H132" s="86">
        <v>1.6183639999999999E-2</v>
      </c>
      <c r="I132" s="86">
        <v>0.58830389999999999</v>
      </c>
      <c r="J132" s="88" t="s">
        <v>125</v>
      </c>
    </row>
    <row r="133" spans="1:10" x14ac:dyDescent="0.35">
      <c r="A133" s="85"/>
      <c r="B133" s="86" t="s">
        <v>176</v>
      </c>
      <c r="C133" s="86" t="s">
        <v>169</v>
      </c>
      <c r="D133" s="86" t="s">
        <v>241</v>
      </c>
      <c r="E133" s="86">
        <v>26029.09</v>
      </c>
      <c r="F133" s="86">
        <v>36764.870000000003</v>
      </c>
      <c r="G133" s="86">
        <v>47073.5</v>
      </c>
      <c r="H133" s="86">
        <v>32357.11</v>
      </c>
      <c r="I133" s="86">
        <v>41172.19</v>
      </c>
      <c r="J133" s="88" t="s">
        <v>125</v>
      </c>
    </row>
    <row r="134" spans="1:10" x14ac:dyDescent="0.35">
      <c r="A134" s="85"/>
      <c r="B134" s="86" t="s">
        <v>178</v>
      </c>
      <c r="C134" s="86" t="s">
        <v>169</v>
      </c>
      <c r="D134" s="86" t="s">
        <v>242</v>
      </c>
      <c r="E134" s="86">
        <v>453659.5</v>
      </c>
      <c r="F134" s="86">
        <v>640772.6</v>
      </c>
      <c r="G134" s="86">
        <v>820441.1</v>
      </c>
      <c r="H134" s="86">
        <v>563950.1</v>
      </c>
      <c r="I134" s="86">
        <v>717587.6</v>
      </c>
      <c r="J134" s="88" t="s">
        <v>125</v>
      </c>
    </row>
    <row r="135" spans="1:10" x14ac:dyDescent="0.35">
      <c r="A135" s="85"/>
      <c r="B135" s="86" t="s">
        <v>180</v>
      </c>
      <c r="C135" s="86" t="s">
        <v>169</v>
      </c>
      <c r="D135" s="86" t="s">
        <v>231</v>
      </c>
      <c r="E135" s="86">
        <v>3740.9029999999998</v>
      </c>
      <c r="F135" s="86">
        <v>5283.8490000000002</v>
      </c>
      <c r="G135" s="86">
        <v>6765.4049999999997</v>
      </c>
      <c r="H135" s="86">
        <v>4650.3649999999998</v>
      </c>
      <c r="I135" s="86">
        <v>5917.2690000000002</v>
      </c>
      <c r="J135" s="88" t="s">
        <v>125</v>
      </c>
    </row>
    <row r="136" spans="1:10" x14ac:dyDescent="0.35">
      <c r="A136" s="85"/>
      <c r="B136" s="86" t="s">
        <v>182</v>
      </c>
      <c r="C136" s="86" t="s">
        <v>169</v>
      </c>
      <c r="D136" s="86" t="s">
        <v>243</v>
      </c>
      <c r="E136" s="86">
        <v>1024137</v>
      </c>
      <c r="F136" s="86">
        <v>1446545</v>
      </c>
      <c r="G136" s="86">
        <v>1852147</v>
      </c>
      <c r="H136" s="86">
        <v>1273118</v>
      </c>
      <c r="I136" s="86">
        <v>1619955</v>
      </c>
      <c r="J136" s="88" t="s">
        <v>125</v>
      </c>
    </row>
    <row r="137" spans="1:10" x14ac:dyDescent="0.35">
      <c r="A137" s="85"/>
      <c r="B137" s="86" t="s">
        <v>244</v>
      </c>
      <c r="C137" s="86" t="s">
        <v>169</v>
      </c>
      <c r="D137" s="86" t="s">
        <v>185</v>
      </c>
      <c r="E137" s="89">
        <v>0.01</v>
      </c>
      <c r="F137" s="89">
        <v>3602.52</v>
      </c>
      <c r="G137" s="89">
        <v>16114.88</v>
      </c>
      <c r="H137" s="89">
        <v>226.99</v>
      </c>
      <c r="I137" s="89">
        <v>8597.06</v>
      </c>
      <c r="J137" s="88" t="s">
        <v>125</v>
      </c>
    </row>
    <row r="138" spans="1:10" x14ac:dyDescent="0.35">
      <c r="A138" s="85"/>
      <c r="B138" s="86" t="s">
        <v>245</v>
      </c>
      <c r="C138" s="86" t="s">
        <v>169</v>
      </c>
      <c r="D138" s="86" t="s">
        <v>187</v>
      </c>
      <c r="E138" s="89">
        <v>1.0900000000000001</v>
      </c>
      <c r="F138" s="89">
        <v>47969.2</v>
      </c>
      <c r="G138" s="89">
        <v>180027.6</v>
      </c>
      <c r="H138" s="89">
        <v>3717.56</v>
      </c>
      <c r="I138" s="89">
        <v>108407.7</v>
      </c>
      <c r="J138" s="88" t="s">
        <v>125</v>
      </c>
    </row>
    <row r="139" spans="1:10" x14ac:dyDescent="0.35">
      <c r="A139" s="85"/>
      <c r="B139" s="86" t="s">
        <v>246</v>
      </c>
      <c r="C139" s="86" t="s">
        <v>169</v>
      </c>
      <c r="D139" s="86" t="s">
        <v>247</v>
      </c>
      <c r="E139" s="89">
        <v>0.01</v>
      </c>
      <c r="F139" s="89">
        <v>534.37</v>
      </c>
      <c r="G139" s="89">
        <v>2491.91</v>
      </c>
      <c r="H139" s="89">
        <v>32.200000000000003</v>
      </c>
      <c r="I139" s="89">
        <v>1289.19</v>
      </c>
      <c r="J139" s="88" t="s">
        <v>125</v>
      </c>
    </row>
    <row r="140" spans="1:10" x14ac:dyDescent="0.35">
      <c r="A140" s="85"/>
      <c r="B140" s="86" t="s">
        <v>248</v>
      </c>
      <c r="C140" s="86" t="s">
        <v>169</v>
      </c>
      <c r="D140" s="86" t="s">
        <v>249</v>
      </c>
      <c r="E140" s="89">
        <v>1.76</v>
      </c>
      <c r="F140" s="89">
        <v>186900.7</v>
      </c>
      <c r="G140" s="89">
        <v>771562.5</v>
      </c>
      <c r="H140" s="89">
        <v>12071.41</v>
      </c>
      <c r="I140" s="89">
        <v>442989.1</v>
      </c>
      <c r="J140" s="88" t="s">
        <v>125</v>
      </c>
    </row>
    <row r="141" spans="1:10" x14ac:dyDescent="0.35">
      <c r="A141" s="85"/>
      <c r="B141" s="86" t="s">
        <v>250</v>
      </c>
      <c r="C141" s="86" t="s">
        <v>169</v>
      </c>
      <c r="D141" s="86" t="s">
        <v>251</v>
      </c>
      <c r="E141" s="95">
        <v>4782.4830000000002</v>
      </c>
      <c r="F141" s="95">
        <v>239006.8</v>
      </c>
      <c r="G141" s="95">
        <v>855758.6</v>
      </c>
      <c r="H141" s="95">
        <v>52259.07</v>
      </c>
      <c r="I141" s="95">
        <v>502398.4</v>
      </c>
      <c r="J141" s="88" t="s">
        <v>125</v>
      </c>
    </row>
    <row r="142" spans="1:10" x14ac:dyDescent="0.35">
      <c r="A142" s="85"/>
      <c r="B142" s="86" t="s">
        <v>244</v>
      </c>
      <c r="C142" s="86" t="s">
        <v>169</v>
      </c>
      <c r="D142" s="86" t="s">
        <v>196</v>
      </c>
      <c r="E142" s="89">
        <v>0</v>
      </c>
      <c r="F142" s="89">
        <v>1690.98</v>
      </c>
      <c r="G142" s="89">
        <v>7564.13</v>
      </c>
      <c r="H142" s="89">
        <v>106.55</v>
      </c>
      <c r="I142" s="89">
        <v>4035.36</v>
      </c>
      <c r="J142" s="88" t="s">
        <v>125</v>
      </c>
    </row>
    <row r="143" spans="1:10" x14ac:dyDescent="0.35">
      <c r="A143" s="85"/>
      <c r="B143" s="86" t="s">
        <v>245</v>
      </c>
      <c r="C143" s="86" t="s">
        <v>169</v>
      </c>
      <c r="D143" s="86" t="s">
        <v>197</v>
      </c>
      <c r="E143" s="89">
        <v>0.51</v>
      </c>
      <c r="F143" s="89">
        <v>22516.16</v>
      </c>
      <c r="G143" s="89">
        <v>84502.76</v>
      </c>
      <c r="H143" s="89">
        <v>1744.98</v>
      </c>
      <c r="I143" s="89">
        <v>50885.27</v>
      </c>
      <c r="J143" s="88" t="s">
        <v>125</v>
      </c>
    </row>
    <row r="144" spans="1:10" x14ac:dyDescent="0.35">
      <c r="A144" s="85"/>
      <c r="B144" s="86" t="s">
        <v>246</v>
      </c>
      <c r="C144" s="86" t="s">
        <v>169</v>
      </c>
      <c r="D144" s="86" t="s">
        <v>252</v>
      </c>
      <c r="E144" s="89">
        <v>0</v>
      </c>
      <c r="F144" s="89">
        <v>250.83</v>
      </c>
      <c r="G144" s="89">
        <v>1169.67</v>
      </c>
      <c r="H144" s="89">
        <v>15.11</v>
      </c>
      <c r="I144" s="89">
        <v>605.13</v>
      </c>
      <c r="J144" s="88" t="s">
        <v>125</v>
      </c>
    </row>
    <row r="145" spans="1:10" x14ac:dyDescent="0.35">
      <c r="A145" s="85"/>
      <c r="B145" s="86" t="s">
        <v>248</v>
      </c>
      <c r="C145" s="86" t="s">
        <v>169</v>
      </c>
      <c r="D145" s="86" t="s">
        <v>253</v>
      </c>
      <c r="E145" s="89">
        <v>0.83</v>
      </c>
      <c r="F145" s="89">
        <v>87728.88</v>
      </c>
      <c r="G145" s="89">
        <v>362162</v>
      </c>
      <c r="H145" s="89">
        <v>5666.17</v>
      </c>
      <c r="I145" s="89">
        <v>207933.6</v>
      </c>
      <c r="J145" s="88" t="s">
        <v>125</v>
      </c>
    </row>
    <row r="146" spans="1:10" x14ac:dyDescent="0.35">
      <c r="A146" s="85"/>
      <c r="B146" s="86"/>
      <c r="C146" s="86" t="s">
        <v>169</v>
      </c>
      <c r="D146" s="86" t="s">
        <v>254</v>
      </c>
      <c r="E146" s="89">
        <v>2244.84</v>
      </c>
      <c r="F146" s="89">
        <v>112186.8</v>
      </c>
      <c r="G146" s="89">
        <v>401682.6</v>
      </c>
      <c r="H146" s="89">
        <v>24529.77</v>
      </c>
      <c r="I146" s="89">
        <v>235819.6</v>
      </c>
      <c r="J146" s="88" t="s">
        <v>125</v>
      </c>
    </row>
    <row r="147" spans="1:10" x14ac:dyDescent="0.35">
      <c r="A147" s="85"/>
      <c r="B147" s="86" t="s">
        <v>244</v>
      </c>
      <c r="C147" s="86" t="s">
        <v>169</v>
      </c>
      <c r="D147" s="86" t="s">
        <v>205</v>
      </c>
      <c r="E147" s="90">
        <v>0.01</v>
      </c>
      <c r="F147" s="90">
        <v>5514.06</v>
      </c>
      <c r="G147" s="90">
        <v>24665.63</v>
      </c>
      <c r="H147" s="90">
        <v>347.43</v>
      </c>
      <c r="I147" s="90">
        <v>13158.77</v>
      </c>
      <c r="J147" s="88" t="s">
        <v>125</v>
      </c>
    </row>
    <row r="148" spans="1:10" x14ac:dyDescent="0.35">
      <c r="A148" s="85"/>
      <c r="B148" s="86" t="s">
        <v>245</v>
      </c>
      <c r="C148" s="86" t="s">
        <v>169</v>
      </c>
      <c r="D148" s="86" t="s">
        <v>206</v>
      </c>
      <c r="E148" s="90">
        <v>1.67</v>
      </c>
      <c r="F148" s="90">
        <v>73422.25</v>
      </c>
      <c r="G148" s="90">
        <v>275552.5</v>
      </c>
      <c r="H148" s="90">
        <v>5690.14</v>
      </c>
      <c r="I148" s="90">
        <v>165930.20000000001</v>
      </c>
      <c r="J148" s="88" t="s">
        <v>125</v>
      </c>
    </row>
    <row r="149" spans="1:10" x14ac:dyDescent="0.35">
      <c r="A149" s="85"/>
      <c r="B149" s="86" t="s">
        <v>246</v>
      </c>
      <c r="C149" s="86" t="s">
        <v>169</v>
      </c>
      <c r="D149" s="86" t="s">
        <v>255</v>
      </c>
      <c r="E149" s="90">
        <v>0.01</v>
      </c>
      <c r="F149" s="90">
        <v>817.91</v>
      </c>
      <c r="G149" s="90">
        <v>3814.15</v>
      </c>
      <c r="H149" s="90">
        <v>49.28</v>
      </c>
      <c r="I149" s="90">
        <v>1973.26</v>
      </c>
      <c r="J149" s="88" t="s">
        <v>125</v>
      </c>
    </row>
    <row r="150" spans="1:10" x14ac:dyDescent="0.35">
      <c r="A150" s="85"/>
      <c r="B150" s="86" t="s">
        <v>248</v>
      </c>
      <c r="C150" s="86" t="s">
        <v>169</v>
      </c>
      <c r="D150" s="86" t="s">
        <v>256</v>
      </c>
      <c r="E150" s="90">
        <v>2.69</v>
      </c>
      <c r="F150" s="90">
        <v>286072.5</v>
      </c>
      <c r="G150" s="90">
        <v>1180963</v>
      </c>
      <c r="H150" s="90">
        <v>18476.650000000001</v>
      </c>
      <c r="I150" s="90">
        <v>678044.4</v>
      </c>
      <c r="J150" s="88" t="s">
        <v>125</v>
      </c>
    </row>
    <row r="151" spans="1:10" x14ac:dyDescent="0.35">
      <c r="A151" s="85"/>
      <c r="B151" s="86"/>
      <c r="C151" s="86" t="s">
        <v>169</v>
      </c>
      <c r="D151" s="86" t="s">
        <v>257</v>
      </c>
      <c r="E151" s="90">
        <v>7320.13</v>
      </c>
      <c r="F151" s="90">
        <v>365826.7</v>
      </c>
      <c r="G151" s="90">
        <v>1309835</v>
      </c>
      <c r="H151" s="90">
        <v>79988.37</v>
      </c>
      <c r="I151" s="90">
        <v>768977.1</v>
      </c>
      <c r="J151" s="88" t="s">
        <v>125</v>
      </c>
    </row>
    <row r="152" spans="1:10" x14ac:dyDescent="0.35">
      <c r="A152" s="85"/>
      <c r="B152" s="86" t="s">
        <v>70</v>
      </c>
      <c r="C152" s="86" t="s">
        <v>214</v>
      </c>
      <c r="D152" s="86" t="s">
        <v>215</v>
      </c>
      <c r="E152" s="87">
        <v>65069190</v>
      </c>
      <c r="F152" s="87">
        <v>129436900</v>
      </c>
      <c r="G152" s="87">
        <v>186764600</v>
      </c>
      <c r="H152" s="87">
        <v>104066400</v>
      </c>
      <c r="I152" s="87">
        <v>154805400</v>
      </c>
      <c r="J152" s="88" t="s">
        <v>125</v>
      </c>
    </row>
    <row r="153" spans="1:10" x14ac:dyDescent="0.35">
      <c r="A153" s="85"/>
      <c r="B153" s="86" t="s">
        <v>72</v>
      </c>
      <c r="C153" s="86" t="s">
        <v>214</v>
      </c>
      <c r="D153" s="86" t="s">
        <v>216</v>
      </c>
      <c r="E153" s="87">
        <v>512575300</v>
      </c>
      <c r="F153" s="87">
        <v>1019625000</v>
      </c>
      <c r="G153" s="87">
        <v>1471217000</v>
      </c>
      <c r="H153" s="87">
        <v>819771700</v>
      </c>
      <c r="I153" s="87">
        <v>1219462000</v>
      </c>
      <c r="J153" s="88" t="s">
        <v>125</v>
      </c>
    </row>
    <row r="154" spans="1:10" x14ac:dyDescent="0.35">
      <c r="A154" s="85"/>
      <c r="B154" s="86" t="s">
        <v>73</v>
      </c>
      <c r="C154" s="86" t="s">
        <v>214</v>
      </c>
      <c r="D154" s="86" t="s">
        <v>217</v>
      </c>
      <c r="E154" s="87">
        <v>730515800</v>
      </c>
      <c r="F154" s="87">
        <v>1453156000</v>
      </c>
      <c r="G154" s="87">
        <v>2096760000</v>
      </c>
      <c r="H154" s="87">
        <v>1168328000</v>
      </c>
      <c r="I154" s="87">
        <v>1737962000</v>
      </c>
      <c r="J154" s="88" t="s">
        <v>125</v>
      </c>
    </row>
    <row r="155" spans="1:10" x14ac:dyDescent="0.35">
      <c r="A155" s="85"/>
      <c r="B155" s="86" t="s">
        <v>75</v>
      </c>
      <c r="C155" s="86" t="s">
        <v>214</v>
      </c>
      <c r="D155" s="86" t="s">
        <v>218</v>
      </c>
      <c r="E155" s="87">
        <v>1300894000</v>
      </c>
      <c r="F155" s="87">
        <v>2587764000</v>
      </c>
      <c r="G155" s="87">
        <v>3733886000</v>
      </c>
      <c r="H155" s="87">
        <v>2080545000</v>
      </c>
      <c r="I155" s="87">
        <v>3094942000</v>
      </c>
      <c r="J155" s="88" t="s">
        <v>125</v>
      </c>
    </row>
    <row r="156" spans="1:10" x14ac:dyDescent="0.35">
      <c r="A156" s="85"/>
      <c r="B156" s="86" t="s">
        <v>76</v>
      </c>
      <c r="C156" s="86" t="s">
        <v>214</v>
      </c>
      <c r="D156" s="86" t="s">
        <v>219</v>
      </c>
      <c r="E156" s="87">
        <v>2412636000</v>
      </c>
      <c r="F156" s="87">
        <v>4799262000</v>
      </c>
      <c r="G156" s="87">
        <v>6924857000</v>
      </c>
      <c r="H156" s="87">
        <v>3858575000</v>
      </c>
      <c r="I156" s="87">
        <v>5739874000</v>
      </c>
      <c r="J156" s="88" t="s">
        <v>125</v>
      </c>
    </row>
    <row r="157" spans="1:10" x14ac:dyDescent="0.35">
      <c r="A157" s="85"/>
      <c r="B157" s="86" t="s">
        <v>77</v>
      </c>
      <c r="C157" s="86" t="s">
        <v>214</v>
      </c>
      <c r="D157" s="86" t="s">
        <v>220</v>
      </c>
      <c r="E157" s="87">
        <v>2411335000</v>
      </c>
      <c r="F157" s="87">
        <v>4796676000</v>
      </c>
      <c r="G157" s="87">
        <v>6921126000</v>
      </c>
      <c r="H157" s="87">
        <v>3856496000</v>
      </c>
      <c r="I157" s="87">
        <v>5736781000</v>
      </c>
      <c r="J157" s="88" t="s">
        <v>125</v>
      </c>
    </row>
    <row r="158" spans="1:10" x14ac:dyDescent="0.35">
      <c r="A158" s="85"/>
      <c r="B158" s="86" t="s">
        <v>78</v>
      </c>
      <c r="C158" s="86" t="s">
        <v>214</v>
      </c>
      <c r="D158" s="86" t="s">
        <v>221</v>
      </c>
      <c r="E158" s="87">
        <v>78436900</v>
      </c>
      <c r="F158" s="87">
        <v>156028200</v>
      </c>
      <c r="G158" s="87">
        <v>225133200</v>
      </c>
      <c r="H158" s="87">
        <v>125445700</v>
      </c>
      <c r="I158" s="87">
        <v>186608300</v>
      </c>
      <c r="J158" s="88" t="s">
        <v>125</v>
      </c>
    </row>
    <row r="159" spans="1:10" x14ac:dyDescent="0.35">
      <c r="A159" s="85"/>
      <c r="B159" s="86" t="s">
        <v>80</v>
      </c>
      <c r="C159" s="86" t="s">
        <v>214</v>
      </c>
      <c r="D159" s="86" t="s">
        <v>222</v>
      </c>
      <c r="E159" s="87">
        <v>7511462000</v>
      </c>
      <c r="F159" s="87">
        <v>14941950000</v>
      </c>
      <c r="G159" s="87">
        <v>21559740000</v>
      </c>
      <c r="H159" s="87">
        <v>12013230000</v>
      </c>
      <c r="I159" s="87">
        <v>17870430000</v>
      </c>
      <c r="J159" s="88" t="s">
        <v>125</v>
      </c>
    </row>
    <row r="160" spans="1:10" x14ac:dyDescent="0.35">
      <c r="A160" s="85"/>
      <c r="B160" s="86" t="s">
        <v>70</v>
      </c>
      <c r="C160" s="86" t="s">
        <v>214</v>
      </c>
      <c r="D160" s="86" t="s">
        <v>223</v>
      </c>
      <c r="E160" s="87">
        <v>90926990</v>
      </c>
      <c r="F160" s="87">
        <v>180873700</v>
      </c>
      <c r="G160" s="87">
        <v>260982800</v>
      </c>
      <c r="H160" s="87">
        <v>145421300</v>
      </c>
      <c r="I160" s="87">
        <v>216323400</v>
      </c>
      <c r="J160" s="88" t="s">
        <v>125</v>
      </c>
    </row>
    <row r="161" spans="1:10" x14ac:dyDescent="0.35">
      <c r="A161" s="85"/>
      <c r="B161" s="86" t="s">
        <v>72</v>
      </c>
      <c r="C161" s="86" t="s">
        <v>214</v>
      </c>
      <c r="D161" s="86" t="s">
        <v>224</v>
      </c>
      <c r="E161" s="87">
        <v>515045500</v>
      </c>
      <c r="F161" s="87">
        <v>1024539000</v>
      </c>
      <c r="G161" s="87">
        <v>1478307000</v>
      </c>
      <c r="H161" s="87">
        <v>823722400</v>
      </c>
      <c r="I161" s="87">
        <v>1225339000</v>
      </c>
      <c r="J161" s="88" t="s">
        <v>125</v>
      </c>
    </row>
    <row r="162" spans="1:10" x14ac:dyDescent="0.35">
      <c r="A162" s="85"/>
      <c r="B162" s="86" t="s">
        <v>73</v>
      </c>
      <c r="C162" s="86" t="s">
        <v>214</v>
      </c>
      <c r="D162" s="86" t="s">
        <v>225</v>
      </c>
      <c r="E162" s="87">
        <v>625600600</v>
      </c>
      <c r="F162" s="87">
        <v>1244457000</v>
      </c>
      <c r="G162" s="87">
        <v>1795628000</v>
      </c>
      <c r="H162" s="87">
        <v>1000535000</v>
      </c>
      <c r="I162" s="87">
        <v>1488359000</v>
      </c>
      <c r="J162" s="88" t="s">
        <v>125</v>
      </c>
    </row>
    <row r="163" spans="1:10" x14ac:dyDescent="0.35">
      <c r="A163" s="85"/>
      <c r="B163" s="86" t="s">
        <v>75</v>
      </c>
      <c r="C163" s="86" t="s">
        <v>214</v>
      </c>
      <c r="D163" s="86" t="s">
        <v>226</v>
      </c>
      <c r="E163" s="87">
        <v>687180100</v>
      </c>
      <c r="F163" s="87">
        <v>1366952000</v>
      </c>
      <c r="G163" s="87">
        <v>1972376000</v>
      </c>
      <c r="H163" s="87">
        <v>1099021000</v>
      </c>
      <c r="I163" s="87">
        <v>1634862000</v>
      </c>
      <c r="J163" s="88" t="s">
        <v>125</v>
      </c>
    </row>
    <row r="164" spans="1:10" x14ac:dyDescent="0.35">
      <c r="A164" s="85"/>
      <c r="B164" s="86" t="s">
        <v>76</v>
      </c>
      <c r="C164" s="86" t="s">
        <v>214</v>
      </c>
      <c r="D164" s="86" t="s">
        <v>227</v>
      </c>
      <c r="E164" s="87">
        <v>1325059000</v>
      </c>
      <c r="F164" s="87">
        <v>2635834000</v>
      </c>
      <c r="G164" s="87">
        <v>3803246000</v>
      </c>
      <c r="H164" s="87">
        <v>2119193000</v>
      </c>
      <c r="I164" s="87">
        <v>3152434000</v>
      </c>
      <c r="J164" s="88" t="s">
        <v>125</v>
      </c>
    </row>
    <row r="165" spans="1:10" x14ac:dyDescent="0.35">
      <c r="A165" s="85"/>
      <c r="B165" s="86" t="s">
        <v>77</v>
      </c>
      <c r="C165" s="86" t="s">
        <v>214</v>
      </c>
      <c r="D165" s="86" t="s">
        <v>228</v>
      </c>
      <c r="E165" s="87">
        <v>1016715000</v>
      </c>
      <c r="F165" s="87">
        <v>2022469000</v>
      </c>
      <c r="G165" s="87">
        <v>2918222000</v>
      </c>
      <c r="H165" s="87">
        <v>1626052000</v>
      </c>
      <c r="I165" s="87">
        <v>2418855000</v>
      </c>
      <c r="J165" s="88" t="s">
        <v>125</v>
      </c>
    </row>
    <row r="166" spans="1:10" x14ac:dyDescent="0.35">
      <c r="A166" s="85"/>
      <c r="B166" s="86" t="s">
        <v>78</v>
      </c>
      <c r="C166" s="86" t="s">
        <v>214</v>
      </c>
      <c r="D166" s="86" t="s">
        <v>229</v>
      </c>
      <c r="E166" s="87">
        <v>30884820</v>
      </c>
      <c r="F166" s="87">
        <v>61436700</v>
      </c>
      <c r="G166" s="87">
        <v>88647040</v>
      </c>
      <c r="H166" s="87">
        <v>49394700</v>
      </c>
      <c r="I166" s="87">
        <v>73477740</v>
      </c>
      <c r="J166" s="88" t="s">
        <v>125</v>
      </c>
    </row>
    <row r="167" spans="1:10" x14ac:dyDescent="0.35">
      <c r="A167" s="85"/>
      <c r="B167" s="86" t="s">
        <v>80</v>
      </c>
      <c r="C167" s="86" t="s">
        <v>214</v>
      </c>
      <c r="D167" s="86" t="s">
        <v>230</v>
      </c>
      <c r="E167" s="87">
        <v>4291412000</v>
      </c>
      <c r="F167" s="87">
        <v>8536561000</v>
      </c>
      <c r="G167" s="87">
        <v>12317410000</v>
      </c>
      <c r="H167" s="87">
        <v>6863340000</v>
      </c>
      <c r="I167" s="87">
        <v>10209650000</v>
      </c>
      <c r="J167" s="88" t="s">
        <v>125</v>
      </c>
    </row>
    <row r="168" spans="1:10" x14ac:dyDescent="0.35">
      <c r="A168" s="91"/>
      <c r="B168" s="92" t="s">
        <v>0</v>
      </c>
      <c r="C168" s="92" t="s">
        <v>214</v>
      </c>
      <c r="D168" s="92" t="s">
        <v>231</v>
      </c>
      <c r="E168" s="93">
        <v>11802.88</v>
      </c>
      <c r="F168" s="93">
        <v>23478.51</v>
      </c>
      <c r="G168" s="93">
        <v>33877.15</v>
      </c>
      <c r="H168" s="93">
        <v>18876.57</v>
      </c>
      <c r="I168" s="93">
        <v>28080.080000000002</v>
      </c>
      <c r="J168" s="94" t="s">
        <v>125</v>
      </c>
    </row>
    <row r="169" spans="1:10" x14ac:dyDescent="0.35">
      <c r="A169" s="79" t="s">
        <v>258</v>
      </c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1:10" x14ac:dyDescent="0.35">
      <c r="A170" s="81"/>
      <c r="B170" s="82" t="s">
        <v>122</v>
      </c>
      <c r="C170" s="82" t="s">
        <v>123</v>
      </c>
      <c r="D170" s="82" t="s">
        <v>124</v>
      </c>
      <c r="E170" s="83">
        <v>429443.8</v>
      </c>
      <c r="F170" s="83">
        <v>776350.1</v>
      </c>
      <c r="G170" s="83">
        <v>1118926</v>
      </c>
      <c r="H170" s="83">
        <v>624182.80000000005</v>
      </c>
      <c r="I170" s="83">
        <v>928509.9</v>
      </c>
      <c r="J170" s="84" t="s">
        <v>125</v>
      </c>
    </row>
    <row r="171" spans="1:10" x14ac:dyDescent="0.35">
      <c r="A171" s="85"/>
      <c r="B171" s="86" t="s">
        <v>126</v>
      </c>
      <c r="C171" s="86" t="s">
        <v>123</v>
      </c>
      <c r="D171" s="86" t="s">
        <v>127</v>
      </c>
      <c r="E171" s="87">
        <v>95904</v>
      </c>
      <c r="F171" s="87">
        <v>173375.6</v>
      </c>
      <c r="G171" s="87">
        <v>249880</v>
      </c>
      <c r="H171" s="87">
        <v>139393.4</v>
      </c>
      <c r="I171" s="87">
        <v>207356.1</v>
      </c>
      <c r="J171" s="88" t="s">
        <v>125</v>
      </c>
    </row>
    <row r="172" spans="1:10" x14ac:dyDescent="0.35">
      <c r="A172" s="85"/>
      <c r="B172" s="86" t="s">
        <v>128</v>
      </c>
      <c r="C172" s="86" t="s">
        <v>123</v>
      </c>
      <c r="D172" s="86" t="s">
        <v>129</v>
      </c>
      <c r="E172" s="87">
        <v>418289.3</v>
      </c>
      <c r="F172" s="87">
        <v>756184.9</v>
      </c>
      <c r="G172" s="87">
        <v>1089862</v>
      </c>
      <c r="H172" s="87">
        <v>607970.1</v>
      </c>
      <c r="I172" s="87">
        <v>904392.6</v>
      </c>
      <c r="J172" s="88" t="s">
        <v>125</v>
      </c>
    </row>
    <row r="173" spans="1:10" x14ac:dyDescent="0.35">
      <c r="A173" s="85"/>
      <c r="B173" s="86" t="s">
        <v>130</v>
      </c>
      <c r="C173" s="86" t="s">
        <v>123</v>
      </c>
      <c r="D173" s="86" t="s">
        <v>131</v>
      </c>
      <c r="E173" s="87">
        <v>37403.54</v>
      </c>
      <c r="F173" s="87">
        <v>67618.25</v>
      </c>
      <c r="G173" s="87">
        <v>97455.76</v>
      </c>
      <c r="H173" s="87">
        <v>54364.84</v>
      </c>
      <c r="I173" s="87">
        <v>80871.02</v>
      </c>
      <c r="J173" s="88" t="s">
        <v>125</v>
      </c>
    </row>
    <row r="174" spans="1:10" x14ac:dyDescent="0.35">
      <c r="A174" s="85"/>
      <c r="B174" s="86" t="s">
        <v>132</v>
      </c>
      <c r="C174" s="86" t="s">
        <v>123</v>
      </c>
      <c r="D174" s="86" t="s">
        <v>133</v>
      </c>
      <c r="E174" s="87">
        <v>27298.2</v>
      </c>
      <c r="F174" s="87">
        <v>49349.78</v>
      </c>
      <c r="G174" s="87">
        <v>71126.06</v>
      </c>
      <c r="H174" s="87">
        <v>39677.050000000003</v>
      </c>
      <c r="I174" s="87">
        <v>59022.03</v>
      </c>
      <c r="J174" s="88" t="s">
        <v>125</v>
      </c>
    </row>
    <row r="175" spans="1:10" x14ac:dyDescent="0.35">
      <c r="A175" s="85"/>
      <c r="B175" s="86" t="s">
        <v>134</v>
      </c>
      <c r="C175" s="86" t="s">
        <v>123</v>
      </c>
      <c r="D175" s="86" t="s">
        <v>135</v>
      </c>
      <c r="E175" s="87">
        <v>169536.3</v>
      </c>
      <c r="F175" s="87">
        <v>306488.3</v>
      </c>
      <c r="G175" s="87">
        <v>441730.5</v>
      </c>
      <c r="H175" s="87">
        <v>246415.5</v>
      </c>
      <c r="I175" s="87">
        <v>366558.1</v>
      </c>
      <c r="J175" s="88" t="s">
        <v>125</v>
      </c>
    </row>
    <row r="176" spans="1:10" x14ac:dyDescent="0.35">
      <c r="A176" s="85"/>
      <c r="B176" s="86" t="s">
        <v>136</v>
      </c>
      <c r="C176" s="86" t="s">
        <v>123</v>
      </c>
      <c r="D176" s="86" t="s">
        <v>137</v>
      </c>
      <c r="E176" s="89">
        <v>7136.64</v>
      </c>
      <c r="F176" s="89">
        <v>12901.64</v>
      </c>
      <c r="G176" s="89">
        <v>18594.669999999998</v>
      </c>
      <c r="H176" s="89">
        <v>10372.870000000001</v>
      </c>
      <c r="I176" s="89">
        <v>15430.28</v>
      </c>
      <c r="J176" s="88" t="s">
        <v>125</v>
      </c>
    </row>
    <row r="177" spans="1:10" x14ac:dyDescent="0.35">
      <c r="A177" s="85"/>
      <c r="B177" s="86" t="s">
        <v>138</v>
      </c>
      <c r="C177" s="86" t="s">
        <v>123</v>
      </c>
      <c r="D177" s="86" t="s">
        <v>139</v>
      </c>
      <c r="E177" s="90">
        <v>1753.35</v>
      </c>
      <c r="F177" s="90">
        <v>3169.71</v>
      </c>
      <c r="G177" s="90">
        <v>4568.38</v>
      </c>
      <c r="H177" s="90">
        <v>2548.4299999999998</v>
      </c>
      <c r="I177" s="90">
        <v>3790.95</v>
      </c>
      <c r="J177" s="88" t="s">
        <v>125</v>
      </c>
    </row>
    <row r="178" spans="1:10" x14ac:dyDescent="0.35">
      <c r="A178" s="85"/>
      <c r="B178" s="86" t="s">
        <v>140</v>
      </c>
      <c r="C178" s="86" t="s">
        <v>123</v>
      </c>
      <c r="D178" s="86" t="s">
        <v>141</v>
      </c>
      <c r="E178" s="90">
        <v>6163.31</v>
      </c>
      <c r="F178" s="90">
        <v>11142.05</v>
      </c>
      <c r="G178" s="90">
        <v>16058.64</v>
      </c>
      <c r="H178" s="90">
        <v>8958.17</v>
      </c>
      <c r="I178" s="90">
        <v>13325.82</v>
      </c>
      <c r="J178" s="88" t="s">
        <v>125</v>
      </c>
    </row>
    <row r="179" spans="1:10" x14ac:dyDescent="0.35">
      <c r="A179" s="85"/>
      <c r="B179" s="86" t="s">
        <v>142</v>
      </c>
      <c r="C179" s="86" t="s">
        <v>123</v>
      </c>
      <c r="D179" s="86" t="s">
        <v>143</v>
      </c>
      <c r="E179" s="90">
        <v>621.58000000000004</v>
      </c>
      <c r="F179" s="90">
        <v>1123.7</v>
      </c>
      <c r="G179" s="90">
        <v>1619.55</v>
      </c>
      <c r="H179" s="90">
        <v>903.45</v>
      </c>
      <c r="I179" s="90">
        <v>1343.94</v>
      </c>
      <c r="J179" s="88" t="s">
        <v>125</v>
      </c>
    </row>
    <row r="180" spans="1:10" x14ac:dyDescent="0.35">
      <c r="A180" s="85"/>
      <c r="B180" s="86" t="s">
        <v>144</v>
      </c>
      <c r="C180" s="86" t="s">
        <v>123</v>
      </c>
      <c r="D180" s="86" t="s">
        <v>145</v>
      </c>
      <c r="E180" s="90">
        <v>453.65</v>
      </c>
      <c r="F180" s="90">
        <v>820.11</v>
      </c>
      <c r="G180" s="90">
        <v>1182</v>
      </c>
      <c r="H180" s="90">
        <v>659.37</v>
      </c>
      <c r="I180" s="90">
        <v>980.85</v>
      </c>
      <c r="J180" s="88" t="s">
        <v>125</v>
      </c>
    </row>
    <row r="181" spans="1:10" x14ac:dyDescent="0.35">
      <c r="A181" s="85"/>
      <c r="B181" s="86" t="s">
        <v>146</v>
      </c>
      <c r="C181" s="86" t="s">
        <v>123</v>
      </c>
      <c r="D181" s="86" t="s">
        <v>147</v>
      </c>
      <c r="E181" s="90">
        <v>1189.58</v>
      </c>
      <c r="F181" s="90">
        <v>2150.5300000000002</v>
      </c>
      <c r="G181" s="90">
        <v>3099.48</v>
      </c>
      <c r="H181" s="90">
        <v>1729.02</v>
      </c>
      <c r="I181" s="90">
        <v>2572.02</v>
      </c>
      <c r="J181" s="88" t="s">
        <v>125</v>
      </c>
    </row>
    <row r="182" spans="1:10" x14ac:dyDescent="0.35">
      <c r="A182" s="85"/>
      <c r="B182" s="86" t="s">
        <v>148</v>
      </c>
      <c r="C182" s="86" t="s">
        <v>123</v>
      </c>
      <c r="D182" s="86" t="s">
        <v>149</v>
      </c>
      <c r="E182" s="90">
        <v>17318.11</v>
      </c>
      <c r="F182" s="90">
        <v>31307.74</v>
      </c>
      <c r="G182" s="90">
        <v>45122.720000000001</v>
      </c>
      <c r="H182" s="90">
        <v>25171.31</v>
      </c>
      <c r="I182" s="90">
        <v>37443.86</v>
      </c>
      <c r="J182" s="88" t="s">
        <v>125</v>
      </c>
    </row>
    <row r="183" spans="1:10" x14ac:dyDescent="0.35">
      <c r="A183" s="85"/>
      <c r="B183" s="86" t="s">
        <v>150</v>
      </c>
      <c r="C183" s="86" t="s">
        <v>151</v>
      </c>
      <c r="D183" s="86" t="s">
        <v>152</v>
      </c>
      <c r="E183" s="90">
        <v>17318.11</v>
      </c>
      <c r="F183" s="90">
        <v>31307.74</v>
      </c>
      <c r="G183" s="90">
        <v>45122.720000000001</v>
      </c>
      <c r="H183" s="90">
        <v>25171.31</v>
      </c>
      <c r="I183" s="90">
        <v>37443.86</v>
      </c>
      <c r="J183" s="88" t="s">
        <v>125</v>
      </c>
    </row>
    <row r="184" spans="1:10" x14ac:dyDescent="0.35">
      <c r="A184" s="85"/>
      <c r="B184" s="86" t="s">
        <v>150</v>
      </c>
      <c r="C184" s="86" t="s">
        <v>151</v>
      </c>
      <c r="D184" s="86" t="s">
        <v>153</v>
      </c>
      <c r="E184" s="90">
        <v>3236.78</v>
      </c>
      <c r="F184" s="90">
        <v>3534</v>
      </c>
      <c r="G184" s="90">
        <v>3827.4</v>
      </c>
      <c r="H184" s="90">
        <v>3355.11</v>
      </c>
      <c r="I184" s="90">
        <v>3713.26</v>
      </c>
      <c r="J184" s="88" t="s">
        <v>125</v>
      </c>
    </row>
    <row r="185" spans="1:10" x14ac:dyDescent="0.35">
      <c r="A185" s="85"/>
      <c r="B185" s="86" t="s">
        <v>154</v>
      </c>
      <c r="C185" s="86" t="s">
        <v>151</v>
      </c>
      <c r="D185" s="86" t="s">
        <v>155</v>
      </c>
      <c r="E185" s="90">
        <v>13541.79</v>
      </c>
      <c r="F185" s="90">
        <v>14819.38</v>
      </c>
      <c r="G185" s="90">
        <v>15972.27</v>
      </c>
      <c r="H185" s="90">
        <v>14184.24</v>
      </c>
      <c r="I185" s="90">
        <v>15463.25</v>
      </c>
      <c r="J185" s="88" t="s">
        <v>125</v>
      </c>
    </row>
    <row r="186" spans="1:10" x14ac:dyDescent="0.35">
      <c r="A186" s="85"/>
      <c r="B186" s="86" t="s">
        <v>156</v>
      </c>
      <c r="C186" s="86" t="s">
        <v>151</v>
      </c>
      <c r="D186" s="86" t="s">
        <v>157</v>
      </c>
      <c r="E186" s="90">
        <v>20602.919999999998</v>
      </c>
      <c r="F186" s="90">
        <v>31310.95</v>
      </c>
      <c r="G186" s="90">
        <v>42471.13</v>
      </c>
      <c r="H186" s="90">
        <v>26685.8</v>
      </c>
      <c r="I186" s="90">
        <v>35945.699999999997</v>
      </c>
      <c r="J186" s="88" t="s">
        <v>125</v>
      </c>
    </row>
    <row r="187" spans="1:10" x14ac:dyDescent="0.35">
      <c r="A187" s="85"/>
      <c r="B187" s="86" t="s">
        <v>158</v>
      </c>
      <c r="C187" s="86" t="s">
        <v>151</v>
      </c>
      <c r="D187" s="86" t="s">
        <v>159</v>
      </c>
      <c r="E187" s="90">
        <v>442604.5</v>
      </c>
      <c r="F187" s="90">
        <v>442604.5</v>
      </c>
      <c r="G187" s="90">
        <v>442604.5</v>
      </c>
      <c r="H187" s="90">
        <v>442604.5</v>
      </c>
      <c r="I187" s="90">
        <v>442604.5</v>
      </c>
      <c r="J187" s="88" t="s">
        <v>125</v>
      </c>
    </row>
    <row r="188" spans="1:10" x14ac:dyDescent="0.35">
      <c r="A188" s="85"/>
      <c r="B188" s="86" t="s">
        <v>160</v>
      </c>
      <c r="C188" s="86" t="s">
        <v>151</v>
      </c>
      <c r="D188" s="86" t="s">
        <v>161</v>
      </c>
      <c r="E188" s="90">
        <v>505741.6</v>
      </c>
      <c r="F188" s="90">
        <v>523576.6</v>
      </c>
      <c r="G188" s="90">
        <v>542755.69999999995</v>
      </c>
      <c r="H188" s="90">
        <v>515840.5</v>
      </c>
      <c r="I188" s="90">
        <v>531299.80000000005</v>
      </c>
      <c r="J188" s="88" t="s">
        <v>125</v>
      </c>
    </row>
    <row r="189" spans="1:10" x14ac:dyDescent="0.35">
      <c r="A189" s="85"/>
      <c r="B189" s="86" t="s">
        <v>162</v>
      </c>
      <c r="C189" s="86" t="s">
        <v>151</v>
      </c>
      <c r="D189" s="86" t="s">
        <v>163</v>
      </c>
      <c r="E189" s="90">
        <v>542948.6</v>
      </c>
      <c r="F189" s="90">
        <v>549690.80000000005</v>
      </c>
      <c r="G189" s="90">
        <v>556427.19999999995</v>
      </c>
      <c r="H189" s="90">
        <v>544838.19999999995</v>
      </c>
      <c r="I189" s="90">
        <v>554543.9</v>
      </c>
      <c r="J189" s="88" t="s">
        <v>125</v>
      </c>
    </row>
    <row r="190" spans="1:10" x14ac:dyDescent="0.35">
      <c r="A190" s="85"/>
      <c r="B190" s="86" t="s">
        <v>164</v>
      </c>
      <c r="C190" s="86" t="s">
        <v>151</v>
      </c>
      <c r="D190" s="86" t="s">
        <v>165</v>
      </c>
      <c r="E190" s="90">
        <v>1052522</v>
      </c>
      <c r="F190" s="90">
        <v>1073268</v>
      </c>
      <c r="G190" s="90">
        <v>1091813</v>
      </c>
      <c r="H190" s="90">
        <v>1064090</v>
      </c>
      <c r="I190" s="90">
        <v>1082465</v>
      </c>
      <c r="J190" s="88" t="s">
        <v>125</v>
      </c>
    </row>
    <row r="191" spans="1:10" x14ac:dyDescent="0.35">
      <c r="A191" s="85"/>
      <c r="B191" s="86" t="s">
        <v>150</v>
      </c>
      <c r="C191" s="86" t="s">
        <v>166</v>
      </c>
      <c r="D191" s="86" t="s">
        <v>152</v>
      </c>
      <c r="E191" s="90">
        <v>17318.11</v>
      </c>
      <c r="F191" s="90">
        <v>31307.74</v>
      </c>
      <c r="G191" s="90">
        <v>45122.720000000001</v>
      </c>
      <c r="H191" s="90">
        <v>25171.31</v>
      </c>
      <c r="I191" s="90">
        <v>37443.86</v>
      </c>
      <c r="J191" s="88" t="s">
        <v>125</v>
      </c>
    </row>
    <row r="192" spans="1:10" x14ac:dyDescent="0.35">
      <c r="A192" s="85"/>
      <c r="B192" s="86" t="s">
        <v>150</v>
      </c>
      <c r="C192" s="86" t="s">
        <v>166</v>
      </c>
      <c r="D192" s="86" t="s">
        <v>153</v>
      </c>
      <c r="E192" s="90">
        <v>3210.44</v>
      </c>
      <c r="F192" s="90">
        <v>3534</v>
      </c>
      <c r="G192" s="90">
        <v>3831.29</v>
      </c>
      <c r="H192" s="90">
        <v>3354.65</v>
      </c>
      <c r="I192" s="90">
        <v>3713.33</v>
      </c>
      <c r="J192" s="88" t="s">
        <v>125</v>
      </c>
    </row>
    <row r="193" spans="1:10" x14ac:dyDescent="0.35">
      <c r="A193" s="85"/>
      <c r="B193" s="86" t="s">
        <v>154</v>
      </c>
      <c r="C193" s="86" t="s">
        <v>166</v>
      </c>
      <c r="D193" s="86" t="s">
        <v>155</v>
      </c>
      <c r="E193" s="90">
        <v>13082.75</v>
      </c>
      <c r="F193" s="90">
        <v>14191.69</v>
      </c>
      <c r="G193" s="90">
        <v>15376.51</v>
      </c>
      <c r="H193" s="90">
        <v>13577.14</v>
      </c>
      <c r="I193" s="90">
        <v>14807.9</v>
      </c>
      <c r="J193" s="88" t="s">
        <v>125</v>
      </c>
    </row>
    <row r="194" spans="1:10" x14ac:dyDescent="0.35">
      <c r="A194" s="85"/>
      <c r="B194" s="86" t="s">
        <v>156</v>
      </c>
      <c r="C194" s="86" t="s">
        <v>166</v>
      </c>
      <c r="D194" s="86" t="s">
        <v>157</v>
      </c>
      <c r="E194" s="90">
        <v>20502.32</v>
      </c>
      <c r="F194" s="90">
        <v>31310.95</v>
      </c>
      <c r="G194" s="90">
        <v>42179.11</v>
      </c>
      <c r="H194" s="90">
        <v>26674.06</v>
      </c>
      <c r="I194" s="90">
        <v>35964.35</v>
      </c>
      <c r="J194" s="88" t="s">
        <v>125</v>
      </c>
    </row>
    <row r="195" spans="1:10" x14ac:dyDescent="0.35">
      <c r="A195" s="85"/>
      <c r="B195" s="86" t="s">
        <v>158</v>
      </c>
      <c r="C195" s="86" t="s">
        <v>166</v>
      </c>
      <c r="D195" s="86" t="s">
        <v>159</v>
      </c>
      <c r="E195" s="90">
        <v>207753.2</v>
      </c>
      <c r="F195" s="90">
        <v>207753.2</v>
      </c>
      <c r="G195" s="90">
        <v>207753.2</v>
      </c>
      <c r="H195" s="90">
        <v>207753.2</v>
      </c>
      <c r="I195" s="90">
        <v>207753.2</v>
      </c>
      <c r="J195" s="88" t="s">
        <v>125</v>
      </c>
    </row>
    <row r="196" spans="1:10" x14ac:dyDescent="0.35">
      <c r="A196" s="85"/>
      <c r="B196" s="86" t="s">
        <v>160</v>
      </c>
      <c r="C196" s="86" t="s">
        <v>166</v>
      </c>
      <c r="D196" s="86" t="s">
        <v>161</v>
      </c>
      <c r="E196" s="90">
        <v>270469.5</v>
      </c>
      <c r="F196" s="90">
        <v>288097.5</v>
      </c>
      <c r="G196" s="90">
        <v>307523.7</v>
      </c>
      <c r="H196" s="90">
        <v>280361.3</v>
      </c>
      <c r="I196" s="90">
        <v>295802.3</v>
      </c>
      <c r="J196" s="88" t="s">
        <v>125</v>
      </c>
    </row>
    <row r="197" spans="1:10" x14ac:dyDescent="0.35">
      <c r="A197" s="85"/>
      <c r="B197" s="86" t="s">
        <v>162</v>
      </c>
      <c r="C197" s="86" t="s">
        <v>166</v>
      </c>
      <c r="D197" s="86" t="s">
        <v>163</v>
      </c>
      <c r="E197" s="90">
        <v>285245.09999999998</v>
      </c>
      <c r="F197" s="90">
        <v>291976.3</v>
      </c>
      <c r="G197" s="90">
        <v>298785.40000000002</v>
      </c>
      <c r="H197" s="90">
        <v>287120.40000000002</v>
      </c>
      <c r="I197" s="90">
        <v>296831.3</v>
      </c>
      <c r="J197" s="88" t="s">
        <v>125</v>
      </c>
    </row>
    <row r="198" spans="1:10" x14ac:dyDescent="0.35">
      <c r="A198" s="85"/>
      <c r="B198" s="86" t="s">
        <v>164</v>
      </c>
      <c r="C198" s="86" t="s">
        <v>166</v>
      </c>
      <c r="D198" s="86" t="s">
        <v>165</v>
      </c>
      <c r="E198" s="90">
        <v>558103.6</v>
      </c>
      <c r="F198" s="90">
        <v>580073.80000000005</v>
      </c>
      <c r="G198" s="90">
        <v>599960.9</v>
      </c>
      <c r="H198" s="90">
        <v>570876.6</v>
      </c>
      <c r="I198" s="90">
        <v>589269.19999999995</v>
      </c>
      <c r="J198" s="88" t="s">
        <v>125</v>
      </c>
    </row>
    <row r="199" spans="1:10" x14ac:dyDescent="0.35">
      <c r="A199" s="85"/>
      <c r="B199" s="86" t="s">
        <v>150</v>
      </c>
      <c r="C199" s="86" t="s">
        <v>167</v>
      </c>
      <c r="D199" s="86" t="s">
        <v>152</v>
      </c>
      <c r="E199" s="90">
        <v>17318.11</v>
      </c>
      <c r="F199" s="90">
        <v>31307.74</v>
      </c>
      <c r="G199" s="90">
        <v>45122.720000000001</v>
      </c>
      <c r="H199" s="90">
        <v>25171.31</v>
      </c>
      <c r="I199" s="90">
        <v>37443.86</v>
      </c>
      <c r="J199" s="88" t="s">
        <v>125</v>
      </c>
    </row>
    <row r="200" spans="1:10" x14ac:dyDescent="0.35">
      <c r="A200" s="85"/>
      <c r="B200" s="86" t="s">
        <v>150</v>
      </c>
      <c r="C200" s="86" t="s">
        <v>167</v>
      </c>
      <c r="D200" s="86" t="s">
        <v>153</v>
      </c>
      <c r="E200" s="90">
        <v>3245.29</v>
      </c>
      <c r="F200" s="90">
        <v>3534</v>
      </c>
      <c r="G200" s="90">
        <v>3832.63</v>
      </c>
      <c r="H200" s="90">
        <v>3354.75</v>
      </c>
      <c r="I200" s="90">
        <v>3712.99</v>
      </c>
      <c r="J200" s="88" t="s">
        <v>125</v>
      </c>
    </row>
    <row r="201" spans="1:10" x14ac:dyDescent="0.35">
      <c r="A201" s="85"/>
      <c r="B201" s="86" t="s">
        <v>154</v>
      </c>
      <c r="C201" s="86" t="s">
        <v>167</v>
      </c>
      <c r="D201" s="86" t="s">
        <v>155</v>
      </c>
      <c r="E201" s="90">
        <v>13040.29</v>
      </c>
      <c r="F201" s="90">
        <v>14191.69</v>
      </c>
      <c r="G201" s="90">
        <v>15316.12</v>
      </c>
      <c r="H201" s="90">
        <v>13576.83</v>
      </c>
      <c r="I201" s="90">
        <v>14806.63</v>
      </c>
      <c r="J201" s="88" t="s">
        <v>125</v>
      </c>
    </row>
    <row r="202" spans="1:10" x14ac:dyDescent="0.35">
      <c r="A202" s="85"/>
      <c r="B202" s="86" t="s">
        <v>156</v>
      </c>
      <c r="C202" s="86" t="s">
        <v>167</v>
      </c>
      <c r="D202" s="86" t="s">
        <v>157</v>
      </c>
      <c r="E202" s="90">
        <v>20566.8</v>
      </c>
      <c r="F202" s="90">
        <v>31310.95</v>
      </c>
      <c r="G202" s="90">
        <v>42322.54</v>
      </c>
      <c r="H202" s="90">
        <v>26667.56</v>
      </c>
      <c r="I202" s="90">
        <v>35944.53</v>
      </c>
      <c r="J202" s="88" t="s">
        <v>125</v>
      </c>
    </row>
    <row r="203" spans="1:10" x14ac:dyDescent="0.35">
      <c r="A203" s="85"/>
      <c r="B203" s="86" t="s">
        <v>158</v>
      </c>
      <c r="C203" s="86" t="s">
        <v>167</v>
      </c>
      <c r="D203" s="86" t="s">
        <v>159</v>
      </c>
      <c r="E203" s="90">
        <v>677455.9</v>
      </c>
      <c r="F203" s="90">
        <v>677455.9</v>
      </c>
      <c r="G203" s="90">
        <v>677455.9</v>
      </c>
      <c r="H203" s="90">
        <v>677455.9</v>
      </c>
      <c r="I203" s="90">
        <v>677455.9</v>
      </c>
      <c r="J203" s="88" t="s">
        <v>125</v>
      </c>
    </row>
    <row r="204" spans="1:10" x14ac:dyDescent="0.35">
      <c r="A204" s="85"/>
      <c r="B204" s="86" t="s">
        <v>160</v>
      </c>
      <c r="C204" s="86" t="s">
        <v>167</v>
      </c>
      <c r="D204" s="86" t="s">
        <v>161</v>
      </c>
      <c r="E204" s="90">
        <v>740540.6</v>
      </c>
      <c r="F204" s="90">
        <v>757800.3</v>
      </c>
      <c r="G204" s="90">
        <v>777135.4</v>
      </c>
      <c r="H204" s="90">
        <v>750059.8</v>
      </c>
      <c r="I204" s="90">
        <v>765504.4</v>
      </c>
      <c r="J204" s="88" t="s">
        <v>125</v>
      </c>
    </row>
    <row r="205" spans="1:10" x14ac:dyDescent="0.35">
      <c r="A205" s="85"/>
      <c r="B205" s="86" t="s">
        <v>162</v>
      </c>
      <c r="C205" s="86" t="s">
        <v>167</v>
      </c>
      <c r="D205" s="86" t="s">
        <v>163</v>
      </c>
      <c r="E205" s="90">
        <v>795675.4</v>
      </c>
      <c r="F205" s="90">
        <v>802449.4</v>
      </c>
      <c r="G205" s="90">
        <v>809233.3</v>
      </c>
      <c r="H205" s="90">
        <v>797594.2</v>
      </c>
      <c r="I205" s="90">
        <v>807305</v>
      </c>
      <c r="J205" s="88" t="s">
        <v>125</v>
      </c>
    </row>
    <row r="206" spans="1:10" x14ac:dyDescent="0.35">
      <c r="A206" s="85"/>
      <c r="B206" s="86" t="s">
        <v>164</v>
      </c>
      <c r="C206" s="86" t="s">
        <v>167</v>
      </c>
      <c r="D206" s="86" t="s">
        <v>165</v>
      </c>
      <c r="E206" s="90">
        <v>1539257</v>
      </c>
      <c r="F206" s="90">
        <v>1560250</v>
      </c>
      <c r="G206" s="90">
        <v>1579934</v>
      </c>
      <c r="H206" s="90">
        <v>1551064</v>
      </c>
      <c r="I206" s="90">
        <v>1569427</v>
      </c>
      <c r="J206" s="88" t="s">
        <v>125</v>
      </c>
    </row>
    <row r="207" spans="1:10" x14ac:dyDescent="0.35">
      <c r="A207" s="85"/>
      <c r="B207" s="86" t="s">
        <v>56</v>
      </c>
      <c r="C207" s="86" t="s">
        <v>169</v>
      </c>
      <c r="D207" s="86" t="s">
        <v>173</v>
      </c>
      <c r="E207" s="86">
        <v>1</v>
      </c>
      <c r="F207" s="86">
        <v>1</v>
      </c>
      <c r="G207" s="86">
        <v>1</v>
      </c>
      <c r="H207" s="86">
        <v>1</v>
      </c>
      <c r="I207" s="86">
        <v>1</v>
      </c>
      <c r="J207" s="88" t="s">
        <v>125</v>
      </c>
    </row>
    <row r="208" spans="1:10" x14ac:dyDescent="0.35">
      <c r="A208" s="85"/>
      <c r="B208" s="86" t="s">
        <v>174</v>
      </c>
      <c r="C208" s="86" t="s">
        <v>169</v>
      </c>
      <c r="D208" s="86" t="s">
        <v>175</v>
      </c>
      <c r="E208" s="86">
        <v>0.1299081</v>
      </c>
      <c r="F208" s="86">
        <v>0.193</v>
      </c>
      <c r="G208" s="86">
        <v>0.25285340000000001</v>
      </c>
      <c r="H208" s="86">
        <v>0.16599810000000001</v>
      </c>
      <c r="I208" s="86">
        <v>0.21999779999999999</v>
      </c>
      <c r="J208" s="88" t="s">
        <v>125</v>
      </c>
    </row>
    <row r="209" spans="1:10" x14ac:dyDescent="0.35">
      <c r="A209" s="85"/>
      <c r="B209" s="86" t="s">
        <v>176</v>
      </c>
      <c r="C209" s="86" t="s">
        <v>169</v>
      </c>
      <c r="D209" s="86" t="s">
        <v>177</v>
      </c>
      <c r="E209" s="86">
        <v>119871.9</v>
      </c>
      <c r="F209" s="86">
        <v>163062.39999999999</v>
      </c>
      <c r="G209" s="86">
        <v>207325.9</v>
      </c>
      <c r="H209" s="86">
        <v>143512.70000000001</v>
      </c>
      <c r="I209" s="86">
        <v>182609.7</v>
      </c>
      <c r="J209" s="88" t="s">
        <v>125</v>
      </c>
    </row>
    <row r="210" spans="1:10" x14ac:dyDescent="0.35">
      <c r="A210" s="85"/>
      <c r="B210" s="86" t="s">
        <v>178</v>
      </c>
      <c r="C210" s="86" t="s">
        <v>169</v>
      </c>
      <c r="D210" s="86" t="s">
        <v>179</v>
      </c>
      <c r="E210" s="86">
        <v>943525.8</v>
      </c>
      <c r="F210" s="86">
        <v>1283483</v>
      </c>
      <c r="G210" s="86">
        <v>1631886</v>
      </c>
      <c r="H210" s="86">
        <v>1129605</v>
      </c>
      <c r="I210" s="86">
        <v>1437342</v>
      </c>
      <c r="J210" s="88" t="s">
        <v>125</v>
      </c>
    </row>
    <row r="211" spans="1:10" x14ac:dyDescent="0.35">
      <c r="A211" s="85"/>
      <c r="B211" s="86" t="s">
        <v>180</v>
      </c>
      <c r="C211" s="86" t="s">
        <v>169</v>
      </c>
      <c r="D211" s="86" t="s">
        <v>181</v>
      </c>
      <c r="E211" s="86">
        <v>498077.7</v>
      </c>
      <c r="F211" s="86">
        <v>677537.7</v>
      </c>
      <c r="G211" s="86">
        <v>861456.2</v>
      </c>
      <c r="H211" s="86">
        <v>596307.1</v>
      </c>
      <c r="I211" s="86">
        <v>758758.3</v>
      </c>
      <c r="J211" s="88" t="s">
        <v>125</v>
      </c>
    </row>
    <row r="212" spans="1:10" x14ac:dyDescent="0.35">
      <c r="A212" s="85"/>
      <c r="B212" s="86" t="s">
        <v>182</v>
      </c>
      <c r="C212" s="86" t="s">
        <v>169</v>
      </c>
      <c r="D212" s="86" t="s">
        <v>183</v>
      </c>
      <c r="E212" s="86">
        <v>3884.3119999999999</v>
      </c>
      <c r="F212" s="86">
        <v>5283.85</v>
      </c>
      <c r="G212" s="86">
        <v>6718.1580000000004</v>
      </c>
      <c r="H212" s="86">
        <v>4650.3649999999998</v>
      </c>
      <c r="I212" s="86">
        <v>5917.2569999999996</v>
      </c>
      <c r="J212" s="88" t="s">
        <v>125</v>
      </c>
    </row>
    <row r="213" spans="1:10" x14ac:dyDescent="0.35">
      <c r="A213" s="85"/>
      <c r="B213" s="86" t="s">
        <v>259</v>
      </c>
      <c r="C213" s="86" t="s">
        <v>169</v>
      </c>
      <c r="D213" s="86" t="s">
        <v>185</v>
      </c>
      <c r="E213" s="89">
        <v>209516.3</v>
      </c>
      <c r="F213" s="89">
        <v>209516.3</v>
      </c>
      <c r="G213" s="89">
        <v>209516.3</v>
      </c>
      <c r="H213" s="89">
        <v>209516.3</v>
      </c>
      <c r="I213" s="89">
        <v>209516.3</v>
      </c>
      <c r="J213" s="88" t="s">
        <v>125</v>
      </c>
    </row>
    <row r="214" spans="1:10" x14ac:dyDescent="0.35">
      <c r="A214" s="85"/>
      <c r="B214" s="86" t="s">
        <v>260</v>
      </c>
      <c r="C214" s="86" t="s">
        <v>169</v>
      </c>
      <c r="D214" s="86" t="s">
        <v>187</v>
      </c>
      <c r="E214" s="90">
        <v>204343</v>
      </c>
      <c r="F214" s="90">
        <v>204343</v>
      </c>
      <c r="G214" s="90">
        <v>204343</v>
      </c>
      <c r="H214" s="90">
        <v>204343</v>
      </c>
      <c r="I214" s="90">
        <v>204343</v>
      </c>
      <c r="J214" s="88" t="s">
        <v>125</v>
      </c>
    </row>
    <row r="215" spans="1:10" x14ac:dyDescent="0.35">
      <c r="A215" s="85"/>
      <c r="B215" s="86"/>
      <c r="C215" s="86" t="s">
        <v>169</v>
      </c>
      <c r="D215" s="86" t="s">
        <v>188</v>
      </c>
      <c r="E215" s="89">
        <v>517324.1</v>
      </c>
      <c r="F215" s="89">
        <v>517324.1</v>
      </c>
      <c r="G215" s="89">
        <v>517324.1</v>
      </c>
      <c r="H215" s="89">
        <v>517324.1</v>
      </c>
      <c r="I215" s="89">
        <v>517324.1</v>
      </c>
      <c r="J215" s="88" t="s">
        <v>125</v>
      </c>
    </row>
    <row r="216" spans="1:10" x14ac:dyDescent="0.35">
      <c r="A216" s="85"/>
      <c r="B216" s="86" t="s">
        <v>189</v>
      </c>
      <c r="C216" s="86" t="s">
        <v>169</v>
      </c>
      <c r="D216" s="86" t="s">
        <v>190</v>
      </c>
      <c r="E216" s="90">
        <v>67204.600000000006</v>
      </c>
      <c r="F216" s="90">
        <v>99843.54</v>
      </c>
      <c r="G216" s="90">
        <v>130807.1</v>
      </c>
      <c r="H216" s="90">
        <v>85874.8</v>
      </c>
      <c r="I216" s="90">
        <v>113810.2</v>
      </c>
      <c r="J216" s="88" t="s">
        <v>125</v>
      </c>
    </row>
    <row r="217" spans="1:10" x14ac:dyDescent="0.35">
      <c r="A217" s="85"/>
      <c r="B217" s="86" t="s">
        <v>259</v>
      </c>
      <c r="C217" s="86" t="s">
        <v>169</v>
      </c>
      <c r="D217" s="86" t="s">
        <v>191</v>
      </c>
      <c r="E217" s="89">
        <v>303074.8</v>
      </c>
      <c r="F217" s="89">
        <v>303074.8</v>
      </c>
      <c r="G217" s="89">
        <v>303074.8</v>
      </c>
      <c r="H217" s="89">
        <v>303074.8</v>
      </c>
      <c r="I217" s="89">
        <v>303074.8</v>
      </c>
      <c r="J217" s="88" t="s">
        <v>125</v>
      </c>
    </row>
    <row r="218" spans="1:10" x14ac:dyDescent="0.35">
      <c r="A218" s="85"/>
      <c r="B218" s="86" t="s">
        <v>260</v>
      </c>
      <c r="C218" s="86" t="s">
        <v>169</v>
      </c>
      <c r="D218" s="86" t="s">
        <v>192</v>
      </c>
      <c r="E218" s="89">
        <v>139529.79999999999</v>
      </c>
      <c r="F218" s="89">
        <v>139529.79999999999</v>
      </c>
      <c r="G218" s="89">
        <v>139529.79999999999</v>
      </c>
      <c r="H218" s="89">
        <v>139529.79999999999</v>
      </c>
      <c r="I218" s="89">
        <v>139529.79999999999</v>
      </c>
      <c r="J218" s="88" t="s">
        <v>125</v>
      </c>
    </row>
    <row r="219" spans="1:10" x14ac:dyDescent="0.35">
      <c r="A219" s="85"/>
      <c r="B219" s="86"/>
      <c r="C219" s="86" t="s">
        <v>169</v>
      </c>
      <c r="D219" s="86" t="s">
        <v>193</v>
      </c>
      <c r="E219" s="89">
        <v>0</v>
      </c>
      <c r="F219" s="89">
        <v>0</v>
      </c>
      <c r="G219" s="89">
        <v>0</v>
      </c>
      <c r="H219" s="89">
        <v>0</v>
      </c>
      <c r="I219" s="89">
        <v>0</v>
      </c>
      <c r="J219" s="88" t="s">
        <v>125</v>
      </c>
    </row>
    <row r="220" spans="1:10" x14ac:dyDescent="0.35">
      <c r="A220" s="85"/>
      <c r="B220" s="86" t="s">
        <v>189</v>
      </c>
      <c r="C220" s="86" t="s">
        <v>169</v>
      </c>
      <c r="D220" s="86" t="s">
        <v>194</v>
      </c>
      <c r="E220" s="89">
        <v>0</v>
      </c>
      <c r="F220" s="89">
        <v>0</v>
      </c>
      <c r="G220" s="89">
        <v>0</v>
      </c>
      <c r="H220" s="89">
        <v>0</v>
      </c>
      <c r="I220" s="89">
        <v>0</v>
      </c>
      <c r="J220" s="88" t="s">
        <v>125</v>
      </c>
    </row>
    <row r="221" spans="1:10" x14ac:dyDescent="0.35">
      <c r="A221" s="85"/>
      <c r="B221" s="86"/>
      <c r="C221" s="86" t="s">
        <v>169</v>
      </c>
      <c r="D221" s="86" t="s">
        <v>195</v>
      </c>
      <c r="E221" s="89">
        <v>442604.5</v>
      </c>
      <c r="F221" s="89">
        <v>442604.5</v>
      </c>
      <c r="G221" s="89">
        <v>442604.5</v>
      </c>
      <c r="H221" s="89">
        <v>442604.5</v>
      </c>
      <c r="I221" s="89">
        <v>442604.5</v>
      </c>
      <c r="J221" s="88" t="s">
        <v>125</v>
      </c>
    </row>
    <row r="222" spans="1:10" x14ac:dyDescent="0.35">
      <c r="A222" s="85"/>
      <c r="B222" s="86" t="s">
        <v>259</v>
      </c>
      <c r="C222" s="86" t="s">
        <v>169</v>
      </c>
      <c r="D222" s="86" t="s">
        <v>196</v>
      </c>
      <c r="E222" s="89">
        <v>98344.36</v>
      </c>
      <c r="F222" s="89">
        <v>98344.36</v>
      </c>
      <c r="G222" s="89">
        <v>98344.36</v>
      </c>
      <c r="H222" s="89">
        <v>98344.36</v>
      </c>
      <c r="I222" s="89">
        <v>98344.36</v>
      </c>
      <c r="J222" s="88" t="s">
        <v>125</v>
      </c>
    </row>
    <row r="223" spans="1:10" x14ac:dyDescent="0.35">
      <c r="A223" s="85"/>
      <c r="B223" s="86" t="s">
        <v>260</v>
      </c>
      <c r="C223" s="86" t="s">
        <v>169</v>
      </c>
      <c r="D223" s="86" t="s">
        <v>197</v>
      </c>
      <c r="E223" s="89">
        <v>95916.11</v>
      </c>
      <c r="F223" s="89">
        <v>95916.11</v>
      </c>
      <c r="G223" s="89">
        <v>95916.11</v>
      </c>
      <c r="H223" s="89">
        <v>95916.11</v>
      </c>
      <c r="I223" s="89">
        <v>95916.11</v>
      </c>
      <c r="J223" s="88" t="s">
        <v>125</v>
      </c>
    </row>
    <row r="224" spans="1:10" x14ac:dyDescent="0.35">
      <c r="A224" s="85"/>
      <c r="B224" s="86"/>
      <c r="C224" s="86" t="s">
        <v>169</v>
      </c>
      <c r="D224" s="86" t="s">
        <v>198</v>
      </c>
      <c r="E224" s="89">
        <v>242825.60000000001</v>
      </c>
      <c r="F224" s="89">
        <v>242825.60000000001</v>
      </c>
      <c r="G224" s="89">
        <v>242825.60000000001</v>
      </c>
      <c r="H224" s="89">
        <v>242825.60000000001</v>
      </c>
      <c r="I224" s="89">
        <v>242825.60000000001</v>
      </c>
      <c r="J224" s="88" t="s">
        <v>125</v>
      </c>
    </row>
    <row r="225" spans="1:10" x14ac:dyDescent="0.35">
      <c r="A225" s="85"/>
      <c r="B225" s="86" t="s">
        <v>189</v>
      </c>
      <c r="C225" s="86" t="s">
        <v>169</v>
      </c>
      <c r="D225" s="86" t="s">
        <v>199</v>
      </c>
      <c r="E225" s="89">
        <v>31545.02</v>
      </c>
      <c r="F225" s="89">
        <v>46865.34</v>
      </c>
      <c r="G225" s="89">
        <v>61399.27</v>
      </c>
      <c r="H225" s="89">
        <v>40308.58</v>
      </c>
      <c r="I225" s="89">
        <v>53421.1</v>
      </c>
      <c r="J225" s="88" t="s">
        <v>125</v>
      </c>
    </row>
    <row r="226" spans="1:10" x14ac:dyDescent="0.35">
      <c r="A226" s="85"/>
      <c r="B226" s="86" t="s">
        <v>259</v>
      </c>
      <c r="C226" s="86" t="s">
        <v>169</v>
      </c>
      <c r="D226" s="86" t="s">
        <v>200</v>
      </c>
      <c r="E226" s="90">
        <v>142259.6</v>
      </c>
      <c r="F226" s="90">
        <v>142259.6</v>
      </c>
      <c r="G226" s="90">
        <v>142259.6</v>
      </c>
      <c r="H226" s="90">
        <v>142259.6</v>
      </c>
      <c r="I226" s="90">
        <v>142259.6</v>
      </c>
      <c r="J226" s="88" t="s">
        <v>125</v>
      </c>
    </row>
    <row r="227" spans="1:10" x14ac:dyDescent="0.35">
      <c r="A227" s="85"/>
      <c r="B227" s="86" t="s">
        <v>260</v>
      </c>
      <c r="C227" s="86" t="s">
        <v>169</v>
      </c>
      <c r="D227" s="86" t="s">
        <v>201</v>
      </c>
      <c r="E227" s="90">
        <v>65493.57</v>
      </c>
      <c r="F227" s="90">
        <v>65493.57</v>
      </c>
      <c r="G227" s="90">
        <v>65493.57</v>
      </c>
      <c r="H227" s="90">
        <v>65493.57</v>
      </c>
      <c r="I227" s="90">
        <v>65493.57</v>
      </c>
      <c r="J227" s="88" t="s">
        <v>125</v>
      </c>
    </row>
    <row r="228" spans="1:10" x14ac:dyDescent="0.35">
      <c r="A228" s="85"/>
      <c r="B228" s="86"/>
      <c r="C228" s="86" t="s">
        <v>169</v>
      </c>
      <c r="D228" s="86" t="s">
        <v>202</v>
      </c>
      <c r="E228" s="90">
        <v>0</v>
      </c>
      <c r="F228" s="90">
        <v>0</v>
      </c>
      <c r="G228" s="90">
        <v>0</v>
      </c>
      <c r="H228" s="90">
        <v>0</v>
      </c>
      <c r="I228" s="90">
        <v>0</v>
      </c>
      <c r="J228" s="88" t="s">
        <v>125</v>
      </c>
    </row>
    <row r="229" spans="1:10" x14ac:dyDescent="0.35">
      <c r="A229" s="85"/>
      <c r="B229" s="86" t="s">
        <v>189</v>
      </c>
      <c r="C229" s="86" t="s">
        <v>169</v>
      </c>
      <c r="D229" s="86" t="s">
        <v>203</v>
      </c>
      <c r="E229" s="90">
        <v>0</v>
      </c>
      <c r="F229" s="90">
        <v>0</v>
      </c>
      <c r="G229" s="90">
        <v>0</v>
      </c>
      <c r="H229" s="90">
        <v>0</v>
      </c>
      <c r="I229" s="90">
        <v>0</v>
      </c>
      <c r="J229" s="88" t="s">
        <v>125</v>
      </c>
    </row>
    <row r="230" spans="1:10" x14ac:dyDescent="0.35">
      <c r="A230" s="85"/>
      <c r="B230" s="86"/>
      <c r="C230" s="86" t="s">
        <v>169</v>
      </c>
      <c r="D230" s="86" t="s">
        <v>204</v>
      </c>
      <c r="E230" s="90">
        <v>207753.2</v>
      </c>
      <c r="F230" s="90">
        <v>207753.2</v>
      </c>
      <c r="G230" s="90">
        <v>207753.2</v>
      </c>
      <c r="H230" s="90">
        <v>207753.2</v>
      </c>
      <c r="I230" s="90">
        <v>207753.2</v>
      </c>
      <c r="J230" s="88" t="s">
        <v>125</v>
      </c>
    </row>
    <row r="231" spans="1:10" x14ac:dyDescent="0.35">
      <c r="A231" s="85"/>
      <c r="B231" s="86" t="s">
        <v>259</v>
      </c>
      <c r="C231" s="86" t="s">
        <v>169</v>
      </c>
      <c r="D231" s="86" t="s">
        <v>205</v>
      </c>
      <c r="E231" s="89">
        <v>320688.09999999998</v>
      </c>
      <c r="F231" s="89">
        <v>320688.09999999998</v>
      </c>
      <c r="G231" s="89">
        <v>320688.09999999998</v>
      </c>
      <c r="H231" s="89">
        <v>320688.09999999998</v>
      </c>
      <c r="I231" s="89">
        <v>320688.09999999998</v>
      </c>
      <c r="J231" s="88" t="s">
        <v>125</v>
      </c>
    </row>
    <row r="232" spans="1:10" x14ac:dyDescent="0.35">
      <c r="A232" s="85"/>
      <c r="B232" s="86" t="s">
        <v>260</v>
      </c>
      <c r="C232" s="86" t="s">
        <v>169</v>
      </c>
      <c r="D232" s="86" t="s">
        <v>206</v>
      </c>
      <c r="E232" s="89">
        <v>312769.90000000002</v>
      </c>
      <c r="F232" s="89">
        <v>312769.90000000002</v>
      </c>
      <c r="G232" s="89">
        <v>312769.90000000002</v>
      </c>
      <c r="H232" s="89">
        <v>312769.90000000002</v>
      </c>
      <c r="I232" s="89">
        <v>312769.90000000002</v>
      </c>
      <c r="J232" s="88" t="s">
        <v>125</v>
      </c>
    </row>
    <row r="233" spans="1:10" x14ac:dyDescent="0.35">
      <c r="A233" s="85"/>
      <c r="B233" s="86"/>
      <c r="C233" s="86" t="s">
        <v>169</v>
      </c>
      <c r="D233" s="86" t="s">
        <v>207</v>
      </c>
      <c r="E233" s="89">
        <v>791822.6</v>
      </c>
      <c r="F233" s="89">
        <v>791822.6</v>
      </c>
      <c r="G233" s="89">
        <v>791822.6</v>
      </c>
      <c r="H233" s="89">
        <v>791822.6</v>
      </c>
      <c r="I233" s="89">
        <v>791822.6</v>
      </c>
      <c r="J233" s="88" t="s">
        <v>125</v>
      </c>
    </row>
    <row r="234" spans="1:10" x14ac:dyDescent="0.35">
      <c r="A234" s="85"/>
      <c r="B234" s="86" t="s">
        <v>189</v>
      </c>
      <c r="C234" s="86" t="s">
        <v>169</v>
      </c>
      <c r="D234" s="86" t="s">
        <v>208</v>
      </c>
      <c r="E234" s="89">
        <v>102864.2</v>
      </c>
      <c r="F234" s="89">
        <v>152821.79999999999</v>
      </c>
      <c r="G234" s="89">
        <v>200215</v>
      </c>
      <c r="H234" s="89">
        <v>131441</v>
      </c>
      <c r="I234" s="89">
        <v>174199.2</v>
      </c>
      <c r="J234" s="88" t="s">
        <v>125</v>
      </c>
    </row>
    <row r="235" spans="1:10" x14ac:dyDescent="0.35">
      <c r="A235" s="85"/>
      <c r="B235" s="86" t="s">
        <v>259</v>
      </c>
      <c r="C235" s="86" t="s">
        <v>169</v>
      </c>
      <c r="D235" s="86" t="s">
        <v>209</v>
      </c>
      <c r="E235" s="90">
        <v>463889.9</v>
      </c>
      <c r="F235" s="90">
        <v>463889.9</v>
      </c>
      <c r="G235" s="90">
        <v>463889.9</v>
      </c>
      <c r="H235" s="90">
        <v>463889.9</v>
      </c>
      <c r="I235" s="90">
        <v>463889.9</v>
      </c>
      <c r="J235" s="88" t="s">
        <v>125</v>
      </c>
    </row>
    <row r="236" spans="1:10" x14ac:dyDescent="0.35">
      <c r="A236" s="85"/>
      <c r="B236" s="86" t="s">
        <v>260</v>
      </c>
      <c r="C236" s="86" t="s">
        <v>169</v>
      </c>
      <c r="D236" s="86" t="s">
        <v>210</v>
      </c>
      <c r="E236" s="90">
        <v>213566</v>
      </c>
      <c r="F236" s="90">
        <v>213566</v>
      </c>
      <c r="G236" s="90">
        <v>213566</v>
      </c>
      <c r="H236" s="90">
        <v>213566</v>
      </c>
      <c r="I236" s="90">
        <v>213566</v>
      </c>
      <c r="J236" s="88" t="s">
        <v>125</v>
      </c>
    </row>
    <row r="237" spans="1:10" x14ac:dyDescent="0.35">
      <c r="A237" s="85"/>
      <c r="B237" s="86"/>
      <c r="C237" s="86" t="s">
        <v>169</v>
      </c>
      <c r="D237" s="86" t="s">
        <v>211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88" t="s">
        <v>125</v>
      </c>
    </row>
    <row r="238" spans="1:10" x14ac:dyDescent="0.35">
      <c r="A238" s="85"/>
      <c r="B238" s="86" t="s">
        <v>189</v>
      </c>
      <c r="C238" s="86" t="s">
        <v>169</v>
      </c>
      <c r="D238" s="86" t="s">
        <v>212</v>
      </c>
      <c r="E238" s="90">
        <v>0</v>
      </c>
      <c r="F238" s="90">
        <v>0</v>
      </c>
      <c r="G238" s="90">
        <v>0</v>
      </c>
      <c r="H238" s="90">
        <v>0</v>
      </c>
      <c r="I238" s="90">
        <v>0</v>
      </c>
      <c r="J238" s="88" t="s">
        <v>125</v>
      </c>
    </row>
    <row r="239" spans="1:10" x14ac:dyDescent="0.35">
      <c r="A239" s="85"/>
      <c r="B239" s="86"/>
      <c r="C239" s="86" t="s">
        <v>169</v>
      </c>
      <c r="D239" s="86" t="s">
        <v>213</v>
      </c>
      <c r="E239" s="90">
        <v>677455.9</v>
      </c>
      <c r="F239" s="90">
        <v>677455.9</v>
      </c>
      <c r="G239" s="90">
        <v>677455.9</v>
      </c>
      <c r="H239" s="90">
        <v>677455.9</v>
      </c>
      <c r="I239" s="90">
        <v>677455.9</v>
      </c>
      <c r="J239" s="88" t="s">
        <v>125</v>
      </c>
    </row>
    <row r="240" spans="1:10" x14ac:dyDescent="0.35">
      <c r="A240" s="85"/>
      <c r="B240" s="86" t="s">
        <v>70</v>
      </c>
      <c r="C240" s="86" t="s">
        <v>214</v>
      </c>
      <c r="D240" s="86" t="s">
        <v>215</v>
      </c>
      <c r="E240" s="87">
        <v>70584240</v>
      </c>
      <c r="F240" s="87">
        <v>129437000</v>
      </c>
      <c r="G240" s="87">
        <v>190911500</v>
      </c>
      <c r="H240" s="87">
        <v>104066500</v>
      </c>
      <c r="I240" s="87">
        <v>154804300</v>
      </c>
      <c r="J240" s="88" t="s">
        <v>125</v>
      </c>
    </row>
    <row r="241" spans="1:10" x14ac:dyDescent="0.35">
      <c r="A241" s="85"/>
      <c r="B241" s="86" t="s">
        <v>72</v>
      </c>
      <c r="C241" s="86" t="s">
        <v>214</v>
      </c>
      <c r="D241" s="86" t="s">
        <v>216</v>
      </c>
      <c r="E241" s="87">
        <v>556019500</v>
      </c>
      <c r="F241" s="87">
        <v>1019626000</v>
      </c>
      <c r="G241" s="87">
        <v>1503884000</v>
      </c>
      <c r="H241" s="87">
        <v>819771900</v>
      </c>
      <c r="I241" s="87">
        <v>1219453000</v>
      </c>
      <c r="J241" s="88" t="s">
        <v>125</v>
      </c>
    </row>
    <row r="242" spans="1:10" x14ac:dyDescent="0.35">
      <c r="A242" s="85"/>
      <c r="B242" s="86" t="s">
        <v>73</v>
      </c>
      <c r="C242" s="86" t="s">
        <v>214</v>
      </c>
      <c r="D242" s="86" t="s">
        <v>217</v>
      </c>
      <c r="E242" s="87">
        <v>792431900</v>
      </c>
      <c r="F242" s="87">
        <v>1453158000</v>
      </c>
      <c r="G242" s="87">
        <v>2143317000</v>
      </c>
      <c r="H242" s="87">
        <v>1168329000</v>
      </c>
      <c r="I242" s="87">
        <v>1737949000</v>
      </c>
      <c r="J242" s="88" t="s">
        <v>125</v>
      </c>
    </row>
    <row r="243" spans="1:10" x14ac:dyDescent="0.35">
      <c r="A243" s="85"/>
      <c r="B243" s="86" t="s">
        <v>75</v>
      </c>
      <c r="C243" s="86" t="s">
        <v>214</v>
      </c>
      <c r="D243" s="86" t="s">
        <v>218</v>
      </c>
      <c r="E243" s="87">
        <v>1411154000</v>
      </c>
      <c r="F243" s="87">
        <v>2587766000</v>
      </c>
      <c r="G243" s="87">
        <v>3816794000</v>
      </c>
      <c r="H243" s="87">
        <v>2080546000</v>
      </c>
      <c r="I243" s="87">
        <v>3094920000</v>
      </c>
      <c r="J243" s="88" t="s">
        <v>125</v>
      </c>
    </row>
    <row r="244" spans="1:10" x14ac:dyDescent="0.35">
      <c r="A244" s="85"/>
      <c r="B244" s="86" t="s">
        <v>76</v>
      </c>
      <c r="C244" s="86" t="s">
        <v>214</v>
      </c>
      <c r="D244" s="86" t="s">
        <v>219</v>
      </c>
      <c r="E244" s="87">
        <v>2617123000</v>
      </c>
      <c r="F244" s="87">
        <v>4799265000</v>
      </c>
      <c r="G244" s="87">
        <v>7078619000</v>
      </c>
      <c r="H244" s="87">
        <v>3858576000</v>
      </c>
      <c r="I244" s="87">
        <v>5739833000</v>
      </c>
      <c r="J244" s="88" t="s">
        <v>125</v>
      </c>
    </row>
    <row r="245" spans="1:10" x14ac:dyDescent="0.35">
      <c r="A245" s="85"/>
      <c r="B245" s="86" t="s">
        <v>77</v>
      </c>
      <c r="C245" s="86" t="s">
        <v>214</v>
      </c>
      <c r="D245" s="86" t="s">
        <v>220</v>
      </c>
      <c r="E245" s="87">
        <v>2615712000</v>
      </c>
      <c r="F245" s="87">
        <v>4796679000</v>
      </c>
      <c r="G245" s="87">
        <v>7074804000</v>
      </c>
      <c r="H245" s="87">
        <v>3856497000</v>
      </c>
      <c r="I245" s="87">
        <v>5736740000</v>
      </c>
      <c r="J245" s="88" t="s">
        <v>125</v>
      </c>
    </row>
    <row r="246" spans="1:10" x14ac:dyDescent="0.35">
      <c r="A246" s="85"/>
      <c r="B246" s="86" t="s">
        <v>78</v>
      </c>
      <c r="C246" s="86" t="s">
        <v>214</v>
      </c>
      <c r="D246" s="86" t="s">
        <v>221</v>
      </c>
      <c r="E246" s="87">
        <v>85084950</v>
      </c>
      <c r="F246" s="87">
        <v>156028300</v>
      </c>
      <c r="G246" s="87">
        <v>230132100</v>
      </c>
      <c r="H246" s="87">
        <v>125445700</v>
      </c>
      <c r="I246" s="87">
        <v>186607000</v>
      </c>
      <c r="J246" s="88" t="s">
        <v>125</v>
      </c>
    </row>
    <row r="247" spans="1:10" x14ac:dyDescent="0.35">
      <c r="A247" s="85"/>
      <c r="B247" s="86" t="s">
        <v>80</v>
      </c>
      <c r="C247" s="86" t="s">
        <v>214</v>
      </c>
      <c r="D247" s="86" t="s">
        <v>222</v>
      </c>
      <c r="E247" s="87">
        <v>8148109000</v>
      </c>
      <c r="F247" s="87">
        <v>14941960000</v>
      </c>
      <c r="G247" s="87">
        <v>22038460000</v>
      </c>
      <c r="H247" s="87">
        <v>12013230000</v>
      </c>
      <c r="I247" s="87">
        <v>17870310000</v>
      </c>
      <c r="J247" s="88" t="s">
        <v>125</v>
      </c>
    </row>
    <row r="248" spans="1:10" x14ac:dyDescent="0.35">
      <c r="A248" s="85"/>
      <c r="B248" s="86" t="s">
        <v>70</v>
      </c>
      <c r="C248" s="86" t="s">
        <v>214</v>
      </c>
      <c r="D248" s="86" t="s">
        <v>223</v>
      </c>
      <c r="E248" s="87">
        <v>98633660</v>
      </c>
      <c r="F248" s="87">
        <v>180873900</v>
      </c>
      <c r="G248" s="87">
        <v>266777700</v>
      </c>
      <c r="H248" s="87">
        <v>145421400</v>
      </c>
      <c r="I248" s="87">
        <v>216321800</v>
      </c>
      <c r="J248" s="88" t="s">
        <v>125</v>
      </c>
    </row>
    <row r="249" spans="1:10" x14ac:dyDescent="0.35">
      <c r="A249" s="85"/>
      <c r="B249" s="86" t="s">
        <v>72</v>
      </c>
      <c r="C249" s="86" t="s">
        <v>214</v>
      </c>
      <c r="D249" s="86" t="s">
        <v>224</v>
      </c>
      <c r="E249" s="87">
        <v>558699100</v>
      </c>
      <c r="F249" s="87">
        <v>1024539000</v>
      </c>
      <c r="G249" s="87">
        <v>1511132000</v>
      </c>
      <c r="H249" s="87">
        <v>823722600</v>
      </c>
      <c r="I249" s="87">
        <v>1225330000</v>
      </c>
      <c r="J249" s="88" t="s">
        <v>125</v>
      </c>
    </row>
    <row r="250" spans="1:10" x14ac:dyDescent="0.35">
      <c r="A250" s="85"/>
      <c r="B250" s="86" t="s">
        <v>73</v>
      </c>
      <c r="C250" s="86" t="s">
        <v>214</v>
      </c>
      <c r="D250" s="86" t="s">
        <v>225</v>
      </c>
      <c r="E250" s="87">
        <v>678624500</v>
      </c>
      <c r="F250" s="87">
        <v>1244458000</v>
      </c>
      <c r="G250" s="87">
        <v>1835498000</v>
      </c>
      <c r="H250" s="87">
        <v>1000536000</v>
      </c>
      <c r="I250" s="87">
        <v>1488349000</v>
      </c>
      <c r="J250" s="88" t="s">
        <v>125</v>
      </c>
    </row>
    <row r="251" spans="1:10" x14ac:dyDescent="0.35">
      <c r="A251" s="85"/>
      <c r="B251" s="86" t="s">
        <v>75</v>
      </c>
      <c r="C251" s="86" t="s">
        <v>214</v>
      </c>
      <c r="D251" s="86" t="s">
        <v>226</v>
      </c>
      <c r="E251" s="87">
        <v>745423200</v>
      </c>
      <c r="F251" s="87">
        <v>1366953000</v>
      </c>
      <c r="G251" s="87">
        <v>2016171000</v>
      </c>
      <c r="H251" s="87">
        <v>1099021000</v>
      </c>
      <c r="I251" s="87">
        <v>1634851000</v>
      </c>
      <c r="J251" s="88" t="s">
        <v>125</v>
      </c>
    </row>
    <row r="252" spans="1:10" x14ac:dyDescent="0.35">
      <c r="A252" s="85"/>
      <c r="B252" s="86" t="s">
        <v>76</v>
      </c>
      <c r="C252" s="86" t="s">
        <v>214</v>
      </c>
      <c r="D252" s="86" t="s">
        <v>227</v>
      </c>
      <c r="E252" s="87">
        <v>1437367000</v>
      </c>
      <c r="F252" s="87">
        <v>2635836000</v>
      </c>
      <c r="G252" s="87">
        <v>3887694000</v>
      </c>
      <c r="H252" s="87">
        <v>2119194000</v>
      </c>
      <c r="I252" s="87">
        <v>3152411000</v>
      </c>
      <c r="J252" s="88" t="s">
        <v>125</v>
      </c>
    </row>
    <row r="253" spans="1:10" x14ac:dyDescent="0.35">
      <c r="A253" s="85"/>
      <c r="B253" s="86" t="s">
        <v>77</v>
      </c>
      <c r="C253" s="86" t="s">
        <v>214</v>
      </c>
      <c r="D253" s="86" t="s">
        <v>228</v>
      </c>
      <c r="E253" s="87">
        <v>1102888000</v>
      </c>
      <c r="F253" s="87">
        <v>2022471000</v>
      </c>
      <c r="G253" s="87">
        <v>2983018000</v>
      </c>
      <c r="H253" s="87">
        <v>1626052000</v>
      </c>
      <c r="I253" s="87">
        <v>2418837000</v>
      </c>
      <c r="J253" s="88" t="s">
        <v>125</v>
      </c>
    </row>
    <row r="254" spans="1:10" x14ac:dyDescent="0.35">
      <c r="A254" s="85"/>
      <c r="B254" s="86" t="s">
        <v>78</v>
      </c>
      <c r="C254" s="86" t="s">
        <v>214</v>
      </c>
      <c r="D254" s="86" t="s">
        <v>229</v>
      </c>
      <c r="E254" s="87">
        <v>33502520</v>
      </c>
      <c r="F254" s="87">
        <v>61436740</v>
      </c>
      <c r="G254" s="87">
        <v>90615380</v>
      </c>
      <c r="H254" s="87">
        <v>49394720</v>
      </c>
      <c r="I254" s="87">
        <v>73477210</v>
      </c>
      <c r="J254" s="88" t="s">
        <v>125</v>
      </c>
    </row>
    <row r="255" spans="1:10" x14ac:dyDescent="0.35">
      <c r="A255" s="85"/>
      <c r="B255" s="86" t="s">
        <v>80</v>
      </c>
      <c r="C255" s="86" t="s">
        <v>214</v>
      </c>
      <c r="D255" s="86" t="s">
        <v>230</v>
      </c>
      <c r="E255" s="87">
        <v>4655138000</v>
      </c>
      <c r="F255" s="87">
        <v>8536567000</v>
      </c>
      <c r="G255" s="87">
        <v>12590910000</v>
      </c>
      <c r="H255" s="87">
        <v>6863342000</v>
      </c>
      <c r="I255" s="87">
        <v>10209580000</v>
      </c>
      <c r="J255" s="88" t="s">
        <v>125</v>
      </c>
    </row>
    <row r="256" spans="1:10" x14ac:dyDescent="0.35">
      <c r="A256" s="91"/>
      <c r="B256" s="92" t="s">
        <v>0</v>
      </c>
      <c r="C256" s="92" t="s">
        <v>214</v>
      </c>
      <c r="D256" s="92" t="s">
        <v>231</v>
      </c>
      <c r="E256" s="93">
        <v>12803.25</v>
      </c>
      <c r="F256" s="93">
        <v>23478.53</v>
      </c>
      <c r="G256" s="93">
        <v>34629.370000000003</v>
      </c>
      <c r="H256" s="93">
        <v>18876.57</v>
      </c>
      <c r="I256" s="93">
        <v>28079.88</v>
      </c>
      <c r="J256" s="94" t="s">
        <v>125</v>
      </c>
    </row>
    <row r="257" spans="1:10" x14ac:dyDescent="0.35">
      <c r="A257" s="79" t="s">
        <v>261</v>
      </c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1:10" x14ac:dyDescent="0.35">
      <c r="A258" s="81"/>
      <c r="B258" s="82" t="s">
        <v>122</v>
      </c>
      <c r="C258" s="82" t="s">
        <v>123</v>
      </c>
      <c r="D258" s="82" t="s">
        <v>124</v>
      </c>
      <c r="E258" s="83">
        <v>438004.6</v>
      </c>
      <c r="F258" s="83">
        <v>776350.2</v>
      </c>
      <c r="G258" s="83">
        <v>1123389</v>
      </c>
      <c r="H258" s="83">
        <v>624178.6</v>
      </c>
      <c r="I258" s="83">
        <v>928500.3</v>
      </c>
      <c r="J258" s="84" t="s">
        <v>125</v>
      </c>
    </row>
    <row r="259" spans="1:10" x14ac:dyDescent="0.35">
      <c r="A259" s="85"/>
      <c r="B259" s="86" t="s">
        <v>126</v>
      </c>
      <c r="C259" s="86" t="s">
        <v>123</v>
      </c>
      <c r="D259" s="86" t="s">
        <v>127</v>
      </c>
      <c r="E259" s="87">
        <v>97815.81</v>
      </c>
      <c r="F259" s="87">
        <v>173375.6</v>
      </c>
      <c r="G259" s="87">
        <v>250876.79999999999</v>
      </c>
      <c r="H259" s="87">
        <v>139392.5</v>
      </c>
      <c r="I259" s="87">
        <v>207354</v>
      </c>
      <c r="J259" s="88" t="s">
        <v>125</v>
      </c>
    </row>
    <row r="260" spans="1:10" x14ac:dyDescent="0.35">
      <c r="A260" s="85"/>
      <c r="B260" s="86" t="s">
        <v>128</v>
      </c>
      <c r="C260" s="86" t="s">
        <v>123</v>
      </c>
      <c r="D260" s="86" t="s">
        <v>129</v>
      </c>
      <c r="E260" s="87">
        <v>426627.8</v>
      </c>
      <c r="F260" s="87">
        <v>756185.1</v>
      </c>
      <c r="G260" s="87">
        <v>1094210</v>
      </c>
      <c r="H260" s="87">
        <v>607966.1</v>
      </c>
      <c r="I260" s="87">
        <v>904383.3</v>
      </c>
      <c r="J260" s="88" t="s">
        <v>125</v>
      </c>
    </row>
    <row r="261" spans="1:10" x14ac:dyDescent="0.35">
      <c r="A261" s="85"/>
      <c r="B261" s="86" t="s">
        <v>130</v>
      </c>
      <c r="C261" s="86" t="s">
        <v>123</v>
      </c>
      <c r="D261" s="86" t="s">
        <v>131</v>
      </c>
      <c r="E261" s="87">
        <v>38149.17</v>
      </c>
      <c r="F261" s="87">
        <v>67618.27</v>
      </c>
      <c r="G261" s="87">
        <v>97844.51</v>
      </c>
      <c r="H261" s="87">
        <v>54364.480000000003</v>
      </c>
      <c r="I261" s="87">
        <v>80870.179999999993</v>
      </c>
      <c r="J261" s="88" t="s">
        <v>125</v>
      </c>
    </row>
    <row r="262" spans="1:10" x14ac:dyDescent="0.35">
      <c r="A262" s="85"/>
      <c r="B262" s="86" t="s">
        <v>132</v>
      </c>
      <c r="C262" s="86" t="s">
        <v>123</v>
      </c>
      <c r="D262" s="86" t="s">
        <v>133</v>
      </c>
      <c r="E262" s="87">
        <v>27842.38</v>
      </c>
      <c r="F262" s="87">
        <v>49349.79</v>
      </c>
      <c r="G262" s="87">
        <v>71409.78</v>
      </c>
      <c r="H262" s="87">
        <v>39676.79</v>
      </c>
      <c r="I262" s="87">
        <v>59021.42</v>
      </c>
      <c r="J262" s="88" t="s">
        <v>125</v>
      </c>
    </row>
    <row r="263" spans="1:10" x14ac:dyDescent="0.35">
      <c r="A263" s="85"/>
      <c r="B263" s="86" t="s">
        <v>134</v>
      </c>
      <c r="C263" s="86" t="s">
        <v>123</v>
      </c>
      <c r="D263" s="86" t="s">
        <v>135</v>
      </c>
      <c r="E263" s="87">
        <v>172915.9</v>
      </c>
      <c r="F263" s="87">
        <v>306488.3</v>
      </c>
      <c r="G263" s="87">
        <v>443492.6</v>
      </c>
      <c r="H263" s="87">
        <v>246413.9</v>
      </c>
      <c r="I263" s="87">
        <v>366554.3</v>
      </c>
      <c r="J263" s="88" t="s">
        <v>125</v>
      </c>
    </row>
    <row r="264" spans="1:10" x14ac:dyDescent="0.35">
      <c r="A264" s="85"/>
      <c r="B264" s="86" t="s">
        <v>136</v>
      </c>
      <c r="C264" s="86" t="s">
        <v>123</v>
      </c>
      <c r="D264" s="86" t="s">
        <v>137</v>
      </c>
      <c r="E264" s="89">
        <v>7278.9</v>
      </c>
      <c r="F264" s="89">
        <v>12901.64</v>
      </c>
      <c r="G264" s="89">
        <v>18668.84</v>
      </c>
      <c r="H264" s="89">
        <v>10372.799999999999</v>
      </c>
      <c r="I264" s="89">
        <v>15430.12</v>
      </c>
      <c r="J264" s="88" t="s">
        <v>125</v>
      </c>
    </row>
    <row r="265" spans="1:10" x14ac:dyDescent="0.35">
      <c r="A265" s="85"/>
      <c r="B265" s="86" t="s">
        <v>138</v>
      </c>
      <c r="C265" s="86" t="s">
        <v>123</v>
      </c>
      <c r="D265" s="86" t="s">
        <v>139</v>
      </c>
      <c r="E265" s="90">
        <v>1788.3</v>
      </c>
      <c r="F265" s="90">
        <v>3169.71</v>
      </c>
      <c r="G265" s="90">
        <v>4586.6099999999997</v>
      </c>
      <c r="H265" s="90">
        <v>2548.42</v>
      </c>
      <c r="I265" s="90">
        <v>3790.91</v>
      </c>
      <c r="J265" s="88" t="s">
        <v>125</v>
      </c>
    </row>
    <row r="266" spans="1:10" x14ac:dyDescent="0.35">
      <c r="A266" s="85"/>
      <c r="B266" s="86" t="s">
        <v>140</v>
      </c>
      <c r="C266" s="86" t="s">
        <v>123</v>
      </c>
      <c r="D266" s="86" t="s">
        <v>141</v>
      </c>
      <c r="E266" s="90">
        <v>6286.17</v>
      </c>
      <c r="F266" s="90">
        <v>11142.05</v>
      </c>
      <c r="G266" s="90">
        <v>16122.7</v>
      </c>
      <c r="H266" s="90">
        <v>8958.11</v>
      </c>
      <c r="I266" s="90">
        <v>13325.69</v>
      </c>
      <c r="J266" s="88" t="s">
        <v>125</v>
      </c>
    </row>
    <row r="267" spans="1:10" x14ac:dyDescent="0.35">
      <c r="A267" s="85"/>
      <c r="B267" s="86" t="s">
        <v>142</v>
      </c>
      <c r="C267" s="86" t="s">
        <v>123</v>
      </c>
      <c r="D267" s="86" t="s">
        <v>143</v>
      </c>
      <c r="E267" s="90">
        <v>633.98</v>
      </c>
      <c r="F267" s="90">
        <v>1123.7</v>
      </c>
      <c r="G267" s="90">
        <v>1626.01</v>
      </c>
      <c r="H267" s="90">
        <v>903.45</v>
      </c>
      <c r="I267" s="90">
        <v>1343.93</v>
      </c>
      <c r="J267" s="88" t="s">
        <v>125</v>
      </c>
    </row>
    <row r="268" spans="1:10" x14ac:dyDescent="0.35">
      <c r="A268" s="85"/>
      <c r="B268" s="86" t="s">
        <v>144</v>
      </c>
      <c r="C268" s="86" t="s">
        <v>123</v>
      </c>
      <c r="D268" s="86" t="s">
        <v>145</v>
      </c>
      <c r="E268" s="90">
        <v>462.69</v>
      </c>
      <c r="F268" s="90">
        <v>820.11</v>
      </c>
      <c r="G268" s="90">
        <v>1186.71</v>
      </c>
      <c r="H268" s="90">
        <v>659.36</v>
      </c>
      <c r="I268" s="90">
        <v>980.84</v>
      </c>
      <c r="J268" s="88" t="s">
        <v>125</v>
      </c>
    </row>
    <row r="269" spans="1:10" x14ac:dyDescent="0.35">
      <c r="A269" s="85"/>
      <c r="B269" s="86" t="s">
        <v>146</v>
      </c>
      <c r="C269" s="86" t="s">
        <v>123</v>
      </c>
      <c r="D269" s="86" t="s">
        <v>147</v>
      </c>
      <c r="E269" s="90">
        <v>1213.3</v>
      </c>
      <c r="F269" s="90">
        <v>2150.5300000000002</v>
      </c>
      <c r="G269" s="90">
        <v>3111.85</v>
      </c>
      <c r="H269" s="90">
        <v>1729.01</v>
      </c>
      <c r="I269" s="90">
        <v>2572</v>
      </c>
      <c r="J269" s="88" t="s">
        <v>125</v>
      </c>
    </row>
    <row r="270" spans="1:10" x14ac:dyDescent="0.35">
      <c r="A270" s="85"/>
      <c r="B270" s="86" t="s">
        <v>148</v>
      </c>
      <c r="C270" s="86" t="s">
        <v>123</v>
      </c>
      <c r="D270" s="86" t="s">
        <v>149</v>
      </c>
      <c r="E270" s="90">
        <v>17663.34</v>
      </c>
      <c r="F270" s="90">
        <v>31307.74</v>
      </c>
      <c r="G270" s="90">
        <v>45302.71</v>
      </c>
      <c r="H270" s="90">
        <v>25171.15</v>
      </c>
      <c r="I270" s="90">
        <v>37443.480000000003</v>
      </c>
      <c r="J270" s="88" t="s">
        <v>125</v>
      </c>
    </row>
    <row r="271" spans="1:10" x14ac:dyDescent="0.35">
      <c r="A271" s="85"/>
      <c r="B271" s="86" t="s">
        <v>150</v>
      </c>
      <c r="C271" s="86" t="s">
        <v>151</v>
      </c>
      <c r="D271" s="86" t="s">
        <v>152</v>
      </c>
      <c r="E271" s="90">
        <v>17663.34</v>
      </c>
      <c r="F271" s="90">
        <v>31307.74</v>
      </c>
      <c r="G271" s="90">
        <v>45302.71</v>
      </c>
      <c r="H271" s="90">
        <v>25171.15</v>
      </c>
      <c r="I271" s="90">
        <v>37443.480000000003</v>
      </c>
      <c r="J271" s="88" t="s">
        <v>125</v>
      </c>
    </row>
    <row r="272" spans="1:10" x14ac:dyDescent="0.35">
      <c r="A272" s="85"/>
      <c r="B272" s="86" t="s">
        <v>150</v>
      </c>
      <c r="C272" s="86" t="s">
        <v>151</v>
      </c>
      <c r="D272" s="86" t="s">
        <v>153</v>
      </c>
      <c r="E272" s="90">
        <v>3248.41</v>
      </c>
      <c r="F272" s="90">
        <v>3534</v>
      </c>
      <c r="G272" s="90">
        <v>3815.17</v>
      </c>
      <c r="H272" s="90">
        <v>3355.16</v>
      </c>
      <c r="I272" s="90">
        <v>3713.14</v>
      </c>
      <c r="J272" s="88" t="s">
        <v>125</v>
      </c>
    </row>
    <row r="273" spans="1:10" x14ac:dyDescent="0.35">
      <c r="A273" s="85"/>
      <c r="B273" s="86" t="s">
        <v>154</v>
      </c>
      <c r="C273" s="86" t="s">
        <v>151</v>
      </c>
      <c r="D273" s="86" t="s">
        <v>155</v>
      </c>
      <c r="E273" s="90">
        <v>13662.17</v>
      </c>
      <c r="F273" s="90">
        <v>14819.38</v>
      </c>
      <c r="G273" s="90">
        <v>15976.58</v>
      </c>
      <c r="H273" s="90">
        <v>14176.96</v>
      </c>
      <c r="I273" s="90">
        <v>15456.47</v>
      </c>
      <c r="J273" s="88" t="s">
        <v>125</v>
      </c>
    </row>
    <row r="274" spans="1:10" x14ac:dyDescent="0.35">
      <c r="A274" s="85"/>
      <c r="B274" s="86" t="s">
        <v>156</v>
      </c>
      <c r="C274" s="86" t="s">
        <v>151</v>
      </c>
      <c r="D274" s="86" t="s">
        <v>157</v>
      </c>
      <c r="E274" s="90">
        <v>20571.72</v>
      </c>
      <c r="F274" s="90">
        <v>31310.95</v>
      </c>
      <c r="G274" s="90">
        <v>42584.959999999999</v>
      </c>
      <c r="H274" s="90">
        <v>26675.52</v>
      </c>
      <c r="I274" s="90">
        <v>35962.76</v>
      </c>
      <c r="J274" s="88" t="s">
        <v>125</v>
      </c>
    </row>
    <row r="275" spans="1:10" x14ac:dyDescent="0.35">
      <c r="A275" s="85"/>
      <c r="B275" s="86" t="s">
        <v>158</v>
      </c>
      <c r="C275" s="86" t="s">
        <v>151</v>
      </c>
      <c r="D275" s="86" t="s">
        <v>159</v>
      </c>
      <c r="E275" s="90">
        <v>275675.3</v>
      </c>
      <c r="F275" s="90">
        <v>389910.1</v>
      </c>
      <c r="G275" s="90">
        <v>523239.5</v>
      </c>
      <c r="H275" s="90">
        <v>337736.6</v>
      </c>
      <c r="I275" s="90">
        <v>444169.4</v>
      </c>
      <c r="J275" s="88" t="s">
        <v>125</v>
      </c>
    </row>
    <row r="276" spans="1:10" x14ac:dyDescent="0.35">
      <c r="A276" s="85"/>
      <c r="B276" s="86" t="s">
        <v>160</v>
      </c>
      <c r="C276" s="86" t="s">
        <v>151</v>
      </c>
      <c r="D276" s="86" t="s">
        <v>161</v>
      </c>
      <c r="E276" s="90">
        <v>352186.3</v>
      </c>
      <c r="F276" s="90">
        <v>470882.1</v>
      </c>
      <c r="G276" s="90">
        <v>601147.5</v>
      </c>
      <c r="H276" s="90">
        <v>418120</v>
      </c>
      <c r="I276" s="90">
        <v>525638.1</v>
      </c>
      <c r="J276" s="88" t="s">
        <v>125</v>
      </c>
    </row>
    <row r="277" spans="1:10" x14ac:dyDescent="0.35">
      <c r="A277" s="85"/>
      <c r="B277" s="86" t="s">
        <v>162</v>
      </c>
      <c r="C277" s="86" t="s">
        <v>151</v>
      </c>
      <c r="D277" s="86" t="s">
        <v>163</v>
      </c>
      <c r="E277" s="90">
        <v>703604.3</v>
      </c>
      <c r="F277" s="90">
        <v>703604.3</v>
      </c>
      <c r="G277" s="90">
        <v>703604.3</v>
      </c>
      <c r="H277" s="90">
        <v>703604.3</v>
      </c>
      <c r="I277" s="90">
        <v>703604.3</v>
      </c>
      <c r="J277" s="88" t="s">
        <v>125</v>
      </c>
    </row>
    <row r="278" spans="1:10" x14ac:dyDescent="0.35">
      <c r="A278" s="85"/>
      <c r="B278" s="86" t="s">
        <v>164</v>
      </c>
      <c r="C278" s="86" t="s">
        <v>151</v>
      </c>
      <c r="D278" s="86" t="s">
        <v>165</v>
      </c>
      <c r="E278" s="90">
        <v>1055791</v>
      </c>
      <c r="F278" s="90">
        <v>1174486</v>
      </c>
      <c r="G278" s="90">
        <v>1304752</v>
      </c>
      <c r="H278" s="90">
        <v>1121724</v>
      </c>
      <c r="I278" s="90">
        <v>1229242</v>
      </c>
      <c r="J278" s="88" t="s">
        <v>125</v>
      </c>
    </row>
    <row r="279" spans="1:10" x14ac:dyDescent="0.35">
      <c r="A279" s="85"/>
      <c r="B279" s="86" t="s">
        <v>150</v>
      </c>
      <c r="C279" s="86" t="s">
        <v>166</v>
      </c>
      <c r="D279" s="86" t="s">
        <v>152</v>
      </c>
      <c r="E279" s="90">
        <v>17663.34</v>
      </c>
      <c r="F279" s="90">
        <v>31307.74</v>
      </c>
      <c r="G279" s="90">
        <v>45302.71</v>
      </c>
      <c r="H279" s="90">
        <v>25171.15</v>
      </c>
      <c r="I279" s="90">
        <v>37443.480000000003</v>
      </c>
      <c r="J279" s="88" t="s">
        <v>125</v>
      </c>
    </row>
    <row r="280" spans="1:10" x14ac:dyDescent="0.35">
      <c r="A280" s="85"/>
      <c r="B280" s="86" t="s">
        <v>150</v>
      </c>
      <c r="C280" s="86" t="s">
        <v>166</v>
      </c>
      <c r="D280" s="86" t="s">
        <v>153</v>
      </c>
      <c r="E280" s="90">
        <v>3217.3</v>
      </c>
      <c r="F280" s="90">
        <v>3534</v>
      </c>
      <c r="G280" s="90">
        <v>3828.6</v>
      </c>
      <c r="H280" s="90">
        <v>3355.57</v>
      </c>
      <c r="I280" s="90">
        <v>3713.26</v>
      </c>
      <c r="J280" s="88" t="s">
        <v>125</v>
      </c>
    </row>
    <row r="281" spans="1:10" x14ac:dyDescent="0.35">
      <c r="A281" s="85"/>
      <c r="B281" s="86" t="s">
        <v>156</v>
      </c>
      <c r="C281" s="86" t="s">
        <v>166</v>
      </c>
      <c r="D281" s="86" t="s">
        <v>157</v>
      </c>
      <c r="E281" s="90">
        <v>21382.15</v>
      </c>
      <c r="F281" s="90">
        <v>31310.95</v>
      </c>
      <c r="G281" s="90">
        <v>42752.21</v>
      </c>
      <c r="H281" s="90">
        <v>26681.47</v>
      </c>
      <c r="I281" s="90">
        <v>35937.46</v>
      </c>
      <c r="J281" s="88" t="s">
        <v>125</v>
      </c>
    </row>
    <row r="282" spans="1:10" x14ac:dyDescent="0.35">
      <c r="A282" s="85"/>
      <c r="B282" s="86" t="s">
        <v>158</v>
      </c>
      <c r="C282" s="86" t="s">
        <v>166</v>
      </c>
      <c r="D282" s="86" t="s">
        <v>159</v>
      </c>
      <c r="E282" s="90">
        <v>129398.6</v>
      </c>
      <c r="F282" s="90">
        <v>183019</v>
      </c>
      <c r="G282" s="90">
        <v>245602.2</v>
      </c>
      <c r="H282" s="90">
        <v>158529.4</v>
      </c>
      <c r="I282" s="90">
        <v>208487.7</v>
      </c>
      <c r="J282" s="88" t="s">
        <v>125</v>
      </c>
    </row>
    <row r="283" spans="1:10" x14ac:dyDescent="0.35">
      <c r="A283" s="85"/>
      <c r="B283" s="86" t="s">
        <v>160</v>
      </c>
      <c r="C283" s="86" t="s">
        <v>166</v>
      </c>
      <c r="D283" s="86" t="s">
        <v>161</v>
      </c>
      <c r="E283" s="90">
        <v>205955.20000000001</v>
      </c>
      <c r="F283" s="90">
        <v>263991.09999999998</v>
      </c>
      <c r="G283" s="90">
        <v>326632.40000000002</v>
      </c>
      <c r="H283" s="90">
        <v>238267.7</v>
      </c>
      <c r="I283" s="90">
        <v>290497.59999999998</v>
      </c>
      <c r="J283" s="88" t="s">
        <v>125</v>
      </c>
    </row>
    <row r="284" spans="1:10" x14ac:dyDescent="0.35">
      <c r="A284" s="85"/>
      <c r="B284" s="86" t="s">
        <v>162</v>
      </c>
      <c r="C284" s="86" t="s">
        <v>166</v>
      </c>
      <c r="D284" s="86" t="s">
        <v>163</v>
      </c>
      <c r="E284" s="90">
        <v>202598.8</v>
      </c>
      <c r="F284" s="90">
        <v>223282.5</v>
      </c>
      <c r="G284" s="90">
        <v>243347.9</v>
      </c>
      <c r="H284" s="90">
        <v>211188.9</v>
      </c>
      <c r="I284" s="90">
        <v>235464.6</v>
      </c>
      <c r="J284" s="88" t="s">
        <v>125</v>
      </c>
    </row>
    <row r="285" spans="1:10" x14ac:dyDescent="0.35">
      <c r="A285" s="85"/>
      <c r="B285" s="86" t="s">
        <v>164</v>
      </c>
      <c r="C285" s="86" t="s">
        <v>166</v>
      </c>
      <c r="D285" s="86" t="s">
        <v>165</v>
      </c>
      <c r="E285" s="90">
        <v>421250.5</v>
      </c>
      <c r="F285" s="90">
        <v>487273.6</v>
      </c>
      <c r="G285" s="90">
        <v>551992.19999999995</v>
      </c>
      <c r="H285" s="90">
        <v>458654.6</v>
      </c>
      <c r="I285" s="90">
        <v>516587.1</v>
      </c>
      <c r="J285" s="88" t="s">
        <v>125</v>
      </c>
    </row>
    <row r="286" spans="1:10" x14ac:dyDescent="0.35">
      <c r="A286" s="85"/>
      <c r="B286" s="86" t="s">
        <v>150</v>
      </c>
      <c r="C286" s="86" t="s">
        <v>167</v>
      </c>
      <c r="D286" s="86" t="s">
        <v>152</v>
      </c>
      <c r="E286" s="90">
        <v>17663.34</v>
      </c>
      <c r="F286" s="90">
        <v>31307.74</v>
      </c>
      <c r="G286" s="90">
        <v>45302.71</v>
      </c>
      <c r="H286" s="90">
        <v>25171.15</v>
      </c>
      <c r="I286" s="90">
        <v>37443.480000000003</v>
      </c>
      <c r="J286" s="88" t="s">
        <v>125</v>
      </c>
    </row>
    <row r="287" spans="1:10" x14ac:dyDescent="0.35">
      <c r="A287" s="85"/>
      <c r="B287" s="86" t="s">
        <v>150</v>
      </c>
      <c r="C287" s="86" t="s">
        <v>167</v>
      </c>
      <c r="D287" s="86" t="s">
        <v>153</v>
      </c>
      <c r="E287" s="90">
        <v>3232.49</v>
      </c>
      <c r="F287" s="90">
        <v>3534</v>
      </c>
      <c r="G287" s="90">
        <v>3839.98</v>
      </c>
      <c r="H287" s="90">
        <v>3355.1</v>
      </c>
      <c r="I287" s="90">
        <v>3714.23</v>
      </c>
      <c r="J287" s="88" t="s">
        <v>125</v>
      </c>
    </row>
    <row r="288" spans="1:10" x14ac:dyDescent="0.35">
      <c r="A288" s="85"/>
      <c r="B288" s="86" t="s">
        <v>156</v>
      </c>
      <c r="C288" s="86" t="s">
        <v>167</v>
      </c>
      <c r="D288" s="86" t="s">
        <v>157</v>
      </c>
      <c r="E288" s="90">
        <v>20918.48</v>
      </c>
      <c r="F288" s="90">
        <v>31310.95</v>
      </c>
      <c r="G288" s="90">
        <v>42057.56</v>
      </c>
      <c r="H288" s="90">
        <v>26670.3</v>
      </c>
      <c r="I288" s="90">
        <v>35945.11</v>
      </c>
      <c r="J288" s="88" t="s">
        <v>125</v>
      </c>
    </row>
    <row r="289" spans="1:10" x14ac:dyDescent="0.35">
      <c r="A289" s="85"/>
      <c r="B289" s="86" t="s">
        <v>158</v>
      </c>
      <c r="C289" s="86" t="s">
        <v>167</v>
      </c>
      <c r="D289" s="86" t="s">
        <v>159</v>
      </c>
      <c r="E289" s="90">
        <v>421952</v>
      </c>
      <c r="F289" s="90">
        <v>596801.1</v>
      </c>
      <c r="G289" s="90">
        <v>800876.8</v>
      </c>
      <c r="H289" s="90">
        <v>516943.8</v>
      </c>
      <c r="I289" s="90">
        <v>679851.1</v>
      </c>
      <c r="J289" s="88" t="s">
        <v>125</v>
      </c>
    </row>
    <row r="290" spans="1:10" x14ac:dyDescent="0.35">
      <c r="A290" s="85"/>
      <c r="B290" s="86" t="s">
        <v>160</v>
      </c>
      <c r="C290" s="86" t="s">
        <v>167</v>
      </c>
      <c r="D290" s="86" t="s">
        <v>161</v>
      </c>
      <c r="E290" s="90">
        <v>498412.3</v>
      </c>
      <c r="F290" s="90">
        <v>677773.2</v>
      </c>
      <c r="G290" s="90">
        <v>878967.3</v>
      </c>
      <c r="H290" s="90">
        <v>597494.19999999995</v>
      </c>
      <c r="I290" s="90">
        <v>761266.9</v>
      </c>
      <c r="J290" s="88" t="s">
        <v>125</v>
      </c>
    </row>
    <row r="291" spans="1:10" x14ac:dyDescent="0.35">
      <c r="A291" s="85"/>
      <c r="B291" s="86" t="s">
        <v>162</v>
      </c>
      <c r="C291" s="86" t="s">
        <v>167</v>
      </c>
      <c r="D291" s="86" t="s">
        <v>163</v>
      </c>
      <c r="E291" s="90">
        <v>664606.1</v>
      </c>
      <c r="F291" s="90">
        <v>733755.6</v>
      </c>
      <c r="G291" s="90">
        <v>801954.6</v>
      </c>
      <c r="H291" s="90">
        <v>686518</v>
      </c>
      <c r="I291" s="90">
        <v>781073.1</v>
      </c>
      <c r="J291" s="88" t="s">
        <v>125</v>
      </c>
    </row>
    <row r="292" spans="1:10" x14ac:dyDescent="0.35">
      <c r="A292" s="85"/>
      <c r="B292" s="86" t="s">
        <v>164</v>
      </c>
      <c r="C292" s="86" t="s">
        <v>167</v>
      </c>
      <c r="D292" s="86" t="s">
        <v>165</v>
      </c>
      <c r="E292" s="90">
        <v>1232867</v>
      </c>
      <c r="F292" s="90">
        <v>1411529</v>
      </c>
      <c r="G292" s="90">
        <v>1628015</v>
      </c>
      <c r="H292" s="90">
        <v>1317116</v>
      </c>
      <c r="I292" s="90">
        <v>1508185</v>
      </c>
      <c r="J292" s="88" t="s">
        <v>125</v>
      </c>
    </row>
    <row r="293" spans="1:10" x14ac:dyDescent="0.35">
      <c r="A293" s="85"/>
      <c r="B293" s="86" t="s">
        <v>168</v>
      </c>
      <c r="C293" s="86" t="s">
        <v>169</v>
      </c>
      <c r="D293" s="86" t="s">
        <v>170</v>
      </c>
      <c r="E293" s="86">
        <v>0.40737699999999999</v>
      </c>
      <c r="F293" s="86">
        <v>0.48800009999999999</v>
      </c>
      <c r="G293" s="86">
        <v>0.57269210000000004</v>
      </c>
      <c r="H293" s="86">
        <v>0.45099790000000001</v>
      </c>
      <c r="I293" s="86">
        <v>0.52499759999999995</v>
      </c>
      <c r="J293" s="88" t="s">
        <v>125</v>
      </c>
    </row>
    <row r="294" spans="1:10" x14ac:dyDescent="0.35">
      <c r="A294" s="85"/>
      <c r="B294" s="86" t="s">
        <v>171</v>
      </c>
      <c r="C294" s="86" t="s">
        <v>169</v>
      </c>
      <c r="D294" s="86" t="s">
        <v>172</v>
      </c>
      <c r="E294" s="86">
        <v>0.29462440000000001</v>
      </c>
      <c r="F294" s="86">
        <v>0.374</v>
      </c>
      <c r="G294" s="86">
        <v>0.45506210000000002</v>
      </c>
      <c r="H294" s="86">
        <v>0.33899699999999999</v>
      </c>
      <c r="I294" s="86">
        <v>0.40899930000000001</v>
      </c>
      <c r="J294" s="88" t="s">
        <v>125</v>
      </c>
    </row>
    <row r="295" spans="1:10" x14ac:dyDescent="0.35">
      <c r="A295" s="85"/>
      <c r="B295" s="86" t="s">
        <v>56</v>
      </c>
      <c r="C295" s="86" t="s">
        <v>169</v>
      </c>
      <c r="D295" s="86" t="s">
        <v>173</v>
      </c>
      <c r="E295" s="86">
        <v>0.21852469999999999</v>
      </c>
      <c r="F295" s="86">
        <v>0.28499999999999998</v>
      </c>
      <c r="G295" s="86">
        <v>0.3543927</v>
      </c>
      <c r="H295" s="86">
        <v>0.25474770000000002</v>
      </c>
      <c r="I295" s="86">
        <v>0.31524780000000002</v>
      </c>
      <c r="J295" s="88" t="s">
        <v>125</v>
      </c>
    </row>
    <row r="296" spans="1:10" x14ac:dyDescent="0.35">
      <c r="A296" s="85"/>
      <c r="B296" s="86" t="s">
        <v>174</v>
      </c>
      <c r="C296" s="86" t="s">
        <v>169</v>
      </c>
      <c r="D296" s="86" t="s">
        <v>175</v>
      </c>
      <c r="E296" s="86">
        <v>0.1256786</v>
      </c>
      <c r="F296" s="86">
        <v>0.193</v>
      </c>
      <c r="G296" s="86">
        <v>0.25655650000000002</v>
      </c>
      <c r="H296" s="86">
        <v>0.1659979</v>
      </c>
      <c r="I296" s="86">
        <v>0.2199999</v>
      </c>
      <c r="J296" s="88" t="s">
        <v>125</v>
      </c>
    </row>
    <row r="297" spans="1:10" x14ac:dyDescent="0.35">
      <c r="A297" s="85"/>
      <c r="B297" s="86" t="s">
        <v>176</v>
      </c>
      <c r="C297" s="86" t="s">
        <v>169</v>
      </c>
      <c r="D297" s="86" t="s">
        <v>177</v>
      </c>
      <c r="E297" s="86">
        <v>120393</v>
      </c>
      <c r="F297" s="86">
        <v>163062.39999999999</v>
      </c>
      <c r="G297" s="86">
        <v>205966.1</v>
      </c>
      <c r="H297" s="86">
        <v>143514.1</v>
      </c>
      <c r="I297" s="86">
        <v>182610.5</v>
      </c>
      <c r="J297" s="88" t="s">
        <v>125</v>
      </c>
    </row>
    <row r="298" spans="1:10" x14ac:dyDescent="0.35">
      <c r="A298" s="85"/>
      <c r="B298" s="86" t="s">
        <v>178</v>
      </c>
      <c r="C298" s="86" t="s">
        <v>169</v>
      </c>
      <c r="D298" s="86" t="s">
        <v>179</v>
      </c>
      <c r="E298" s="86">
        <v>947627.4</v>
      </c>
      <c r="F298" s="86">
        <v>1283483</v>
      </c>
      <c r="G298" s="86">
        <v>1621183</v>
      </c>
      <c r="H298" s="86">
        <v>1129616</v>
      </c>
      <c r="I298" s="86">
        <v>1437349</v>
      </c>
      <c r="J298" s="88" t="s">
        <v>125</v>
      </c>
    </row>
    <row r="299" spans="1:10" x14ac:dyDescent="0.35">
      <c r="A299" s="85"/>
      <c r="B299" s="86" t="s">
        <v>180</v>
      </c>
      <c r="C299" s="86" t="s">
        <v>169</v>
      </c>
      <c r="D299" s="86" t="s">
        <v>181</v>
      </c>
      <c r="E299" s="86">
        <v>500242.9</v>
      </c>
      <c r="F299" s="86">
        <v>677537.6</v>
      </c>
      <c r="G299" s="86">
        <v>855806</v>
      </c>
      <c r="H299" s="86">
        <v>596312.69999999995</v>
      </c>
      <c r="I299" s="86">
        <v>758761.6</v>
      </c>
      <c r="J299" s="88" t="s">
        <v>125</v>
      </c>
    </row>
    <row r="300" spans="1:10" x14ac:dyDescent="0.35">
      <c r="A300" s="85"/>
      <c r="B300" s="86" t="s">
        <v>182</v>
      </c>
      <c r="C300" s="86" t="s">
        <v>169</v>
      </c>
      <c r="D300" s="86" t="s">
        <v>183</v>
      </c>
      <c r="E300" s="86">
        <v>3901.1970000000001</v>
      </c>
      <c r="F300" s="86">
        <v>5283.85</v>
      </c>
      <c r="G300" s="86">
        <v>6674.0940000000001</v>
      </c>
      <c r="H300" s="86">
        <v>4650.4080000000004</v>
      </c>
      <c r="I300" s="86">
        <v>5917.2830000000004</v>
      </c>
      <c r="J300" s="88" t="s">
        <v>125</v>
      </c>
    </row>
    <row r="301" spans="1:10" x14ac:dyDescent="0.35">
      <c r="A301" s="85"/>
      <c r="B301" s="86" t="s">
        <v>184</v>
      </c>
      <c r="C301" s="86" t="s">
        <v>169</v>
      </c>
      <c r="D301" s="86" t="s">
        <v>185</v>
      </c>
      <c r="E301" s="89">
        <v>210745.9</v>
      </c>
      <c r="F301" s="89">
        <v>252454.2</v>
      </c>
      <c r="G301" s="89">
        <v>296267.40000000002</v>
      </c>
      <c r="H301" s="89">
        <v>233312.1</v>
      </c>
      <c r="I301" s="89">
        <v>271593.90000000002</v>
      </c>
      <c r="J301" s="88" t="s">
        <v>125</v>
      </c>
    </row>
    <row r="302" spans="1:10" x14ac:dyDescent="0.35">
      <c r="A302" s="85"/>
      <c r="B302" s="86" t="s">
        <v>186</v>
      </c>
      <c r="C302" s="86" t="s">
        <v>169</v>
      </c>
      <c r="D302" s="86" t="s">
        <v>187</v>
      </c>
      <c r="E302" s="90">
        <v>152416.29999999999</v>
      </c>
      <c r="F302" s="90">
        <v>193479.2</v>
      </c>
      <c r="G302" s="90">
        <v>235414.6</v>
      </c>
      <c r="H302" s="90">
        <v>175371.3</v>
      </c>
      <c r="I302" s="90">
        <v>211585.2</v>
      </c>
      <c r="J302" s="88" t="s">
        <v>125</v>
      </c>
    </row>
    <row r="303" spans="1:10" x14ac:dyDescent="0.35">
      <c r="A303" s="85"/>
      <c r="B303" s="86"/>
      <c r="C303" s="86" t="s">
        <v>169</v>
      </c>
      <c r="D303" s="86" t="s">
        <v>188</v>
      </c>
      <c r="E303" s="89">
        <v>113048.1</v>
      </c>
      <c r="F303" s="89">
        <v>147437.4</v>
      </c>
      <c r="G303" s="89">
        <v>183335.9</v>
      </c>
      <c r="H303" s="89">
        <v>131787.1</v>
      </c>
      <c r="I303" s="89">
        <v>163085.29999999999</v>
      </c>
      <c r="J303" s="88" t="s">
        <v>125</v>
      </c>
    </row>
    <row r="304" spans="1:10" x14ac:dyDescent="0.35">
      <c r="A304" s="85"/>
      <c r="B304" s="86" t="s">
        <v>189</v>
      </c>
      <c r="C304" s="86" t="s">
        <v>169</v>
      </c>
      <c r="D304" s="86" t="s">
        <v>190</v>
      </c>
      <c r="E304" s="90">
        <v>65016.58</v>
      </c>
      <c r="F304" s="90">
        <v>99843.54</v>
      </c>
      <c r="G304" s="90">
        <v>132722.9</v>
      </c>
      <c r="H304" s="90">
        <v>85874.73</v>
      </c>
      <c r="I304" s="90">
        <v>113811.3</v>
      </c>
      <c r="J304" s="88" t="s">
        <v>125</v>
      </c>
    </row>
    <row r="305" spans="1:10" x14ac:dyDescent="0.35">
      <c r="A305" s="85"/>
      <c r="B305" s="86" t="s">
        <v>184</v>
      </c>
      <c r="C305" s="86" t="s">
        <v>169</v>
      </c>
      <c r="D305" s="86" t="s">
        <v>191</v>
      </c>
      <c r="E305" s="89">
        <v>30032.400000000001</v>
      </c>
      <c r="F305" s="89">
        <v>41165.89</v>
      </c>
      <c r="G305" s="89">
        <v>54204.36</v>
      </c>
      <c r="H305" s="89">
        <v>35433.5</v>
      </c>
      <c r="I305" s="89">
        <v>47130.02</v>
      </c>
      <c r="J305" s="88" t="s">
        <v>125</v>
      </c>
    </row>
    <row r="306" spans="1:10" x14ac:dyDescent="0.35">
      <c r="A306" s="85"/>
      <c r="B306" s="86" t="s">
        <v>186</v>
      </c>
      <c r="C306" s="86" t="s">
        <v>169</v>
      </c>
      <c r="D306" s="86" t="s">
        <v>192</v>
      </c>
      <c r="E306" s="89">
        <v>168654.7</v>
      </c>
      <c r="F306" s="89">
        <v>248322.3</v>
      </c>
      <c r="G306" s="89">
        <v>347711.4</v>
      </c>
      <c r="H306" s="89">
        <v>211734.1</v>
      </c>
      <c r="I306" s="89">
        <v>286977.90000000002</v>
      </c>
      <c r="J306" s="88" t="s">
        <v>125</v>
      </c>
    </row>
    <row r="307" spans="1:10" x14ac:dyDescent="0.35">
      <c r="A307" s="85"/>
      <c r="B307" s="86"/>
      <c r="C307" s="86" t="s">
        <v>169</v>
      </c>
      <c r="D307" s="86" t="s">
        <v>193</v>
      </c>
      <c r="E307" s="89">
        <v>66093.59</v>
      </c>
      <c r="F307" s="89">
        <v>99894.3</v>
      </c>
      <c r="G307" s="89">
        <v>135633.5</v>
      </c>
      <c r="H307" s="89">
        <v>84339.5</v>
      </c>
      <c r="I307" s="89">
        <v>116339</v>
      </c>
      <c r="J307" s="88" t="s">
        <v>125</v>
      </c>
    </row>
    <row r="308" spans="1:10" x14ac:dyDescent="0.35">
      <c r="A308" s="85"/>
      <c r="B308" s="86" t="s">
        <v>189</v>
      </c>
      <c r="C308" s="86" t="s">
        <v>169</v>
      </c>
      <c r="D308" s="86" t="s">
        <v>194</v>
      </c>
      <c r="E308" s="89">
        <v>334.13</v>
      </c>
      <c r="F308" s="89">
        <v>527.57000000000005</v>
      </c>
      <c r="G308" s="89">
        <v>776.33</v>
      </c>
      <c r="H308" s="89">
        <v>433.44</v>
      </c>
      <c r="I308" s="89">
        <v>628.44000000000005</v>
      </c>
      <c r="J308" s="88" t="s">
        <v>125</v>
      </c>
    </row>
    <row r="309" spans="1:10" x14ac:dyDescent="0.35">
      <c r="A309" s="85"/>
      <c r="B309" s="86"/>
      <c r="C309" s="86" t="s">
        <v>169</v>
      </c>
      <c r="D309" s="86" t="s">
        <v>195</v>
      </c>
      <c r="E309" s="89">
        <v>275675.3</v>
      </c>
      <c r="F309" s="89">
        <v>389910.1</v>
      </c>
      <c r="G309" s="89">
        <v>523239.5</v>
      </c>
      <c r="H309" s="89">
        <v>337736.6</v>
      </c>
      <c r="I309" s="89">
        <v>444169.4</v>
      </c>
      <c r="J309" s="88" t="s">
        <v>125</v>
      </c>
    </row>
    <row r="310" spans="1:10" x14ac:dyDescent="0.35">
      <c r="A310" s="85"/>
      <c r="B310" s="86" t="s">
        <v>184</v>
      </c>
      <c r="C310" s="86" t="s">
        <v>169</v>
      </c>
      <c r="D310" s="86" t="s">
        <v>196</v>
      </c>
      <c r="E310" s="89">
        <v>98921.55</v>
      </c>
      <c r="F310" s="89">
        <v>118498.9</v>
      </c>
      <c r="G310" s="89">
        <v>139064.29999999999</v>
      </c>
      <c r="H310" s="89">
        <v>109513.8</v>
      </c>
      <c r="I310" s="89">
        <v>127482.8</v>
      </c>
      <c r="J310" s="88" t="s">
        <v>125</v>
      </c>
    </row>
    <row r="311" spans="1:10" x14ac:dyDescent="0.35">
      <c r="A311" s="85"/>
      <c r="B311" s="86" t="s">
        <v>186</v>
      </c>
      <c r="C311" s="86" t="s">
        <v>169</v>
      </c>
      <c r="D311" s="86" t="s">
        <v>197</v>
      </c>
      <c r="E311" s="89">
        <v>71542.34</v>
      </c>
      <c r="F311" s="89">
        <v>90816.77</v>
      </c>
      <c r="G311" s="89">
        <v>110500.7</v>
      </c>
      <c r="H311" s="89">
        <v>82317.16</v>
      </c>
      <c r="I311" s="89">
        <v>99315.5</v>
      </c>
      <c r="J311" s="88" t="s">
        <v>125</v>
      </c>
    </row>
    <row r="312" spans="1:10" x14ac:dyDescent="0.35">
      <c r="A312" s="85"/>
      <c r="B312" s="86"/>
      <c r="C312" s="86" t="s">
        <v>169</v>
      </c>
      <c r="D312" s="86" t="s">
        <v>198</v>
      </c>
      <c r="E312" s="89">
        <v>53063.39</v>
      </c>
      <c r="F312" s="89">
        <v>69205.3</v>
      </c>
      <c r="G312" s="89">
        <v>86055.63</v>
      </c>
      <c r="H312" s="89">
        <v>61859.27</v>
      </c>
      <c r="I312" s="89">
        <v>76550.240000000005</v>
      </c>
      <c r="J312" s="88" t="s">
        <v>125</v>
      </c>
    </row>
    <row r="313" spans="1:10" x14ac:dyDescent="0.35">
      <c r="A313" s="85"/>
      <c r="B313" s="86" t="s">
        <v>189</v>
      </c>
      <c r="C313" s="86" t="s">
        <v>169</v>
      </c>
      <c r="D313" s="86" t="s">
        <v>199</v>
      </c>
      <c r="E313" s="89">
        <v>30517.99</v>
      </c>
      <c r="F313" s="89">
        <v>46865.33</v>
      </c>
      <c r="G313" s="89">
        <v>62298.49</v>
      </c>
      <c r="H313" s="89">
        <v>40308.550000000003</v>
      </c>
      <c r="I313" s="89">
        <v>53421.61</v>
      </c>
      <c r="J313" s="88" t="s">
        <v>125</v>
      </c>
    </row>
    <row r="314" spans="1:10" x14ac:dyDescent="0.35">
      <c r="A314" s="85"/>
      <c r="B314" s="86" t="s">
        <v>184</v>
      </c>
      <c r="C314" s="86" t="s">
        <v>169</v>
      </c>
      <c r="D314" s="86" t="s">
        <v>200</v>
      </c>
      <c r="E314" s="90">
        <v>14096.84</v>
      </c>
      <c r="F314" s="90">
        <v>19322.759999999998</v>
      </c>
      <c r="G314" s="90">
        <v>25442.86</v>
      </c>
      <c r="H314" s="90">
        <v>16632.05</v>
      </c>
      <c r="I314" s="90">
        <v>22122.25</v>
      </c>
      <c r="J314" s="88" t="s">
        <v>125</v>
      </c>
    </row>
    <row r="315" spans="1:10" x14ac:dyDescent="0.35">
      <c r="A315" s="85"/>
      <c r="B315" s="86" t="s">
        <v>186</v>
      </c>
      <c r="C315" s="86" t="s">
        <v>169</v>
      </c>
      <c r="D315" s="86" t="s">
        <v>201</v>
      </c>
      <c r="E315" s="90">
        <v>79164.44</v>
      </c>
      <c r="F315" s="90">
        <v>116559.4</v>
      </c>
      <c r="G315" s="90">
        <v>163211.5</v>
      </c>
      <c r="H315" s="90">
        <v>99385.38</v>
      </c>
      <c r="I315" s="90">
        <v>134703.9</v>
      </c>
      <c r="J315" s="88" t="s">
        <v>125</v>
      </c>
    </row>
    <row r="316" spans="1:10" x14ac:dyDescent="0.35">
      <c r="A316" s="85"/>
      <c r="B316" s="86"/>
      <c r="C316" s="86" t="s">
        <v>169</v>
      </c>
      <c r="D316" s="86" t="s">
        <v>202</v>
      </c>
      <c r="E316" s="90">
        <v>31023.52</v>
      </c>
      <c r="F316" s="90">
        <v>46889.16</v>
      </c>
      <c r="G316" s="90">
        <v>63664.7</v>
      </c>
      <c r="H316" s="90">
        <v>39587.93</v>
      </c>
      <c r="I316" s="90">
        <v>54608.11</v>
      </c>
      <c r="J316" s="88" t="s">
        <v>125</v>
      </c>
    </row>
    <row r="317" spans="1:10" x14ac:dyDescent="0.35">
      <c r="A317" s="85"/>
      <c r="B317" s="86" t="s">
        <v>189</v>
      </c>
      <c r="C317" s="86" t="s">
        <v>169</v>
      </c>
      <c r="D317" s="86" t="s">
        <v>203</v>
      </c>
      <c r="E317" s="90">
        <v>156.84</v>
      </c>
      <c r="F317" s="90">
        <v>247.63</v>
      </c>
      <c r="G317" s="90">
        <v>364.4</v>
      </c>
      <c r="H317" s="90">
        <v>203.45</v>
      </c>
      <c r="I317" s="90">
        <v>294.98</v>
      </c>
      <c r="J317" s="88" t="s">
        <v>125</v>
      </c>
    </row>
    <row r="318" spans="1:10" x14ac:dyDescent="0.35">
      <c r="A318" s="85"/>
      <c r="B318" s="86"/>
      <c r="C318" s="86" t="s">
        <v>169</v>
      </c>
      <c r="D318" s="86" t="s">
        <v>204</v>
      </c>
      <c r="E318" s="90">
        <v>129398.6</v>
      </c>
      <c r="F318" s="90">
        <v>183019</v>
      </c>
      <c r="G318" s="90">
        <v>245602.2</v>
      </c>
      <c r="H318" s="90">
        <v>158529.4</v>
      </c>
      <c r="I318" s="90">
        <v>208487.7</v>
      </c>
      <c r="J318" s="88" t="s">
        <v>125</v>
      </c>
    </row>
    <row r="319" spans="1:10" x14ac:dyDescent="0.35">
      <c r="A319" s="85"/>
      <c r="B319" s="86" t="s">
        <v>184</v>
      </c>
      <c r="C319" s="86" t="s">
        <v>169</v>
      </c>
      <c r="D319" s="86" t="s">
        <v>205</v>
      </c>
      <c r="E319" s="89">
        <v>322570.3</v>
      </c>
      <c r="F319" s="89">
        <v>386409.5</v>
      </c>
      <c r="G319" s="89">
        <v>453470.5</v>
      </c>
      <c r="H319" s="89">
        <v>357110.3</v>
      </c>
      <c r="I319" s="89">
        <v>415704.9</v>
      </c>
      <c r="J319" s="88" t="s">
        <v>125</v>
      </c>
    </row>
    <row r="320" spans="1:10" x14ac:dyDescent="0.35">
      <c r="A320" s="85"/>
      <c r="B320" s="86" t="s">
        <v>186</v>
      </c>
      <c r="C320" s="86" t="s">
        <v>169</v>
      </c>
      <c r="D320" s="86" t="s">
        <v>206</v>
      </c>
      <c r="E320" s="89">
        <v>233290.2</v>
      </c>
      <c r="F320" s="89">
        <v>296141.7</v>
      </c>
      <c r="G320" s="89">
        <v>360328.5</v>
      </c>
      <c r="H320" s="89">
        <v>268425.5</v>
      </c>
      <c r="I320" s="89">
        <v>323854.90000000002</v>
      </c>
      <c r="J320" s="88" t="s">
        <v>125</v>
      </c>
    </row>
    <row r="321" spans="1:10" x14ac:dyDescent="0.35">
      <c r="A321" s="85"/>
      <c r="B321" s="86"/>
      <c r="C321" s="86" t="s">
        <v>169</v>
      </c>
      <c r="D321" s="86" t="s">
        <v>207</v>
      </c>
      <c r="E321" s="89">
        <v>173032.8</v>
      </c>
      <c r="F321" s="89">
        <v>225669.4</v>
      </c>
      <c r="G321" s="89">
        <v>280616.2</v>
      </c>
      <c r="H321" s="89">
        <v>201715</v>
      </c>
      <c r="I321" s="89">
        <v>249620.3</v>
      </c>
      <c r="J321" s="88" t="s">
        <v>125</v>
      </c>
    </row>
    <row r="322" spans="1:10" x14ac:dyDescent="0.35">
      <c r="A322" s="85"/>
      <c r="B322" s="86" t="s">
        <v>189</v>
      </c>
      <c r="C322" s="86" t="s">
        <v>169</v>
      </c>
      <c r="D322" s="86" t="s">
        <v>208</v>
      </c>
      <c r="E322" s="89">
        <v>99515.17</v>
      </c>
      <c r="F322" s="89">
        <v>152821.70000000001</v>
      </c>
      <c r="G322" s="89">
        <v>203147.3</v>
      </c>
      <c r="H322" s="89">
        <v>131440.9</v>
      </c>
      <c r="I322" s="89">
        <v>174200.9</v>
      </c>
      <c r="J322" s="88" t="s">
        <v>125</v>
      </c>
    </row>
    <row r="323" spans="1:10" x14ac:dyDescent="0.35">
      <c r="A323" s="85"/>
      <c r="B323" s="86" t="s">
        <v>184</v>
      </c>
      <c r="C323" s="86" t="s">
        <v>169</v>
      </c>
      <c r="D323" s="86" t="s">
        <v>209</v>
      </c>
      <c r="E323" s="90">
        <v>45967.95</v>
      </c>
      <c r="F323" s="90">
        <v>63009.01</v>
      </c>
      <c r="G323" s="90">
        <v>82965.850000000006</v>
      </c>
      <c r="H323" s="90">
        <v>54234.95</v>
      </c>
      <c r="I323" s="90">
        <v>72137.789999999994</v>
      </c>
      <c r="J323" s="88" t="s">
        <v>125</v>
      </c>
    </row>
    <row r="324" spans="1:10" x14ac:dyDescent="0.35">
      <c r="A324" s="85"/>
      <c r="B324" s="86" t="s">
        <v>186</v>
      </c>
      <c r="C324" s="86" t="s">
        <v>169</v>
      </c>
      <c r="D324" s="86" t="s">
        <v>210</v>
      </c>
      <c r="E324" s="90">
        <v>258144.9</v>
      </c>
      <c r="F324" s="90">
        <v>380085.2</v>
      </c>
      <c r="G324" s="90">
        <v>532211.30000000005</v>
      </c>
      <c r="H324" s="90">
        <v>324082.8</v>
      </c>
      <c r="I324" s="90">
        <v>439251.9</v>
      </c>
      <c r="J324" s="88" t="s">
        <v>125</v>
      </c>
    </row>
    <row r="325" spans="1:10" x14ac:dyDescent="0.35">
      <c r="A325" s="85"/>
      <c r="B325" s="86"/>
      <c r="C325" s="86" t="s">
        <v>169</v>
      </c>
      <c r="D325" s="86" t="s">
        <v>211</v>
      </c>
      <c r="E325" s="90">
        <v>101163.6</v>
      </c>
      <c r="F325" s="90">
        <v>152899.5</v>
      </c>
      <c r="G325" s="90">
        <v>207602.3</v>
      </c>
      <c r="H325" s="90">
        <v>129091.1</v>
      </c>
      <c r="I325" s="90">
        <v>178069.9</v>
      </c>
      <c r="J325" s="88" t="s">
        <v>125</v>
      </c>
    </row>
    <row r="326" spans="1:10" x14ac:dyDescent="0.35">
      <c r="A326" s="85"/>
      <c r="B326" s="86" t="s">
        <v>189</v>
      </c>
      <c r="C326" s="86" t="s">
        <v>169</v>
      </c>
      <c r="D326" s="86" t="s">
        <v>212</v>
      </c>
      <c r="E326" s="90">
        <v>511.43</v>
      </c>
      <c r="F326" s="90">
        <v>807.5</v>
      </c>
      <c r="G326" s="90">
        <v>1188.27</v>
      </c>
      <c r="H326" s="90">
        <v>663.43</v>
      </c>
      <c r="I326" s="90">
        <v>961.9</v>
      </c>
      <c r="J326" s="88" t="s">
        <v>125</v>
      </c>
    </row>
    <row r="327" spans="1:10" x14ac:dyDescent="0.35">
      <c r="A327" s="85"/>
      <c r="B327" s="86"/>
      <c r="C327" s="86" t="s">
        <v>169</v>
      </c>
      <c r="D327" s="86" t="s">
        <v>213</v>
      </c>
      <c r="E327" s="90">
        <v>421952</v>
      </c>
      <c r="F327" s="90">
        <v>596801.1</v>
      </c>
      <c r="G327" s="90">
        <v>800876.8</v>
      </c>
      <c r="H327" s="90">
        <v>516943.8</v>
      </c>
      <c r="I327" s="90">
        <v>679851.1</v>
      </c>
      <c r="J327" s="88" t="s">
        <v>125</v>
      </c>
    </row>
    <row r="328" spans="1:10" x14ac:dyDescent="0.35">
      <c r="A328" s="85"/>
      <c r="B328" s="86" t="s">
        <v>70</v>
      </c>
      <c r="C328" s="86" t="s">
        <v>214</v>
      </c>
      <c r="D328" s="86" t="s">
        <v>215</v>
      </c>
      <c r="E328" s="87">
        <v>72538360</v>
      </c>
      <c r="F328" s="87">
        <v>129437000</v>
      </c>
      <c r="G328" s="87">
        <v>189368100</v>
      </c>
      <c r="H328" s="87">
        <v>104065600</v>
      </c>
      <c r="I328" s="87">
        <v>154805300</v>
      </c>
      <c r="J328" s="88" t="s">
        <v>125</v>
      </c>
    </row>
    <row r="329" spans="1:10" x14ac:dyDescent="0.35">
      <c r="A329" s="85"/>
      <c r="B329" s="86" t="s">
        <v>72</v>
      </c>
      <c r="C329" s="86" t="s">
        <v>214</v>
      </c>
      <c r="D329" s="86" t="s">
        <v>216</v>
      </c>
      <c r="E329" s="87">
        <v>571412900</v>
      </c>
      <c r="F329" s="87">
        <v>1019626000</v>
      </c>
      <c r="G329" s="87">
        <v>1491726000</v>
      </c>
      <c r="H329" s="87">
        <v>819765400</v>
      </c>
      <c r="I329" s="87">
        <v>1219462000</v>
      </c>
      <c r="J329" s="88" t="s">
        <v>125</v>
      </c>
    </row>
    <row r="330" spans="1:10" x14ac:dyDescent="0.35">
      <c r="A330" s="85"/>
      <c r="B330" s="86" t="s">
        <v>73</v>
      </c>
      <c r="C330" s="86" t="s">
        <v>214</v>
      </c>
      <c r="D330" s="86" t="s">
        <v>217</v>
      </c>
      <c r="E330" s="87">
        <v>814370400</v>
      </c>
      <c r="F330" s="87">
        <v>1453158000</v>
      </c>
      <c r="G330" s="87">
        <v>2125989000</v>
      </c>
      <c r="H330" s="87">
        <v>1168319000</v>
      </c>
      <c r="I330" s="87">
        <v>1737961000</v>
      </c>
      <c r="J330" s="88" t="s">
        <v>125</v>
      </c>
    </row>
    <row r="331" spans="1:10" x14ac:dyDescent="0.35">
      <c r="A331" s="85"/>
      <c r="B331" s="86" t="s">
        <v>75</v>
      </c>
      <c r="C331" s="86" t="s">
        <v>214</v>
      </c>
      <c r="D331" s="86" t="s">
        <v>218</v>
      </c>
      <c r="E331" s="87">
        <v>1450221000</v>
      </c>
      <c r="F331" s="87">
        <v>2587766000</v>
      </c>
      <c r="G331" s="87">
        <v>3785937000</v>
      </c>
      <c r="H331" s="87">
        <v>2080529000</v>
      </c>
      <c r="I331" s="87">
        <v>3094941000</v>
      </c>
      <c r="J331" s="88" t="s">
        <v>125</v>
      </c>
    </row>
    <row r="332" spans="1:10" x14ac:dyDescent="0.35">
      <c r="A332" s="85"/>
      <c r="B332" s="86" t="s">
        <v>76</v>
      </c>
      <c r="C332" s="86" t="s">
        <v>214</v>
      </c>
      <c r="D332" s="86" t="s">
        <v>219</v>
      </c>
      <c r="E332" s="87">
        <v>2689578000</v>
      </c>
      <c r="F332" s="87">
        <v>4799266000</v>
      </c>
      <c r="G332" s="87">
        <v>7021391000</v>
      </c>
      <c r="H332" s="87">
        <v>3858546000</v>
      </c>
      <c r="I332" s="87">
        <v>5739873000</v>
      </c>
      <c r="J332" s="88" t="s">
        <v>125</v>
      </c>
    </row>
    <row r="333" spans="1:10" x14ac:dyDescent="0.35">
      <c r="A333" s="85"/>
      <c r="B333" s="86" t="s">
        <v>77</v>
      </c>
      <c r="C333" s="86" t="s">
        <v>214</v>
      </c>
      <c r="D333" s="86" t="s">
        <v>220</v>
      </c>
      <c r="E333" s="87">
        <v>2688128000</v>
      </c>
      <c r="F333" s="87">
        <v>4796679000</v>
      </c>
      <c r="G333" s="87">
        <v>7017607000</v>
      </c>
      <c r="H333" s="87">
        <v>3856466000</v>
      </c>
      <c r="I333" s="87">
        <v>5736780000</v>
      </c>
      <c r="J333" s="88" t="s">
        <v>125</v>
      </c>
    </row>
    <row r="334" spans="1:10" x14ac:dyDescent="0.35">
      <c r="A334" s="85"/>
      <c r="B334" s="86" t="s">
        <v>78</v>
      </c>
      <c r="C334" s="86" t="s">
        <v>214</v>
      </c>
      <c r="D334" s="86" t="s">
        <v>221</v>
      </c>
      <c r="E334" s="87">
        <v>87440530</v>
      </c>
      <c r="F334" s="87">
        <v>156028300</v>
      </c>
      <c r="G334" s="87">
        <v>228271600</v>
      </c>
      <c r="H334" s="87">
        <v>125444700</v>
      </c>
      <c r="I334" s="87">
        <v>186608300</v>
      </c>
      <c r="J334" s="88" t="s">
        <v>125</v>
      </c>
    </row>
    <row r="335" spans="1:10" x14ac:dyDescent="0.35">
      <c r="A335" s="85"/>
      <c r="B335" s="86" t="s">
        <v>80</v>
      </c>
      <c r="C335" s="86" t="s">
        <v>214</v>
      </c>
      <c r="D335" s="86" t="s">
        <v>222</v>
      </c>
      <c r="E335" s="87">
        <v>8373689000</v>
      </c>
      <c r="F335" s="87">
        <v>14941960000</v>
      </c>
      <c r="G335" s="87">
        <v>21860290000</v>
      </c>
      <c r="H335" s="87">
        <v>12013140000</v>
      </c>
      <c r="I335" s="87">
        <v>17870430000</v>
      </c>
      <c r="J335" s="88" t="s">
        <v>125</v>
      </c>
    </row>
    <row r="336" spans="1:10" x14ac:dyDescent="0.35">
      <c r="A336" s="85"/>
      <c r="B336" s="86" t="s">
        <v>70</v>
      </c>
      <c r="C336" s="86" t="s">
        <v>214</v>
      </c>
      <c r="D336" s="86" t="s">
        <v>223</v>
      </c>
      <c r="E336" s="87">
        <v>101364300</v>
      </c>
      <c r="F336" s="87">
        <v>180873900</v>
      </c>
      <c r="G336" s="87">
        <v>264621000</v>
      </c>
      <c r="H336" s="87">
        <v>145420200</v>
      </c>
      <c r="I336" s="87">
        <v>216323300</v>
      </c>
      <c r="J336" s="88" t="s">
        <v>125</v>
      </c>
    </row>
    <row r="337" spans="1:10" x14ac:dyDescent="0.35">
      <c r="A337" s="85"/>
      <c r="B337" s="86" t="s">
        <v>72</v>
      </c>
      <c r="C337" s="86" t="s">
        <v>214</v>
      </c>
      <c r="D337" s="86" t="s">
        <v>224</v>
      </c>
      <c r="E337" s="87">
        <v>574166700</v>
      </c>
      <c r="F337" s="87">
        <v>1024539000</v>
      </c>
      <c r="G337" s="87">
        <v>1498915000</v>
      </c>
      <c r="H337" s="87">
        <v>823716000</v>
      </c>
      <c r="I337" s="87">
        <v>1225339000</v>
      </c>
      <c r="J337" s="88" t="s">
        <v>125</v>
      </c>
    </row>
    <row r="338" spans="1:10" x14ac:dyDescent="0.35">
      <c r="A338" s="85"/>
      <c r="B338" s="86" t="s">
        <v>73</v>
      </c>
      <c r="C338" s="86" t="s">
        <v>214</v>
      </c>
      <c r="D338" s="86" t="s">
        <v>225</v>
      </c>
      <c r="E338" s="87">
        <v>697412200</v>
      </c>
      <c r="F338" s="87">
        <v>1244458000</v>
      </c>
      <c r="G338" s="87">
        <v>1820659000</v>
      </c>
      <c r="H338" s="87">
        <v>1000528000</v>
      </c>
      <c r="I338" s="87">
        <v>1488359000</v>
      </c>
      <c r="J338" s="88" t="s">
        <v>125</v>
      </c>
    </row>
    <row r="339" spans="1:10" x14ac:dyDescent="0.35">
      <c r="A339" s="85"/>
      <c r="B339" s="86" t="s">
        <v>75</v>
      </c>
      <c r="C339" s="86" t="s">
        <v>214</v>
      </c>
      <c r="D339" s="86" t="s">
        <v>226</v>
      </c>
      <c r="E339" s="87">
        <v>766060200</v>
      </c>
      <c r="F339" s="87">
        <v>1366953000</v>
      </c>
      <c r="G339" s="87">
        <v>1999871000</v>
      </c>
      <c r="H339" s="87">
        <v>1099012000</v>
      </c>
      <c r="I339" s="87">
        <v>1634862000</v>
      </c>
      <c r="J339" s="88" t="s">
        <v>125</v>
      </c>
    </row>
    <row r="340" spans="1:10" x14ac:dyDescent="0.35">
      <c r="A340" s="85"/>
      <c r="B340" s="86" t="s">
        <v>76</v>
      </c>
      <c r="C340" s="86" t="s">
        <v>214</v>
      </c>
      <c r="D340" s="86" t="s">
        <v>227</v>
      </c>
      <c r="E340" s="87">
        <v>1477161000</v>
      </c>
      <c r="F340" s="87">
        <v>2635836000</v>
      </c>
      <c r="G340" s="87">
        <v>3856264000</v>
      </c>
      <c r="H340" s="87">
        <v>2119177000</v>
      </c>
      <c r="I340" s="87">
        <v>3152433000</v>
      </c>
      <c r="J340" s="88" t="s">
        <v>125</v>
      </c>
    </row>
    <row r="341" spans="1:10" x14ac:dyDescent="0.35">
      <c r="A341" s="85"/>
      <c r="B341" s="86" t="s">
        <v>77</v>
      </c>
      <c r="C341" s="86" t="s">
        <v>214</v>
      </c>
      <c r="D341" s="86" t="s">
        <v>228</v>
      </c>
      <c r="E341" s="87">
        <v>1133422000</v>
      </c>
      <c r="F341" s="87">
        <v>2022471000</v>
      </c>
      <c r="G341" s="87">
        <v>2958902000</v>
      </c>
      <c r="H341" s="87">
        <v>1626039000</v>
      </c>
      <c r="I341" s="87">
        <v>2418854000</v>
      </c>
      <c r="J341" s="88" t="s">
        <v>125</v>
      </c>
    </row>
    <row r="342" spans="1:10" x14ac:dyDescent="0.35">
      <c r="A342" s="85"/>
      <c r="B342" s="86" t="s">
        <v>78</v>
      </c>
      <c r="C342" s="86" t="s">
        <v>214</v>
      </c>
      <c r="D342" s="86" t="s">
        <v>229</v>
      </c>
      <c r="E342" s="87">
        <v>34430040</v>
      </c>
      <c r="F342" s="87">
        <v>61436740</v>
      </c>
      <c r="G342" s="87">
        <v>89882790</v>
      </c>
      <c r="H342" s="87">
        <v>49394320</v>
      </c>
      <c r="I342" s="87">
        <v>73477720</v>
      </c>
      <c r="J342" s="88" t="s">
        <v>125</v>
      </c>
    </row>
    <row r="343" spans="1:10" x14ac:dyDescent="0.35">
      <c r="A343" s="85"/>
      <c r="B343" s="86" t="s">
        <v>80</v>
      </c>
      <c r="C343" s="86" t="s">
        <v>214</v>
      </c>
      <c r="D343" s="86" t="s">
        <v>230</v>
      </c>
      <c r="E343" s="87">
        <v>4784016000</v>
      </c>
      <c r="F343" s="87">
        <v>8536568000</v>
      </c>
      <c r="G343" s="87">
        <v>12489110000</v>
      </c>
      <c r="H343" s="87">
        <v>6863287000</v>
      </c>
      <c r="I343" s="87">
        <v>10209650000</v>
      </c>
      <c r="J343" s="88" t="s">
        <v>125</v>
      </c>
    </row>
    <row r="344" spans="1:10" x14ac:dyDescent="0.35">
      <c r="A344" s="91"/>
      <c r="B344" s="92" t="s">
        <v>0</v>
      </c>
      <c r="C344" s="92" t="s">
        <v>214</v>
      </c>
      <c r="D344" s="92" t="s">
        <v>231</v>
      </c>
      <c r="E344" s="93">
        <v>13157.71</v>
      </c>
      <c r="F344" s="93">
        <v>23478.53</v>
      </c>
      <c r="G344" s="93">
        <v>34349.410000000003</v>
      </c>
      <c r="H344" s="93">
        <v>18876.419999999998</v>
      </c>
      <c r="I344" s="93">
        <v>28080.080000000002</v>
      </c>
      <c r="J344" s="94" t="s">
        <v>125</v>
      </c>
    </row>
    <row r="345" spans="1:10" x14ac:dyDescent="0.35">
      <c r="A345" s="79" t="s">
        <v>262</v>
      </c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1:10" x14ac:dyDescent="0.35">
      <c r="A346" s="81"/>
      <c r="B346" s="82" t="s">
        <v>122</v>
      </c>
      <c r="C346" s="82" t="s">
        <v>123</v>
      </c>
      <c r="D346" s="82" t="s">
        <v>124</v>
      </c>
      <c r="E346" s="83">
        <v>462353.1</v>
      </c>
      <c r="F346" s="83">
        <v>821679.7</v>
      </c>
      <c r="G346" s="83">
        <v>1185196</v>
      </c>
      <c r="H346" s="83">
        <v>660624.19999999995</v>
      </c>
      <c r="I346" s="83">
        <v>982716.4</v>
      </c>
      <c r="J346" s="84" t="s">
        <v>125</v>
      </c>
    </row>
    <row r="347" spans="1:10" x14ac:dyDescent="0.35">
      <c r="A347" s="85"/>
      <c r="B347" s="86" t="s">
        <v>126</v>
      </c>
      <c r="C347" s="86" t="s">
        <v>123</v>
      </c>
      <c r="D347" s="86" t="s">
        <v>127</v>
      </c>
      <c r="E347" s="87">
        <v>103253.3</v>
      </c>
      <c r="F347" s="87">
        <v>183498.7</v>
      </c>
      <c r="G347" s="87">
        <v>264679.7</v>
      </c>
      <c r="H347" s="87">
        <v>147531.5</v>
      </c>
      <c r="I347" s="87">
        <v>219461.6</v>
      </c>
      <c r="J347" s="88" t="s">
        <v>125</v>
      </c>
    </row>
    <row r="348" spans="1:10" x14ac:dyDescent="0.35">
      <c r="A348" s="85"/>
      <c r="B348" s="86" t="s">
        <v>128</v>
      </c>
      <c r="C348" s="86" t="s">
        <v>123</v>
      </c>
      <c r="D348" s="86" t="s">
        <v>129</v>
      </c>
      <c r="E348" s="87">
        <v>450343.8</v>
      </c>
      <c r="F348" s="87">
        <v>800337.2</v>
      </c>
      <c r="G348" s="87">
        <v>1154412</v>
      </c>
      <c r="H348" s="87">
        <v>643465</v>
      </c>
      <c r="I348" s="87">
        <v>957191.1</v>
      </c>
      <c r="J348" s="88" t="s">
        <v>125</v>
      </c>
    </row>
    <row r="349" spans="1:10" x14ac:dyDescent="0.35">
      <c r="A349" s="85"/>
      <c r="B349" s="86" t="s">
        <v>130</v>
      </c>
      <c r="C349" s="86" t="s">
        <v>123</v>
      </c>
      <c r="D349" s="86" t="s">
        <v>131</v>
      </c>
      <c r="E349" s="87">
        <v>40269.86</v>
      </c>
      <c r="F349" s="87">
        <v>71566.350000000006</v>
      </c>
      <c r="G349" s="87">
        <v>103227.8</v>
      </c>
      <c r="H349" s="87">
        <v>57538.8</v>
      </c>
      <c r="I349" s="87">
        <v>85592.27</v>
      </c>
      <c r="J349" s="88" t="s">
        <v>125</v>
      </c>
    </row>
    <row r="350" spans="1:10" x14ac:dyDescent="0.35">
      <c r="A350" s="85"/>
      <c r="B350" s="86" t="s">
        <v>132</v>
      </c>
      <c r="C350" s="86" t="s">
        <v>123</v>
      </c>
      <c r="D350" s="86" t="s">
        <v>133</v>
      </c>
      <c r="E350" s="87">
        <v>29390.12</v>
      </c>
      <c r="F350" s="87">
        <v>52231.21</v>
      </c>
      <c r="G350" s="87">
        <v>75338.66</v>
      </c>
      <c r="H350" s="87">
        <v>41993.5</v>
      </c>
      <c r="I350" s="87">
        <v>62467.74</v>
      </c>
      <c r="J350" s="88" t="s">
        <v>125</v>
      </c>
    </row>
    <row r="351" spans="1:10" x14ac:dyDescent="0.35">
      <c r="A351" s="85"/>
      <c r="B351" s="86" t="s">
        <v>134</v>
      </c>
      <c r="C351" s="86" t="s">
        <v>123</v>
      </c>
      <c r="D351" s="86" t="s">
        <v>135</v>
      </c>
      <c r="E351" s="87">
        <v>182528.2</v>
      </c>
      <c r="F351" s="87">
        <v>324383.5</v>
      </c>
      <c r="G351" s="87">
        <v>467893</v>
      </c>
      <c r="H351" s="87">
        <v>260801.9</v>
      </c>
      <c r="I351" s="87">
        <v>387957.8</v>
      </c>
      <c r="J351" s="88" t="s">
        <v>125</v>
      </c>
    </row>
    <row r="352" spans="1:10" x14ac:dyDescent="0.35">
      <c r="A352" s="85"/>
      <c r="B352" s="86" t="s">
        <v>136</v>
      </c>
      <c r="C352" s="86" t="s">
        <v>123</v>
      </c>
      <c r="D352" s="86" t="s">
        <v>137</v>
      </c>
      <c r="E352" s="89">
        <v>7683.53</v>
      </c>
      <c r="F352" s="89">
        <v>13654.94</v>
      </c>
      <c r="G352" s="89">
        <v>19695.98</v>
      </c>
      <c r="H352" s="89">
        <v>10978.47</v>
      </c>
      <c r="I352" s="89">
        <v>16331.1</v>
      </c>
      <c r="J352" s="88" t="s">
        <v>125</v>
      </c>
    </row>
    <row r="353" spans="1:10" x14ac:dyDescent="0.35">
      <c r="A353" s="85"/>
      <c r="B353" s="86" t="s">
        <v>138</v>
      </c>
      <c r="C353" s="86" t="s">
        <v>123</v>
      </c>
      <c r="D353" s="86" t="s">
        <v>139</v>
      </c>
      <c r="E353" s="90">
        <v>1887.71</v>
      </c>
      <c r="F353" s="90">
        <v>3354.78</v>
      </c>
      <c r="G353" s="90">
        <v>4838.96</v>
      </c>
      <c r="H353" s="90">
        <v>2697.22</v>
      </c>
      <c r="I353" s="90">
        <v>4012.26</v>
      </c>
      <c r="J353" s="88" t="s">
        <v>125</v>
      </c>
    </row>
    <row r="354" spans="1:10" x14ac:dyDescent="0.35">
      <c r="A354" s="85"/>
      <c r="B354" s="86" t="s">
        <v>140</v>
      </c>
      <c r="C354" s="86" t="s">
        <v>123</v>
      </c>
      <c r="D354" s="86" t="s">
        <v>141</v>
      </c>
      <c r="E354" s="90">
        <v>6635.62</v>
      </c>
      <c r="F354" s="90">
        <v>11792.61</v>
      </c>
      <c r="G354" s="90">
        <v>17009.75</v>
      </c>
      <c r="H354" s="90">
        <v>9481.17</v>
      </c>
      <c r="I354" s="90">
        <v>14103.79</v>
      </c>
      <c r="J354" s="88" t="s">
        <v>125</v>
      </c>
    </row>
    <row r="355" spans="1:10" x14ac:dyDescent="0.35">
      <c r="A355" s="85"/>
      <c r="B355" s="86" t="s">
        <v>142</v>
      </c>
      <c r="C355" s="86" t="s">
        <v>123</v>
      </c>
      <c r="D355" s="86" t="s">
        <v>143</v>
      </c>
      <c r="E355" s="90">
        <v>669.22</v>
      </c>
      <c r="F355" s="90">
        <v>1189.31</v>
      </c>
      <c r="G355" s="90">
        <v>1715.47</v>
      </c>
      <c r="H355" s="90">
        <v>956.2</v>
      </c>
      <c r="I355" s="90">
        <v>1422.4</v>
      </c>
      <c r="J355" s="88" t="s">
        <v>125</v>
      </c>
    </row>
    <row r="356" spans="1:10" x14ac:dyDescent="0.35">
      <c r="A356" s="85"/>
      <c r="B356" s="86" t="s">
        <v>144</v>
      </c>
      <c r="C356" s="86" t="s">
        <v>123</v>
      </c>
      <c r="D356" s="86" t="s">
        <v>145</v>
      </c>
      <c r="E356" s="90">
        <v>488.41</v>
      </c>
      <c r="F356" s="90">
        <v>868</v>
      </c>
      <c r="G356" s="90">
        <v>1252</v>
      </c>
      <c r="H356" s="90">
        <v>697.86</v>
      </c>
      <c r="I356" s="90">
        <v>1038.1099999999999</v>
      </c>
      <c r="J356" s="88" t="s">
        <v>125</v>
      </c>
    </row>
    <row r="357" spans="1:10" x14ac:dyDescent="0.35">
      <c r="A357" s="85"/>
      <c r="B357" s="86" t="s">
        <v>146</v>
      </c>
      <c r="C357" s="86" t="s">
        <v>123</v>
      </c>
      <c r="D357" s="86" t="s">
        <v>147</v>
      </c>
      <c r="E357" s="90">
        <v>1280.74</v>
      </c>
      <c r="F357" s="90">
        <v>2276.1</v>
      </c>
      <c r="G357" s="90">
        <v>3283.06</v>
      </c>
      <c r="H357" s="90">
        <v>1829.97</v>
      </c>
      <c r="I357" s="90">
        <v>2722.18</v>
      </c>
      <c r="J357" s="88" t="s">
        <v>125</v>
      </c>
    </row>
    <row r="358" spans="1:10" x14ac:dyDescent="0.35">
      <c r="A358" s="85"/>
      <c r="B358" s="86" t="s">
        <v>148</v>
      </c>
      <c r="C358" s="86" t="s">
        <v>123</v>
      </c>
      <c r="D358" s="86" t="s">
        <v>149</v>
      </c>
      <c r="E358" s="90">
        <v>18645.23</v>
      </c>
      <c r="F358" s="90">
        <v>33135.74</v>
      </c>
      <c r="G358" s="90">
        <v>47795.21</v>
      </c>
      <c r="H358" s="90">
        <v>26640.880000000001</v>
      </c>
      <c r="I358" s="90">
        <v>39629.839999999997</v>
      </c>
      <c r="J358" s="88" t="s">
        <v>125</v>
      </c>
    </row>
    <row r="359" spans="1:10" x14ac:dyDescent="0.35">
      <c r="A359" s="85"/>
      <c r="B359" s="86" t="s">
        <v>150</v>
      </c>
      <c r="C359" s="86" t="s">
        <v>151</v>
      </c>
      <c r="D359" s="86" t="s">
        <v>152</v>
      </c>
      <c r="E359" s="90">
        <v>18645.23</v>
      </c>
      <c r="F359" s="90">
        <v>33135.74</v>
      </c>
      <c r="G359" s="90">
        <v>47795.21</v>
      </c>
      <c r="H359" s="90">
        <v>26640.880000000001</v>
      </c>
      <c r="I359" s="90">
        <v>39629.839999999997</v>
      </c>
      <c r="J359" s="88" t="s">
        <v>125</v>
      </c>
    </row>
    <row r="360" spans="1:10" x14ac:dyDescent="0.35">
      <c r="A360" s="85"/>
      <c r="B360" s="86" t="s">
        <v>150</v>
      </c>
      <c r="C360" s="86" t="s">
        <v>151</v>
      </c>
      <c r="D360" s="86" t="s">
        <v>153</v>
      </c>
      <c r="E360" s="90">
        <v>3231.11</v>
      </c>
      <c r="F360" s="90">
        <v>3534</v>
      </c>
      <c r="G360" s="90">
        <v>3832.16</v>
      </c>
      <c r="H360" s="90">
        <v>3355.35</v>
      </c>
      <c r="I360" s="90">
        <v>3712.69</v>
      </c>
      <c r="J360" s="88" t="s">
        <v>125</v>
      </c>
    </row>
    <row r="361" spans="1:10" x14ac:dyDescent="0.35">
      <c r="A361" s="85"/>
      <c r="B361" s="86" t="s">
        <v>154</v>
      </c>
      <c r="C361" s="86" t="s">
        <v>151</v>
      </c>
      <c r="D361" s="86" t="s">
        <v>155</v>
      </c>
      <c r="E361" s="90">
        <v>13633.88</v>
      </c>
      <c r="F361" s="90">
        <v>14819.38</v>
      </c>
      <c r="G361" s="90">
        <v>16042.6</v>
      </c>
      <c r="H361" s="90">
        <v>14178.74</v>
      </c>
      <c r="I361" s="90">
        <v>15457.19</v>
      </c>
      <c r="J361" s="88" t="s">
        <v>125</v>
      </c>
    </row>
    <row r="362" spans="1:10" x14ac:dyDescent="0.35">
      <c r="A362" s="85"/>
      <c r="B362" s="86" t="s">
        <v>156</v>
      </c>
      <c r="C362" s="86" t="s">
        <v>151</v>
      </c>
      <c r="D362" s="86" t="s">
        <v>157</v>
      </c>
      <c r="E362" s="90">
        <v>21996.09</v>
      </c>
      <c r="F362" s="90">
        <v>32681.8</v>
      </c>
      <c r="G362" s="90">
        <v>43330.48</v>
      </c>
      <c r="H362" s="90">
        <v>27787.61</v>
      </c>
      <c r="I362" s="90">
        <v>37591.379999999997</v>
      </c>
      <c r="J362" s="88" t="s">
        <v>125</v>
      </c>
    </row>
    <row r="363" spans="1:10" x14ac:dyDescent="0.35">
      <c r="A363" s="85"/>
      <c r="B363" s="86" t="s">
        <v>158</v>
      </c>
      <c r="C363" s="86" t="s">
        <v>151</v>
      </c>
      <c r="D363" s="86" t="s">
        <v>159</v>
      </c>
      <c r="E363" s="90">
        <v>233462.8</v>
      </c>
      <c r="F363" s="90">
        <v>412685.4</v>
      </c>
      <c r="G363" s="90">
        <v>669393.6</v>
      </c>
      <c r="H363" s="90">
        <v>328575.3</v>
      </c>
      <c r="I363" s="90">
        <v>499411.3</v>
      </c>
      <c r="J363" s="88" t="s">
        <v>125</v>
      </c>
    </row>
    <row r="364" spans="1:10" x14ac:dyDescent="0.35">
      <c r="A364" s="85"/>
      <c r="B364" s="86" t="s">
        <v>160</v>
      </c>
      <c r="C364" s="86" t="s">
        <v>151</v>
      </c>
      <c r="D364" s="86" t="s">
        <v>161</v>
      </c>
      <c r="E364" s="90">
        <v>318750</v>
      </c>
      <c r="F364" s="90">
        <v>496856.3</v>
      </c>
      <c r="G364" s="90">
        <v>748849.4</v>
      </c>
      <c r="H364" s="90">
        <v>412372.3</v>
      </c>
      <c r="I364" s="90">
        <v>584042.6</v>
      </c>
      <c r="J364" s="88" t="s">
        <v>125</v>
      </c>
    </row>
    <row r="365" spans="1:10" x14ac:dyDescent="0.35">
      <c r="A365" s="85"/>
      <c r="B365" s="86" t="s">
        <v>162</v>
      </c>
      <c r="C365" s="86" t="s">
        <v>151</v>
      </c>
      <c r="D365" s="86" t="s">
        <v>163</v>
      </c>
      <c r="E365" s="90">
        <v>542941.80000000005</v>
      </c>
      <c r="F365" s="90">
        <v>549690.80000000005</v>
      </c>
      <c r="G365" s="90">
        <v>556434.30000000005</v>
      </c>
      <c r="H365" s="90">
        <v>544836.4</v>
      </c>
      <c r="I365" s="90">
        <v>554545.6</v>
      </c>
      <c r="J365" s="88" t="s">
        <v>125</v>
      </c>
    </row>
    <row r="366" spans="1:10" x14ac:dyDescent="0.35">
      <c r="A366" s="85"/>
      <c r="B366" s="86" t="s">
        <v>164</v>
      </c>
      <c r="C366" s="86" t="s">
        <v>151</v>
      </c>
      <c r="D366" s="86" t="s">
        <v>165</v>
      </c>
      <c r="E366" s="90">
        <v>869444.9</v>
      </c>
      <c r="F366" s="90">
        <v>1046547</v>
      </c>
      <c r="G366" s="90">
        <v>1299023</v>
      </c>
      <c r="H366" s="90">
        <v>961912.4</v>
      </c>
      <c r="I366" s="90">
        <v>1133796</v>
      </c>
      <c r="J366" s="88" t="s">
        <v>125</v>
      </c>
    </row>
    <row r="367" spans="1:10" x14ac:dyDescent="0.35">
      <c r="A367" s="85"/>
      <c r="B367" s="86" t="s">
        <v>150</v>
      </c>
      <c r="C367" s="86" t="s">
        <v>166</v>
      </c>
      <c r="D367" s="86" t="s">
        <v>152</v>
      </c>
      <c r="E367" s="90">
        <v>18645.23</v>
      </c>
      <c r="F367" s="90">
        <v>33135.74</v>
      </c>
      <c r="G367" s="90">
        <v>47795.21</v>
      </c>
      <c r="H367" s="90">
        <v>26640.880000000001</v>
      </c>
      <c r="I367" s="90">
        <v>39629.839999999997</v>
      </c>
      <c r="J367" s="88" t="s">
        <v>125</v>
      </c>
    </row>
    <row r="368" spans="1:10" x14ac:dyDescent="0.35">
      <c r="A368" s="85"/>
      <c r="B368" s="86" t="s">
        <v>150</v>
      </c>
      <c r="C368" s="86" t="s">
        <v>166</v>
      </c>
      <c r="D368" s="86" t="s">
        <v>153</v>
      </c>
      <c r="E368" s="90">
        <v>3238.43</v>
      </c>
      <c r="F368" s="90">
        <v>3534</v>
      </c>
      <c r="G368" s="90">
        <v>3832.07</v>
      </c>
      <c r="H368" s="90">
        <v>3354.63</v>
      </c>
      <c r="I368" s="90">
        <v>3713.09</v>
      </c>
      <c r="J368" s="88" t="s">
        <v>125</v>
      </c>
    </row>
    <row r="369" spans="1:10" x14ac:dyDescent="0.35">
      <c r="A369" s="85"/>
      <c r="B369" s="86" t="s">
        <v>156</v>
      </c>
      <c r="C369" s="86" t="s">
        <v>166</v>
      </c>
      <c r="D369" s="86" t="s">
        <v>157</v>
      </c>
      <c r="E369" s="90">
        <v>21990.91</v>
      </c>
      <c r="F369" s="90">
        <v>32681.8</v>
      </c>
      <c r="G369" s="90">
        <v>43274.75</v>
      </c>
      <c r="H369" s="90">
        <v>27792.45</v>
      </c>
      <c r="I369" s="90">
        <v>37591.699999999997</v>
      </c>
      <c r="J369" s="88" t="s">
        <v>125</v>
      </c>
    </row>
    <row r="370" spans="1:10" x14ac:dyDescent="0.35">
      <c r="A370" s="85"/>
      <c r="B370" s="86" t="s">
        <v>158</v>
      </c>
      <c r="C370" s="86" t="s">
        <v>166</v>
      </c>
      <c r="D370" s="86" t="s">
        <v>159</v>
      </c>
      <c r="E370" s="90">
        <v>109584.6</v>
      </c>
      <c r="F370" s="90">
        <v>193709.5</v>
      </c>
      <c r="G370" s="90">
        <v>314205.09999999998</v>
      </c>
      <c r="H370" s="90">
        <v>154229.29999999999</v>
      </c>
      <c r="I370" s="90">
        <v>234417.5</v>
      </c>
      <c r="J370" s="88" t="s">
        <v>125</v>
      </c>
    </row>
    <row r="371" spans="1:10" x14ac:dyDescent="0.35">
      <c r="A371" s="85"/>
      <c r="B371" s="86" t="s">
        <v>160</v>
      </c>
      <c r="C371" s="86" t="s">
        <v>166</v>
      </c>
      <c r="D371" s="86" t="s">
        <v>161</v>
      </c>
      <c r="E371" s="90">
        <v>189634.1</v>
      </c>
      <c r="F371" s="90">
        <v>277880.40000000002</v>
      </c>
      <c r="G371" s="90">
        <v>393567.5</v>
      </c>
      <c r="H371" s="90">
        <v>237581.5</v>
      </c>
      <c r="I371" s="90">
        <v>319380.2</v>
      </c>
      <c r="J371" s="88" t="s">
        <v>125</v>
      </c>
    </row>
    <row r="372" spans="1:10" x14ac:dyDescent="0.35">
      <c r="A372" s="85"/>
      <c r="B372" s="86" t="s">
        <v>162</v>
      </c>
      <c r="C372" s="86" t="s">
        <v>166</v>
      </c>
      <c r="D372" s="86" t="s">
        <v>163</v>
      </c>
      <c r="E372" s="90">
        <v>285239.09999999998</v>
      </c>
      <c r="F372" s="90">
        <v>291976.3</v>
      </c>
      <c r="G372" s="90">
        <v>298757.8</v>
      </c>
      <c r="H372" s="90">
        <v>287120.59999999998</v>
      </c>
      <c r="I372" s="90">
        <v>296830.40000000002</v>
      </c>
      <c r="J372" s="88" t="s">
        <v>125</v>
      </c>
    </row>
    <row r="373" spans="1:10" x14ac:dyDescent="0.35">
      <c r="A373" s="85"/>
      <c r="B373" s="86" t="s">
        <v>164</v>
      </c>
      <c r="C373" s="86" t="s">
        <v>166</v>
      </c>
      <c r="D373" s="86" t="s">
        <v>165</v>
      </c>
      <c r="E373" s="90">
        <v>481528.7</v>
      </c>
      <c r="F373" s="90">
        <v>569856.69999999995</v>
      </c>
      <c r="G373" s="90">
        <v>688218.4</v>
      </c>
      <c r="H373" s="90">
        <v>529196.6</v>
      </c>
      <c r="I373" s="90">
        <v>611783.5</v>
      </c>
      <c r="J373" s="88" t="s">
        <v>125</v>
      </c>
    </row>
    <row r="374" spans="1:10" x14ac:dyDescent="0.35">
      <c r="A374" s="85"/>
      <c r="B374" s="86" t="s">
        <v>150</v>
      </c>
      <c r="C374" s="86" t="s">
        <v>167</v>
      </c>
      <c r="D374" s="86" t="s">
        <v>152</v>
      </c>
      <c r="E374" s="90">
        <v>18645.23</v>
      </c>
      <c r="F374" s="90">
        <v>33135.74</v>
      </c>
      <c r="G374" s="90">
        <v>47795.21</v>
      </c>
      <c r="H374" s="90">
        <v>26640.880000000001</v>
      </c>
      <c r="I374" s="90">
        <v>39629.839999999997</v>
      </c>
      <c r="J374" s="88" t="s">
        <v>125</v>
      </c>
    </row>
    <row r="375" spans="1:10" x14ac:dyDescent="0.35">
      <c r="A375" s="85"/>
      <c r="B375" s="86" t="s">
        <v>150</v>
      </c>
      <c r="C375" s="86" t="s">
        <v>167</v>
      </c>
      <c r="D375" s="86" t="s">
        <v>153</v>
      </c>
      <c r="E375" s="90">
        <v>3219.72</v>
      </c>
      <c r="F375" s="90">
        <v>3534</v>
      </c>
      <c r="G375" s="90">
        <v>3836.6</v>
      </c>
      <c r="H375" s="90">
        <v>3355.23</v>
      </c>
      <c r="I375" s="90">
        <v>3712.96</v>
      </c>
      <c r="J375" s="88" t="s">
        <v>125</v>
      </c>
    </row>
    <row r="376" spans="1:10" x14ac:dyDescent="0.35">
      <c r="A376" s="85"/>
      <c r="B376" s="86" t="s">
        <v>156</v>
      </c>
      <c r="C376" s="86" t="s">
        <v>167</v>
      </c>
      <c r="D376" s="86" t="s">
        <v>157</v>
      </c>
      <c r="E376" s="90">
        <v>22072.880000000001</v>
      </c>
      <c r="F376" s="90">
        <v>32681.8</v>
      </c>
      <c r="G376" s="90">
        <v>43562.29</v>
      </c>
      <c r="H376" s="90">
        <v>27783.16</v>
      </c>
      <c r="I376" s="90">
        <v>37584.639999999999</v>
      </c>
      <c r="J376" s="88" t="s">
        <v>125</v>
      </c>
    </row>
    <row r="377" spans="1:10" x14ac:dyDescent="0.35">
      <c r="A377" s="85"/>
      <c r="B377" s="86" t="s">
        <v>158</v>
      </c>
      <c r="C377" s="86" t="s">
        <v>167</v>
      </c>
      <c r="D377" s="86" t="s">
        <v>159</v>
      </c>
      <c r="E377" s="90">
        <v>357340.9</v>
      </c>
      <c r="F377" s="90">
        <v>631661.4</v>
      </c>
      <c r="G377" s="90">
        <v>1024582</v>
      </c>
      <c r="H377" s="90">
        <v>502921.5</v>
      </c>
      <c r="I377" s="90">
        <v>764405</v>
      </c>
      <c r="J377" s="88" t="s">
        <v>125</v>
      </c>
    </row>
    <row r="378" spans="1:10" x14ac:dyDescent="0.35">
      <c r="A378" s="85"/>
      <c r="B378" s="86" t="s">
        <v>160</v>
      </c>
      <c r="C378" s="86" t="s">
        <v>167</v>
      </c>
      <c r="D378" s="86" t="s">
        <v>161</v>
      </c>
      <c r="E378" s="90">
        <v>444267.2</v>
      </c>
      <c r="F378" s="90">
        <v>715832.3</v>
      </c>
      <c r="G378" s="90">
        <v>1104638</v>
      </c>
      <c r="H378" s="90">
        <v>586708.69999999995</v>
      </c>
      <c r="I378" s="90">
        <v>848573.9</v>
      </c>
      <c r="J378" s="88" t="s">
        <v>125</v>
      </c>
    </row>
    <row r="379" spans="1:10" x14ac:dyDescent="0.35">
      <c r="A379" s="85"/>
      <c r="B379" s="86" t="s">
        <v>162</v>
      </c>
      <c r="C379" s="86" t="s">
        <v>167</v>
      </c>
      <c r="D379" s="86" t="s">
        <v>163</v>
      </c>
      <c r="E379" s="90">
        <v>795703.7</v>
      </c>
      <c r="F379" s="90">
        <v>802449.4</v>
      </c>
      <c r="G379" s="90">
        <v>809172.3</v>
      </c>
      <c r="H379" s="90">
        <v>797592.4</v>
      </c>
      <c r="I379" s="90">
        <v>807304.6</v>
      </c>
      <c r="J379" s="88" t="s">
        <v>125</v>
      </c>
    </row>
    <row r="380" spans="1:10" x14ac:dyDescent="0.35">
      <c r="A380" s="85"/>
      <c r="B380" s="86" t="s">
        <v>164</v>
      </c>
      <c r="C380" s="86" t="s">
        <v>167</v>
      </c>
      <c r="D380" s="86" t="s">
        <v>165</v>
      </c>
      <c r="E380" s="90">
        <v>1247022</v>
      </c>
      <c r="F380" s="90">
        <v>1518282</v>
      </c>
      <c r="G380" s="90">
        <v>1907283</v>
      </c>
      <c r="H380" s="90">
        <v>1389121</v>
      </c>
      <c r="I380" s="90">
        <v>1651255</v>
      </c>
      <c r="J380" s="88" t="s">
        <v>125</v>
      </c>
    </row>
    <row r="381" spans="1:10" x14ac:dyDescent="0.35">
      <c r="A381" s="85"/>
      <c r="B381" s="86" t="s">
        <v>168</v>
      </c>
      <c r="C381" s="86" t="s">
        <v>169</v>
      </c>
      <c r="D381" s="86" t="s">
        <v>170</v>
      </c>
      <c r="E381" s="86">
        <v>0.40614099999999997</v>
      </c>
      <c r="F381" s="86">
        <v>0.48800009999999999</v>
      </c>
      <c r="G381" s="86">
        <v>0.57498559999999999</v>
      </c>
      <c r="H381" s="86">
        <v>0.45099689999999998</v>
      </c>
      <c r="I381" s="86">
        <v>0.52499759999999995</v>
      </c>
      <c r="J381" s="88" t="s">
        <v>125</v>
      </c>
    </row>
    <row r="382" spans="1:10" x14ac:dyDescent="0.35">
      <c r="A382" s="85"/>
      <c r="B382" s="86" t="s">
        <v>171</v>
      </c>
      <c r="C382" s="86" t="s">
        <v>169</v>
      </c>
      <c r="D382" s="86" t="s">
        <v>172</v>
      </c>
      <c r="E382" s="86">
        <v>0.29446060000000002</v>
      </c>
      <c r="F382" s="86">
        <v>0.374</v>
      </c>
      <c r="G382" s="86">
        <v>0.45450220000000002</v>
      </c>
      <c r="H382" s="86">
        <v>0.3389971</v>
      </c>
      <c r="I382" s="86">
        <v>0.40899869999999999</v>
      </c>
      <c r="J382" s="88" t="s">
        <v>125</v>
      </c>
    </row>
    <row r="383" spans="1:10" x14ac:dyDescent="0.35">
      <c r="A383" s="85"/>
      <c r="B383" s="86" t="s">
        <v>56</v>
      </c>
      <c r="C383" s="86" t="s">
        <v>169</v>
      </c>
      <c r="D383" s="86" t="s">
        <v>173</v>
      </c>
      <c r="E383" s="86">
        <v>0.21373020000000001</v>
      </c>
      <c r="F383" s="86">
        <v>0.28499999999999998</v>
      </c>
      <c r="G383" s="86">
        <v>0.3533521</v>
      </c>
      <c r="H383" s="86">
        <v>0.25474829999999998</v>
      </c>
      <c r="I383" s="86">
        <v>0.31524740000000001</v>
      </c>
      <c r="J383" s="88" t="s">
        <v>125</v>
      </c>
    </row>
    <row r="384" spans="1:10" x14ac:dyDescent="0.35">
      <c r="A384" s="85"/>
      <c r="B384" s="86" t="s">
        <v>174</v>
      </c>
      <c r="C384" s="86" t="s">
        <v>169</v>
      </c>
      <c r="D384" s="86" t="s">
        <v>175</v>
      </c>
      <c r="E384" s="86">
        <v>0.13410369999999999</v>
      </c>
      <c r="F384" s="86">
        <v>0.193</v>
      </c>
      <c r="G384" s="86">
        <v>0.25208710000000001</v>
      </c>
      <c r="H384" s="86">
        <v>0.1659998</v>
      </c>
      <c r="I384" s="86">
        <v>0.21999769999999999</v>
      </c>
      <c r="J384" s="88" t="s">
        <v>125</v>
      </c>
    </row>
    <row r="385" spans="1:10" x14ac:dyDescent="0.35">
      <c r="A385" s="85"/>
      <c r="B385" s="86" t="s">
        <v>176</v>
      </c>
      <c r="C385" s="86" t="s">
        <v>169</v>
      </c>
      <c r="D385" s="86" t="s">
        <v>177</v>
      </c>
      <c r="E385" s="86">
        <v>98099.71</v>
      </c>
      <c r="F385" s="86">
        <v>172583.4</v>
      </c>
      <c r="G385" s="86">
        <v>263579.2</v>
      </c>
      <c r="H385" s="86">
        <v>138756.6</v>
      </c>
      <c r="I385" s="86">
        <v>206408.7</v>
      </c>
      <c r="J385" s="88" t="s">
        <v>125</v>
      </c>
    </row>
    <row r="386" spans="1:10" x14ac:dyDescent="0.35">
      <c r="A386" s="85"/>
      <c r="B386" s="86" t="s">
        <v>178</v>
      </c>
      <c r="C386" s="86" t="s">
        <v>169</v>
      </c>
      <c r="D386" s="86" t="s">
        <v>179</v>
      </c>
      <c r="E386" s="86">
        <v>772154.2</v>
      </c>
      <c r="F386" s="86">
        <v>1358424</v>
      </c>
      <c r="G386" s="86">
        <v>2074663</v>
      </c>
      <c r="H386" s="86">
        <v>1092169</v>
      </c>
      <c r="I386" s="86">
        <v>1624667</v>
      </c>
      <c r="J386" s="88" t="s">
        <v>125</v>
      </c>
    </row>
    <row r="387" spans="1:10" x14ac:dyDescent="0.35">
      <c r="A387" s="85"/>
      <c r="B387" s="86" t="s">
        <v>180</v>
      </c>
      <c r="C387" s="86" t="s">
        <v>169</v>
      </c>
      <c r="D387" s="86" t="s">
        <v>181</v>
      </c>
      <c r="E387" s="86">
        <v>407612.3</v>
      </c>
      <c r="F387" s="86">
        <v>717098.4</v>
      </c>
      <c r="G387" s="86">
        <v>1095193</v>
      </c>
      <c r="H387" s="86">
        <v>576544.9</v>
      </c>
      <c r="I387" s="86">
        <v>857645.1</v>
      </c>
      <c r="J387" s="88" t="s">
        <v>125</v>
      </c>
    </row>
    <row r="388" spans="1:10" x14ac:dyDescent="0.35">
      <c r="A388" s="85"/>
      <c r="B388" s="86" t="s">
        <v>182</v>
      </c>
      <c r="C388" s="86" t="s">
        <v>169</v>
      </c>
      <c r="D388" s="86" t="s">
        <v>183</v>
      </c>
      <c r="E388" s="86">
        <v>3178.808</v>
      </c>
      <c r="F388" s="86">
        <v>5592.3680000000004</v>
      </c>
      <c r="G388" s="86">
        <v>8540.9809999999998</v>
      </c>
      <c r="H388" s="86">
        <v>4496.2470000000003</v>
      </c>
      <c r="I388" s="86">
        <v>6688.4369999999999</v>
      </c>
      <c r="J388" s="88" t="s">
        <v>125</v>
      </c>
    </row>
    <row r="389" spans="1:10" x14ac:dyDescent="0.35">
      <c r="A389" s="85"/>
      <c r="B389" s="86" t="s">
        <v>184</v>
      </c>
      <c r="C389" s="86" t="s">
        <v>169</v>
      </c>
      <c r="D389" s="86" t="s">
        <v>185</v>
      </c>
      <c r="E389" s="89">
        <v>210106.5</v>
      </c>
      <c r="F389" s="89">
        <v>252454.2</v>
      </c>
      <c r="G389" s="89">
        <v>297453.90000000002</v>
      </c>
      <c r="H389" s="89">
        <v>233311.5</v>
      </c>
      <c r="I389" s="89">
        <v>271593.90000000002</v>
      </c>
      <c r="J389" s="88" t="s">
        <v>125</v>
      </c>
    </row>
    <row r="390" spans="1:10" x14ac:dyDescent="0.35">
      <c r="A390" s="85"/>
      <c r="B390" s="86" t="s">
        <v>186</v>
      </c>
      <c r="C390" s="86" t="s">
        <v>169</v>
      </c>
      <c r="D390" s="86" t="s">
        <v>187</v>
      </c>
      <c r="E390" s="90">
        <v>152331.6</v>
      </c>
      <c r="F390" s="90">
        <v>193479.2</v>
      </c>
      <c r="G390" s="90">
        <v>235125</v>
      </c>
      <c r="H390" s="90">
        <v>175371.4</v>
      </c>
      <c r="I390" s="90">
        <v>211584.9</v>
      </c>
      <c r="J390" s="88" t="s">
        <v>125</v>
      </c>
    </row>
    <row r="391" spans="1:10" x14ac:dyDescent="0.35">
      <c r="A391" s="85"/>
      <c r="B391" s="86"/>
      <c r="C391" s="86" t="s">
        <v>169</v>
      </c>
      <c r="D391" s="86" t="s">
        <v>188</v>
      </c>
      <c r="E391" s="89">
        <v>110567.8</v>
      </c>
      <c r="F391" s="89">
        <v>147437.29999999999</v>
      </c>
      <c r="G391" s="89">
        <v>182797.5</v>
      </c>
      <c r="H391" s="89">
        <v>131787.5</v>
      </c>
      <c r="I391" s="89">
        <v>163085.1</v>
      </c>
      <c r="J391" s="88" t="s">
        <v>125</v>
      </c>
    </row>
    <row r="392" spans="1:10" x14ac:dyDescent="0.35">
      <c r="A392" s="85"/>
      <c r="B392" s="86" t="s">
        <v>189</v>
      </c>
      <c r="C392" s="86" t="s">
        <v>169</v>
      </c>
      <c r="D392" s="86" t="s">
        <v>190</v>
      </c>
      <c r="E392" s="90">
        <v>69375.05</v>
      </c>
      <c r="F392" s="90">
        <v>99843.54</v>
      </c>
      <c r="G392" s="90">
        <v>130410.7</v>
      </c>
      <c r="H392" s="90">
        <v>85875.71</v>
      </c>
      <c r="I392" s="90">
        <v>113810.1</v>
      </c>
      <c r="J392" s="88" t="s">
        <v>125</v>
      </c>
    </row>
    <row r="393" spans="1:10" x14ac:dyDescent="0.35">
      <c r="A393" s="85"/>
      <c r="B393" s="86" t="s">
        <v>184</v>
      </c>
      <c r="C393" s="86" t="s">
        <v>169</v>
      </c>
      <c r="D393" s="86" t="s">
        <v>191</v>
      </c>
      <c r="E393" s="89">
        <v>23492.52</v>
      </c>
      <c r="F393" s="89">
        <v>43569.440000000002</v>
      </c>
      <c r="G393" s="89">
        <v>64821.1</v>
      </c>
      <c r="H393" s="89">
        <v>34573.230000000003</v>
      </c>
      <c r="I393" s="89">
        <v>52923.34</v>
      </c>
      <c r="J393" s="88" t="s">
        <v>125</v>
      </c>
    </row>
    <row r="394" spans="1:10" x14ac:dyDescent="0.35">
      <c r="A394" s="85"/>
      <c r="B394" s="86" t="s">
        <v>186</v>
      </c>
      <c r="C394" s="86" t="s">
        <v>169</v>
      </c>
      <c r="D394" s="86" t="s">
        <v>192</v>
      </c>
      <c r="E394" s="89">
        <v>142244.6</v>
      </c>
      <c r="F394" s="89">
        <v>262830</v>
      </c>
      <c r="G394" s="89">
        <v>426827.7</v>
      </c>
      <c r="H394" s="89">
        <v>207043.7</v>
      </c>
      <c r="I394" s="89">
        <v>321687.40000000002</v>
      </c>
      <c r="J394" s="88" t="s">
        <v>125</v>
      </c>
    </row>
    <row r="395" spans="1:10" x14ac:dyDescent="0.35">
      <c r="A395" s="85"/>
      <c r="B395" s="86"/>
      <c r="C395" s="86" t="s">
        <v>169</v>
      </c>
      <c r="D395" s="86" t="s">
        <v>193</v>
      </c>
      <c r="E395" s="89">
        <v>53777.59</v>
      </c>
      <c r="F395" s="89">
        <v>105727.6</v>
      </c>
      <c r="G395" s="89">
        <v>179181.2</v>
      </c>
      <c r="H395" s="89">
        <v>82746.83</v>
      </c>
      <c r="I395" s="89">
        <v>129881.9</v>
      </c>
      <c r="J395" s="88" t="s">
        <v>125</v>
      </c>
    </row>
    <row r="396" spans="1:10" x14ac:dyDescent="0.35">
      <c r="A396" s="85"/>
      <c r="B396" s="86" t="s">
        <v>189</v>
      </c>
      <c r="C396" s="86" t="s">
        <v>169</v>
      </c>
      <c r="D396" s="86" t="s">
        <v>194</v>
      </c>
      <c r="E396" s="89">
        <v>304.93</v>
      </c>
      <c r="F396" s="89">
        <v>558.37</v>
      </c>
      <c r="G396" s="89">
        <v>896.52</v>
      </c>
      <c r="H396" s="89">
        <v>429.11</v>
      </c>
      <c r="I396" s="89">
        <v>698.66</v>
      </c>
      <c r="J396" s="88" t="s">
        <v>125</v>
      </c>
    </row>
    <row r="397" spans="1:10" x14ac:dyDescent="0.35">
      <c r="A397" s="85"/>
      <c r="B397" s="86"/>
      <c r="C397" s="86" t="s">
        <v>169</v>
      </c>
      <c r="D397" s="86" t="s">
        <v>195</v>
      </c>
      <c r="E397" s="89">
        <v>233462.8</v>
      </c>
      <c r="F397" s="89">
        <v>412685.4</v>
      </c>
      <c r="G397" s="89">
        <v>669393.6</v>
      </c>
      <c r="H397" s="89">
        <v>328575.3</v>
      </c>
      <c r="I397" s="89">
        <v>499411.3</v>
      </c>
      <c r="J397" s="88" t="s">
        <v>125</v>
      </c>
    </row>
    <row r="398" spans="1:10" x14ac:dyDescent="0.35">
      <c r="A398" s="85"/>
      <c r="B398" s="86" t="s">
        <v>184</v>
      </c>
      <c r="C398" s="86" t="s">
        <v>169</v>
      </c>
      <c r="D398" s="86" t="s">
        <v>196</v>
      </c>
      <c r="E398" s="89">
        <v>98621.42</v>
      </c>
      <c r="F398" s="89">
        <v>118498.9</v>
      </c>
      <c r="G398" s="89">
        <v>139621.20000000001</v>
      </c>
      <c r="H398" s="89">
        <v>109513.60000000001</v>
      </c>
      <c r="I398" s="89">
        <v>127482.8</v>
      </c>
      <c r="J398" s="88" t="s">
        <v>125</v>
      </c>
    </row>
    <row r="399" spans="1:10" x14ac:dyDescent="0.35">
      <c r="A399" s="85"/>
      <c r="B399" s="86" t="s">
        <v>186</v>
      </c>
      <c r="C399" s="86" t="s">
        <v>169</v>
      </c>
      <c r="D399" s="86" t="s">
        <v>197</v>
      </c>
      <c r="E399" s="89">
        <v>71502.570000000007</v>
      </c>
      <c r="F399" s="89">
        <v>90816.77</v>
      </c>
      <c r="G399" s="89">
        <v>110364.8</v>
      </c>
      <c r="H399" s="89">
        <v>82317.179999999993</v>
      </c>
      <c r="I399" s="89">
        <v>99315.35</v>
      </c>
      <c r="J399" s="88" t="s">
        <v>125</v>
      </c>
    </row>
    <row r="400" spans="1:10" x14ac:dyDescent="0.35">
      <c r="A400" s="85"/>
      <c r="B400" s="86"/>
      <c r="C400" s="86" t="s">
        <v>169</v>
      </c>
      <c r="D400" s="86" t="s">
        <v>198</v>
      </c>
      <c r="E400" s="89">
        <v>51899.17</v>
      </c>
      <c r="F400" s="89">
        <v>69205.289999999994</v>
      </c>
      <c r="G400" s="89">
        <v>85802.92</v>
      </c>
      <c r="H400" s="89">
        <v>61859.41</v>
      </c>
      <c r="I400" s="89">
        <v>76550.13</v>
      </c>
      <c r="J400" s="88" t="s">
        <v>125</v>
      </c>
    </row>
    <row r="401" spans="1:10" x14ac:dyDescent="0.35">
      <c r="A401" s="85"/>
      <c r="B401" s="86" t="s">
        <v>189</v>
      </c>
      <c r="C401" s="86" t="s">
        <v>169</v>
      </c>
      <c r="D401" s="86" t="s">
        <v>199</v>
      </c>
      <c r="E401" s="89">
        <v>32563.8</v>
      </c>
      <c r="F401" s="89">
        <v>46865.34</v>
      </c>
      <c r="G401" s="89">
        <v>61213.2</v>
      </c>
      <c r="H401" s="89">
        <v>40309.01</v>
      </c>
      <c r="I401" s="89">
        <v>53421.06</v>
      </c>
      <c r="J401" s="88" t="s">
        <v>125</v>
      </c>
    </row>
    <row r="402" spans="1:10" x14ac:dyDescent="0.35">
      <c r="A402" s="85"/>
      <c r="B402" s="86" t="s">
        <v>184</v>
      </c>
      <c r="C402" s="86" t="s">
        <v>169</v>
      </c>
      <c r="D402" s="86" t="s">
        <v>200</v>
      </c>
      <c r="E402" s="90">
        <v>11027.1</v>
      </c>
      <c r="F402" s="90">
        <v>20450.96</v>
      </c>
      <c r="G402" s="90">
        <v>30426.23</v>
      </c>
      <c r="H402" s="90">
        <v>16228.25</v>
      </c>
      <c r="I402" s="90">
        <v>24841.57</v>
      </c>
      <c r="J402" s="88" t="s">
        <v>125</v>
      </c>
    </row>
    <row r="403" spans="1:10" x14ac:dyDescent="0.35">
      <c r="A403" s="85"/>
      <c r="B403" s="86" t="s">
        <v>186</v>
      </c>
      <c r="C403" s="86" t="s">
        <v>169</v>
      </c>
      <c r="D403" s="86" t="s">
        <v>201</v>
      </c>
      <c r="E403" s="90">
        <v>66767.899999999994</v>
      </c>
      <c r="F403" s="90">
        <v>123369.2</v>
      </c>
      <c r="G403" s="90">
        <v>200347.7</v>
      </c>
      <c r="H403" s="90">
        <v>97183.78</v>
      </c>
      <c r="I403" s="90">
        <v>150996.1</v>
      </c>
      <c r="J403" s="88" t="s">
        <v>125</v>
      </c>
    </row>
    <row r="404" spans="1:10" x14ac:dyDescent="0.35">
      <c r="A404" s="85"/>
      <c r="B404" s="86"/>
      <c r="C404" s="86" t="s">
        <v>169</v>
      </c>
      <c r="D404" s="86" t="s">
        <v>202</v>
      </c>
      <c r="E404" s="90">
        <v>25242.54</v>
      </c>
      <c r="F404" s="90">
        <v>49627.25</v>
      </c>
      <c r="G404" s="90">
        <v>84105.44</v>
      </c>
      <c r="H404" s="90">
        <v>38840.35</v>
      </c>
      <c r="I404" s="90">
        <v>60964.99</v>
      </c>
      <c r="J404" s="88" t="s">
        <v>125</v>
      </c>
    </row>
    <row r="405" spans="1:10" x14ac:dyDescent="0.35">
      <c r="A405" s="85"/>
      <c r="B405" s="86" t="s">
        <v>189</v>
      </c>
      <c r="C405" s="86" t="s">
        <v>169</v>
      </c>
      <c r="D405" s="86" t="s">
        <v>203</v>
      </c>
      <c r="E405" s="90">
        <v>143.13</v>
      </c>
      <c r="F405" s="90">
        <v>262.08999999999997</v>
      </c>
      <c r="G405" s="90">
        <v>420.82</v>
      </c>
      <c r="H405" s="90">
        <v>201.42</v>
      </c>
      <c r="I405" s="90">
        <v>327.94</v>
      </c>
      <c r="J405" s="88" t="s">
        <v>125</v>
      </c>
    </row>
    <row r="406" spans="1:10" x14ac:dyDescent="0.35">
      <c r="A406" s="85"/>
      <c r="B406" s="86"/>
      <c r="C406" s="86" t="s">
        <v>169</v>
      </c>
      <c r="D406" s="86" t="s">
        <v>204</v>
      </c>
      <c r="E406" s="90">
        <v>109584.6</v>
      </c>
      <c r="F406" s="90">
        <v>193709.5</v>
      </c>
      <c r="G406" s="90">
        <v>314205.09999999998</v>
      </c>
      <c r="H406" s="90">
        <v>154229.29999999999</v>
      </c>
      <c r="I406" s="90">
        <v>234417.5</v>
      </c>
      <c r="J406" s="88" t="s">
        <v>125</v>
      </c>
    </row>
    <row r="407" spans="1:10" x14ac:dyDescent="0.35">
      <c r="A407" s="85"/>
      <c r="B407" s="86" t="s">
        <v>184</v>
      </c>
      <c r="C407" s="86" t="s">
        <v>169</v>
      </c>
      <c r="D407" s="86" t="s">
        <v>205</v>
      </c>
      <c r="E407" s="89">
        <v>321591.59999999998</v>
      </c>
      <c r="F407" s="89">
        <v>386409.5</v>
      </c>
      <c r="G407" s="89">
        <v>455286.5</v>
      </c>
      <c r="H407" s="89">
        <v>357109.5</v>
      </c>
      <c r="I407" s="89">
        <v>415704.9</v>
      </c>
      <c r="J407" s="88" t="s">
        <v>125</v>
      </c>
    </row>
    <row r="408" spans="1:10" x14ac:dyDescent="0.35">
      <c r="A408" s="85"/>
      <c r="B408" s="86" t="s">
        <v>186</v>
      </c>
      <c r="C408" s="86" t="s">
        <v>169</v>
      </c>
      <c r="D408" s="86" t="s">
        <v>206</v>
      </c>
      <c r="E408" s="89">
        <v>233160.5</v>
      </c>
      <c r="F408" s="89">
        <v>296141.7</v>
      </c>
      <c r="G408" s="89">
        <v>359885.1</v>
      </c>
      <c r="H408" s="89">
        <v>268425.59999999998</v>
      </c>
      <c r="I408" s="89">
        <v>323854.40000000002</v>
      </c>
      <c r="J408" s="88" t="s">
        <v>125</v>
      </c>
    </row>
    <row r="409" spans="1:10" x14ac:dyDescent="0.35">
      <c r="A409" s="85"/>
      <c r="B409" s="86"/>
      <c r="C409" s="86" t="s">
        <v>169</v>
      </c>
      <c r="D409" s="86" t="s">
        <v>207</v>
      </c>
      <c r="E409" s="89">
        <v>169236.4</v>
      </c>
      <c r="F409" s="89">
        <v>225669.4</v>
      </c>
      <c r="G409" s="89">
        <v>279792.2</v>
      </c>
      <c r="H409" s="89">
        <v>201715.5</v>
      </c>
      <c r="I409" s="89">
        <v>249620</v>
      </c>
      <c r="J409" s="88" t="s">
        <v>125</v>
      </c>
    </row>
    <row r="410" spans="1:10" x14ac:dyDescent="0.35">
      <c r="A410" s="85"/>
      <c r="B410" s="86" t="s">
        <v>189</v>
      </c>
      <c r="C410" s="86" t="s">
        <v>169</v>
      </c>
      <c r="D410" s="86" t="s">
        <v>208</v>
      </c>
      <c r="E410" s="89">
        <v>106186.3</v>
      </c>
      <c r="F410" s="89">
        <v>152821.79999999999</v>
      </c>
      <c r="G410" s="89">
        <v>199608.3</v>
      </c>
      <c r="H410" s="89">
        <v>131442.4</v>
      </c>
      <c r="I410" s="89">
        <v>174199.1</v>
      </c>
      <c r="J410" s="88" t="s">
        <v>125</v>
      </c>
    </row>
    <row r="411" spans="1:10" x14ac:dyDescent="0.35">
      <c r="A411" s="85"/>
      <c r="B411" s="86" t="s">
        <v>184</v>
      </c>
      <c r="C411" s="86" t="s">
        <v>169</v>
      </c>
      <c r="D411" s="86" t="s">
        <v>209</v>
      </c>
      <c r="E411" s="90">
        <v>35957.93</v>
      </c>
      <c r="F411" s="90">
        <v>66687.91</v>
      </c>
      <c r="G411" s="90">
        <v>99215.98</v>
      </c>
      <c r="H411" s="90">
        <v>52918.21</v>
      </c>
      <c r="I411" s="90">
        <v>81005.119999999995</v>
      </c>
      <c r="J411" s="88" t="s">
        <v>125</v>
      </c>
    </row>
    <row r="412" spans="1:10" x14ac:dyDescent="0.35">
      <c r="A412" s="85"/>
      <c r="B412" s="86" t="s">
        <v>186</v>
      </c>
      <c r="C412" s="86" t="s">
        <v>169</v>
      </c>
      <c r="D412" s="86" t="s">
        <v>210</v>
      </c>
      <c r="E412" s="90">
        <v>217721.4</v>
      </c>
      <c r="F412" s="90">
        <v>402290.8</v>
      </c>
      <c r="G412" s="90">
        <v>653307.6</v>
      </c>
      <c r="H412" s="90">
        <v>316903.7</v>
      </c>
      <c r="I412" s="90">
        <v>492378.7</v>
      </c>
      <c r="J412" s="88" t="s">
        <v>125</v>
      </c>
    </row>
    <row r="413" spans="1:10" x14ac:dyDescent="0.35">
      <c r="A413" s="85"/>
      <c r="B413" s="86"/>
      <c r="C413" s="86" t="s">
        <v>169</v>
      </c>
      <c r="D413" s="86" t="s">
        <v>211</v>
      </c>
      <c r="E413" s="90">
        <v>82312.63</v>
      </c>
      <c r="F413" s="90">
        <v>161828</v>
      </c>
      <c r="G413" s="90">
        <v>274256.90000000002</v>
      </c>
      <c r="H413" s="90">
        <v>126653.3</v>
      </c>
      <c r="I413" s="90">
        <v>198798.9</v>
      </c>
      <c r="J413" s="88" t="s">
        <v>125</v>
      </c>
    </row>
    <row r="414" spans="1:10" x14ac:dyDescent="0.35">
      <c r="A414" s="85"/>
      <c r="B414" s="86" t="s">
        <v>189</v>
      </c>
      <c r="C414" s="86" t="s">
        <v>169</v>
      </c>
      <c r="D414" s="86" t="s">
        <v>212</v>
      </c>
      <c r="E414" s="90">
        <v>466.74</v>
      </c>
      <c r="F414" s="90">
        <v>854.64</v>
      </c>
      <c r="G414" s="90">
        <v>1372.23</v>
      </c>
      <c r="H414" s="90">
        <v>656.79</v>
      </c>
      <c r="I414" s="90">
        <v>1069.3800000000001</v>
      </c>
      <c r="J414" s="88" t="s">
        <v>125</v>
      </c>
    </row>
    <row r="415" spans="1:10" x14ac:dyDescent="0.35">
      <c r="A415" s="85"/>
      <c r="B415" s="86"/>
      <c r="C415" s="86" t="s">
        <v>169</v>
      </c>
      <c r="D415" s="86" t="s">
        <v>213</v>
      </c>
      <c r="E415" s="90">
        <v>357340.9</v>
      </c>
      <c r="F415" s="90">
        <v>631661.4</v>
      </c>
      <c r="G415" s="90">
        <v>1024582</v>
      </c>
      <c r="H415" s="90">
        <v>502921.5</v>
      </c>
      <c r="I415" s="90">
        <v>764405</v>
      </c>
      <c r="J415" s="88" t="s">
        <v>125</v>
      </c>
    </row>
    <row r="416" spans="1:10" x14ac:dyDescent="0.35">
      <c r="A416" s="85"/>
      <c r="B416" s="86" t="s">
        <v>70</v>
      </c>
      <c r="C416" s="86" t="s">
        <v>214</v>
      </c>
      <c r="D416" s="86" t="s">
        <v>215</v>
      </c>
      <c r="E416" s="87">
        <v>77059110</v>
      </c>
      <c r="F416" s="87">
        <v>136994500</v>
      </c>
      <c r="G416" s="87">
        <v>197110300</v>
      </c>
      <c r="H416" s="87">
        <v>110141800</v>
      </c>
      <c r="I416" s="87">
        <v>163844300</v>
      </c>
      <c r="J416" s="88" t="s">
        <v>125</v>
      </c>
    </row>
    <row r="417" spans="1:10" x14ac:dyDescent="0.35">
      <c r="A417" s="85"/>
      <c r="B417" s="86" t="s">
        <v>72</v>
      </c>
      <c r="C417" s="86" t="s">
        <v>214</v>
      </c>
      <c r="D417" s="86" t="s">
        <v>216</v>
      </c>
      <c r="E417" s="87">
        <v>607024500</v>
      </c>
      <c r="F417" s="87">
        <v>1079159000</v>
      </c>
      <c r="G417" s="87">
        <v>1552714000</v>
      </c>
      <c r="H417" s="87">
        <v>867629700</v>
      </c>
      <c r="I417" s="87">
        <v>1290665000</v>
      </c>
      <c r="J417" s="88" t="s">
        <v>125</v>
      </c>
    </row>
    <row r="418" spans="1:10" x14ac:dyDescent="0.35">
      <c r="A418" s="85"/>
      <c r="B418" s="86" t="s">
        <v>73</v>
      </c>
      <c r="C418" s="86" t="s">
        <v>214</v>
      </c>
      <c r="D418" s="86" t="s">
        <v>217</v>
      </c>
      <c r="E418" s="87">
        <v>865123700</v>
      </c>
      <c r="F418" s="87">
        <v>1538004000</v>
      </c>
      <c r="G418" s="87">
        <v>2212909000</v>
      </c>
      <c r="H418" s="87">
        <v>1236535000</v>
      </c>
      <c r="I418" s="87">
        <v>1839439000</v>
      </c>
      <c r="J418" s="88" t="s">
        <v>125</v>
      </c>
    </row>
    <row r="419" spans="1:10" x14ac:dyDescent="0.35">
      <c r="A419" s="85"/>
      <c r="B419" s="86" t="s">
        <v>75</v>
      </c>
      <c r="C419" s="86" t="s">
        <v>214</v>
      </c>
      <c r="D419" s="86" t="s">
        <v>218</v>
      </c>
      <c r="E419" s="87">
        <v>1540602000</v>
      </c>
      <c r="F419" s="87">
        <v>2738859000</v>
      </c>
      <c r="G419" s="87">
        <v>3940722000</v>
      </c>
      <c r="H419" s="87">
        <v>2202007000</v>
      </c>
      <c r="I419" s="87">
        <v>3275652000</v>
      </c>
      <c r="J419" s="88" t="s">
        <v>125</v>
      </c>
    </row>
    <row r="420" spans="1:10" x14ac:dyDescent="0.35">
      <c r="A420" s="85"/>
      <c r="B420" s="86" t="s">
        <v>76</v>
      </c>
      <c r="C420" s="86" t="s">
        <v>214</v>
      </c>
      <c r="D420" s="86" t="s">
        <v>219</v>
      </c>
      <c r="E420" s="87">
        <v>2857198000</v>
      </c>
      <c r="F420" s="87">
        <v>5079483000</v>
      </c>
      <c r="G420" s="87">
        <v>7308456000</v>
      </c>
      <c r="H420" s="87">
        <v>4083838000</v>
      </c>
      <c r="I420" s="87">
        <v>6075019000</v>
      </c>
      <c r="J420" s="88" t="s">
        <v>125</v>
      </c>
    </row>
    <row r="421" spans="1:10" x14ac:dyDescent="0.35">
      <c r="A421" s="85"/>
      <c r="B421" s="86" t="s">
        <v>77</v>
      </c>
      <c r="C421" s="86" t="s">
        <v>214</v>
      </c>
      <c r="D421" s="86" t="s">
        <v>220</v>
      </c>
      <c r="E421" s="87">
        <v>2855658000</v>
      </c>
      <c r="F421" s="87">
        <v>5076746000</v>
      </c>
      <c r="G421" s="87">
        <v>7304518000</v>
      </c>
      <c r="H421" s="87">
        <v>4081637000</v>
      </c>
      <c r="I421" s="87">
        <v>6071745000</v>
      </c>
      <c r="J421" s="88" t="s">
        <v>125</v>
      </c>
    </row>
    <row r="422" spans="1:10" x14ac:dyDescent="0.35">
      <c r="A422" s="85"/>
      <c r="B422" s="86" t="s">
        <v>78</v>
      </c>
      <c r="C422" s="86" t="s">
        <v>214</v>
      </c>
      <c r="D422" s="86" t="s">
        <v>221</v>
      </c>
      <c r="E422" s="87">
        <v>92890010</v>
      </c>
      <c r="F422" s="87">
        <v>165138400</v>
      </c>
      <c r="G422" s="87">
        <v>237604300</v>
      </c>
      <c r="H422" s="87">
        <v>132769100</v>
      </c>
      <c r="I422" s="87">
        <v>197504200</v>
      </c>
      <c r="J422" s="88" t="s">
        <v>125</v>
      </c>
    </row>
    <row r="423" spans="1:10" x14ac:dyDescent="0.35">
      <c r="A423" s="85"/>
      <c r="B423" s="86" t="s">
        <v>80</v>
      </c>
      <c r="C423" s="86" t="s">
        <v>214</v>
      </c>
      <c r="D423" s="86" t="s">
        <v>222</v>
      </c>
      <c r="E423" s="87">
        <v>8895556000</v>
      </c>
      <c r="F423" s="87">
        <v>15814380000</v>
      </c>
      <c r="G423" s="87">
        <v>22754030000</v>
      </c>
      <c r="H423" s="87">
        <v>12714560000</v>
      </c>
      <c r="I423" s="87">
        <v>18913870000</v>
      </c>
      <c r="J423" s="88" t="s">
        <v>125</v>
      </c>
    </row>
    <row r="424" spans="1:10" x14ac:dyDescent="0.35">
      <c r="A424" s="85"/>
      <c r="B424" s="86" t="s">
        <v>70</v>
      </c>
      <c r="C424" s="86" t="s">
        <v>214</v>
      </c>
      <c r="D424" s="86" t="s">
        <v>223</v>
      </c>
      <c r="E424" s="87">
        <v>107681600</v>
      </c>
      <c r="F424" s="87">
        <v>191434700</v>
      </c>
      <c r="G424" s="87">
        <v>275439800</v>
      </c>
      <c r="H424" s="87">
        <v>153911000</v>
      </c>
      <c r="I424" s="87">
        <v>228954300</v>
      </c>
      <c r="J424" s="88" t="s">
        <v>125</v>
      </c>
    </row>
    <row r="425" spans="1:10" x14ac:dyDescent="0.35">
      <c r="A425" s="85"/>
      <c r="B425" s="86" t="s">
        <v>72</v>
      </c>
      <c r="C425" s="86" t="s">
        <v>214</v>
      </c>
      <c r="D425" s="86" t="s">
        <v>224</v>
      </c>
      <c r="E425" s="87">
        <v>609950000</v>
      </c>
      <c r="F425" s="87">
        <v>1084360000</v>
      </c>
      <c r="G425" s="87">
        <v>1560197000</v>
      </c>
      <c r="H425" s="87">
        <v>871811000</v>
      </c>
      <c r="I425" s="87">
        <v>1296885000</v>
      </c>
      <c r="J425" s="88" t="s">
        <v>125</v>
      </c>
    </row>
    <row r="426" spans="1:10" x14ac:dyDescent="0.35">
      <c r="A426" s="85"/>
      <c r="B426" s="86" t="s">
        <v>73</v>
      </c>
      <c r="C426" s="86" t="s">
        <v>214</v>
      </c>
      <c r="D426" s="86" t="s">
        <v>225</v>
      </c>
      <c r="E426" s="87">
        <v>740876400</v>
      </c>
      <c r="F426" s="87">
        <v>1317119000</v>
      </c>
      <c r="G426" s="87">
        <v>1895096000</v>
      </c>
      <c r="H426" s="87">
        <v>1058946000</v>
      </c>
      <c r="I426" s="87">
        <v>1575263000</v>
      </c>
      <c r="J426" s="88" t="s">
        <v>125</v>
      </c>
    </row>
    <row r="427" spans="1:10" x14ac:dyDescent="0.35">
      <c r="A427" s="85"/>
      <c r="B427" s="86" t="s">
        <v>75</v>
      </c>
      <c r="C427" s="86" t="s">
        <v>214</v>
      </c>
      <c r="D427" s="86" t="s">
        <v>226</v>
      </c>
      <c r="E427" s="87">
        <v>813802800</v>
      </c>
      <c r="F427" s="87">
        <v>1446766000</v>
      </c>
      <c r="G427" s="87">
        <v>2081635000</v>
      </c>
      <c r="H427" s="87">
        <v>1163181000</v>
      </c>
      <c r="I427" s="87">
        <v>1730320000</v>
      </c>
      <c r="J427" s="88" t="s">
        <v>125</v>
      </c>
    </row>
    <row r="428" spans="1:10" x14ac:dyDescent="0.35">
      <c r="A428" s="85"/>
      <c r="B428" s="86" t="s">
        <v>76</v>
      </c>
      <c r="C428" s="86" t="s">
        <v>214</v>
      </c>
      <c r="D428" s="86" t="s">
        <v>227</v>
      </c>
      <c r="E428" s="87">
        <v>1569220000</v>
      </c>
      <c r="F428" s="87">
        <v>2789736000</v>
      </c>
      <c r="G428" s="87">
        <v>4013925000</v>
      </c>
      <c r="H428" s="87">
        <v>2242911000</v>
      </c>
      <c r="I428" s="87">
        <v>3336501000</v>
      </c>
      <c r="J428" s="88" t="s">
        <v>125</v>
      </c>
    </row>
    <row r="429" spans="1:10" x14ac:dyDescent="0.35">
      <c r="A429" s="85"/>
      <c r="B429" s="86" t="s">
        <v>77</v>
      </c>
      <c r="C429" s="86" t="s">
        <v>214</v>
      </c>
      <c r="D429" s="86" t="s">
        <v>228</v>
      </c>
      <c r="E429" s="87">
        <v>1204059000</v>
      </c>
      <c r="F429" s="87">
        <v>2140558000</v>
      </c>
      <c r="G429" s="87">
        <v>3079875000</v>
      </c>
      <c r="H429" s="87">
        <v>1720980000</v>
      </c>
      <c r="I429" s="87">
        <v>2560089000</v>
      </c>
      <c r="J429" s="88" t="s">
        <v>125</v>
      </c>
    </row>
    <row r="430" spans="1:10" x14ac:dyDescent="0.35">
      <c r="A430" s="85"/>
      <c r="B430" s="86" t="s">
        <v>78</v>
      </c>
      <c r="C430" s="86" t="s">
        <v>214</v>
      </c>
      <c r="D430" s="86" t="s">
        <v>229</v>
      </c>
      <c r="E430" s="87">
        <v>36575790</v>
      </c>
      <c r="F430" s="87">
        <v>65023880</v>
      </c>
      <c r="G430" s="87">
        <v>93557600</v>
      </c>
      <c r="H430" s="87">
        <v>52278350</v>
      </c>
      <c r="I430" s="87">
        <v>77768020</v>
      </c>
      <c r="J430" s="88" t="s">
        <v>125</v>
      </c>
    </row>
    <row r="431" spans="1:10" x14ac:dyDescent="0.35">
      <c r="A431" s="85"/>
      <c r="B431" s="86" t="s">
        <v>80</v>
      </c>
      <c r="C431" s="86" t="s">
        <v>214</v>
      </c>
      <c r="D431" s="86" t="s">
        <v>230</v>
      </c>
      <c r="E431" s="87">
        <v>5082166000</v>
      </c>
      <c r="F431" s="87">
        <v>9034997000</v>
      </c>
      <c r="G431" s="87">
        <v>12999730000</v>
      </c>
      <c r="H431" s="87">
        <v>7264019000</v>
      </c>
      <c r="I431" s="87">
        <v>10805780000</v>
      </c>
      <c r="J431" s="88" t="s">
        <v>125</v>
      </c>
    </row>
    <row r="432" spans="1:10" x14ac:dyDescent="0.35">
      <c r="A432" s="91"/>
      <c r="B432" s="92" t="s">
        <v>0</v>
      </c>
      <c r="C432" s="92" t="s">
        <v>214</v>
      </c>
      <c r="D432" s="92" t="s">
        <v>231</v>
      </c>
      <c r="E432" s="93">
        <v>13977.72</v>
      </c>
      <c r="F432" s="93">
        <v>24849.38</v>
      </c>
      <c r="G432" s="93">
        <v>35753.760000000002</v>
      </c>
      <c r="H432" s="93">
        <v>19978.580000000002</v>
      </c>
      <c r="I432" s="93">
        <v>29719.65</v>
      </c>
      <c r="J432" s="94" t="s">
        <v>125</v>
      </c>
    </row>
    <row r="433" spans="1:10" x14ac:dyDescent="0.35">
      <c r="A433" s="79" t="s">
        <v>263</v>
      </c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1:10" x14ac:dyDescent="0.35">
      <c r="A434" s="81"/>
      <c r="B434" s="82" t="s">
        <v>122</v>
      </c>
      <c r="C434" s="82" t="s">
        <v>123</v>
      </c>
      <c r="D434" s="82" t="s">
        <v>124</v>
      </c>
      <c r="E434" s="83">
        <v>434144</v>
      </c>
      <c r="F434" s="83">
        <v>776350.3</v>
      </c>
      <c r="G434" s="83">
        <v>1122937</v>
      </c>
      <c r="H434" s="83">
        <v>624182.30000000005</v>
      </c>
      <c r="I434" s="83">
        <v>928506.5</v>
      </c>
      <c r="J434" s="84" t="s">
        <v>125</v>
      </c>
    </row>
    <row r="435" spans="1:10" x14ac:dyDescent="0.35">
      <c r="A435" s="85"/>
      <c r="B435" s="86" t="s">
        <v>126</v>
      </c>
      <c r="C435" s="86" t="s">
        <v>123</v>
      </c>
      <c r="D435" s="86" t="s">
        <v>127</v>
      </c>
      <c r="E435" s="87">
        <v>96953.66</v>
      </c>
      <c r="F435" s="87">
        <v>173375.6</v>
      </c>
      <c r="G435" s="87">
        <v>250776</v>
      </c>
      <c r="H435" s="87">
        <v>139393.29999999999</v>
      </c>
      <c r="I435" s="87">
        <v>207355.4</v>
      </c>
      <c r="J435" s="88" t="s">
        <v>125</v>
      </c>
    </row>
    <row r="436" spans="1:10" x14ac:dyDescent="0.35">
      <c r="A436" s="85"/>
      <c r="B436" s="86" t="s">
        <v>128</v>
      </c>
      <c r="C436" s="86" t="s">
        <v>123</v>
      </c>
      <c r="D436" s="86" t="s">
        <v>129</v>
      </c>
      <c r="E436" s="87">
        <v>422867.5</v>
      </c>
      <c r="F436" s="87">
        <v>756185.2</v>
      </c>
      <c r="G436" s="87">
        <v>1093770</v>
      </c>
      <c r="H436" s="87">
        <v>607969.69999999995</v>
      </c>
      <c r="I436" s="87">
        <v>904389.3</v>
      </c>
      <c r="J436" s="88" t="s">
        <v>125</v>
      </c>
    </row>
    <row r="437" spans="1:10" x14ac:dyDescent="0.35">
      <c r="A437" s="85"/>
      <c r="B437" s="86" t="s">
        <v>130</v>
      </c>
      <c r="C437" s="86" t="s">
        <v>123</v>
      </c>
      <c r="D437" s="86" t="s">
        <v>131</v>
      </c>
      <c r="E437" s="87">
        <v>37812.910000000003</v>
      </c>
      <c r="F437" s="87">
        <v>67618.27</v>
      </c>
      <c r="G437" s="87">
        <v>97805.19</v>
      </c>
      <c r="H437" s="87">
        <v>54364.800000000003</v>
      </c>
      <c r="I437" s="87">
        <v>80870.720000000001</v>
      </c>
      <c r="J437" s="88" t="s">
        <v>125</v>
      </c>
    </row>
    <row r="438" spans="1:10" x14ac:dyDescent="0.35">
      <c r="A438" s="85"/>
      <c r="B438" s="86" t="s">
        <v>132</v>
      </c>
      <c r="C438" s="86" t="s">
        <v>123</v>
      </c>
      <c r="D438" s="86" t="s">
        <v>133</v>
      </c>
      <c r="E438" s="87">
        <v>27596.97</v>
      </c>
      <c r="F438" s="87">
        <v>49349.79</v>
      </c>
      <c r="G438" s="87">
        <v>71381.08</v>
      </c>
      <c r="H438" s="87">
        <v>39677.019999999997</v>
      </c>
      <c r="I438" s="87">
        <v>59021.81</v>
      </c>
      <c r="J438" s="88" t="s">
        <v>125</v>
      </c>
    </row>
    <row r="439" spans="1:10" x14ac:dyDescent="0.35">
      <c r="A439" s="85"/>
      <c r="B439" s="86" t="s">
        <v>134</v>
      </c>
      <c r="C439" s="86" t="s">
        <v>123</v>
      </c>
      <c r="D439" s="86" t="s">
        <v>135</v>
      </c>
      <c r="E439" s="87">
        <v>171391.8</v>
      </c>
      <c r="F439" s="87">
        <v>306488.3</v>
      </c>
      <c r="G439" s="87">
        <v>443314.3</v>
      </c>
      <c r="H439" s="87">
        <v>246415.3</v>
      </c>
      <c r="I439" s="87">
        <v>366556.8</v>
      </c>
      <c r="J439" s="88" t="s">
        <v>125</v>
      </c>
    </row>
    <row r="440" spans="1:10" x14ac:dyDescent="0.35">
      <c r="A440" s="85"/>
      <c r="B440" s="86" t="s">
        <v>136</v>
      </c>
      <c r="C440" s="86" t="s">
        <v>123</v>
      </c>
      <c r="D440" s="86" t="s">
        <v>137</v>
      </c>
      <c r="E440" s="89">
        <v>7214.75</v>
      </c>
      <c r="F440" s="89">
        <v>12901.64</v>
      </c>
      <c r="G440" s="89">
        <v>18661.34</v>
      </c>
      <c r="H440" s="89">
        <v>10372.86</v>
      </c>
      <c r="I440" s="89">
        <v>15430.22</v>
      </c>
      <c r="J440" s="88" t="s">
        <v>125</v>
      </c>
    </row>
    <row r="441" spans="1:10" x14ac:dyDescent="0.35">
      <c r="A441" s="85"/>
      <c r="B441" s="86" t="s">
        <v>138</v>
      </c>
      <c r="C441" s="86" t="s">
        <v>123</v>
      </c>
      <c r="D441" s="86" t="s">
        <v>139</v>
      </c>
      <c r="E441" s="90">
        <v>1772.54</v>
      </c>
      <c r="F441" s="90">
        <v>3169.71</v>
      </c>
      <c r="G441" s="90">
        <v>4584.76</v>
      </c>
      <c r="H441" s="90">
        <v>2548.4299999999998</v>
      </c>
      <c r="I441" s="90">
        <v>3790.93</v>
      </c>
      <c r="J441" s="88" t="s">
        <v>125</v>
      </c>
    </row>
    <row r="442" spans="1:10" x14ac:dyDescent="0.35">
      <c r="A442" s="85"/>
      <c r="B442" s="86" t="s">
        <v>140</v>
      </c>
      <c r="C442" s="86" t="s">
        <v>123</v>
      </c>
      <c r="D442" s="86" t="s">
        <v>141</v>
      </c>
      <c r="E442" s="90">
        <v>6230.77</v>
      </c>
      <c r="F442" s="90">
        <v>11142.05</v>
      </c>
      <c r="G442" s="90">
        <v>16116.22</v>
      </c>
      <c r="H442" s="90">
        <v>8958.16</v>
      </c>
      <c r="I442" s="90">
        <v>13325.78</v>
      </c>
      <c r="J442" s="88" t="s">
        <v>125</v>
      </c>
    </row>
    <row r="443" spans="1:10" x14ac:dyDescent="0.35">
      <c r="A443" s="85"/>
      <c r="B443" s="86" t="s">
        <v>142</v>
      </c>
      <c r="C443" s="86" t="s">
        <v>123</v>
      </c>
      <c r="D443" s="86" t="s">
        <v>143</v>
      </c>
      <c r="E443" s="90">
        <v>628.39</v>
      </c>
      <c r="F443" s="90">
        <v>1123.7</v>
      </c>
      <c r="G443" s="90">
        <v>1625.36</v>
      </c>
      <c r="H443" s="90">
        <v>903.45</v>
      </c>
      <c r="I443" s="90">
        <v>1343.94</v>
      </c>
      <c r="J443" s="88" t="s">
        <v>125</v>
      </c>
    </row>
    <row r="444" spans="1:10" x14ac:dyDescent="0.35">
      <c r="A444" s="85"/>
      <c r="B444" s="86" t="s">
        <v>144</v>
      </c>
      <c r="C444" s="86" t="s">
        <v>123</v>
      </c>
      <c r="D444" s="86" t="s">
        <v>145</v>
      </c>
      <c r="E444" s="90">
        <v>458.62</v>
      </c>
      <c r="F444" s="90">
        <v>820.11</v>
      </c>
      <c r="G444" s="90">
        <v>1186.23</v>
      </c>
      <c r="H444" s="90">
        <v>659.37</v>
      </c>
      <c r="I444" s="90">
        <v>980.84</v>
      </c>
      <c r="J444" s="88" t="s">
        <v>125</v>
      </c>
    </row>
    <row r="445" spans="1:10" x14ac:dyDescent="0.35">
      <c r="A445" s="85"/>
      <c r="B445" s="86" t="s">
        <v>146</v>
      </c>
      <c r="C445" s="86" t="s">
        <v>123</v>
      </c>
      <c r="D445" s="86" t="s">
        <v>147</v>
      </c>
      <c r="E445" s="90">
        <v>1202.5999999999999</v>
      </c>
      <c r="F445" s="90">
        <v>2150.5300000000002</v>
      </c>
      <c r="G445" s="90">
        <v>3110.6</v>
      </c>
      <c r="H445" s="90">
        <v>1729.02</v>
      </c>
      <c r="I445" s="90">
        <v>2572.0100000000002</v>
      </c>
      <c r="J445" s="88" t="s">
        <v>125</v>
      </c>
    </row>
    <row r="446" spans="1:10" x14ac:dyDescent="0.35">
      <c r="A446" s="85"/>
      <c r="B446" s="86" t="s">
        <v>148</v>
      </c>
      <c r="C446" s="86" t="s">
        <v>123</v>
      </c>
      <c r="D446" s="86" t="s">
        <v>149</v>
      </c>
      <c r="E446" s="90">
        <v>17507.650000000001</v>
      </c>
      <c r="F446" s="90">
        <v>31307.75</v>
      </c>
      <c r="G446" s="90">
        <v>45284.5</v>
      </c>
      <c r="H446" s="90">
        <v>25171.29</v>
      </c>
      <c r="I446" s="90">
        <v>37443.730000000003</v>
      </c>
      <c r="J446" s="88" t="s">
        <v>125</v>
      </c>
    </row>
    <row r="447" spans="1:10" x14ac:dyDescent="0.35">
      <c r="A447" s="85"/>
      <c r="B447" s="86" t="s">
        <v>150</v>
      </c>
      <c r="C447" s="86" t="s">
        <v>151</v>
      </c>
      <c r="D447" s="86" t="s">
        <v>152</v>
      </c>
      <c r="E447" s="90">
        <v>17507.650000000001</v>
      </c>
      <c r="F447" s="90">
        <v>31307.75</v>
      </c>
      <c r="G447" s="90">
        <v>45284.5</v>
      </c>
      <c r="H447" s="90">
        <v>25171.29</v>
      </c>
      <c r="I447" s="90">
        <v>37443.730000000003</v>
      </c>
      <c r="J447" s="88" t="s">
        <v>125</v>
      </c>
    </row>
    <row r="448" spans="1:10" x14ac:dyDescent="0.35">
      <c r="A448" s="85"/>
      <c r="B448" s="86" t="s">
        <v>150</v>
      </c>
      <c r="C448" s="86" t="s">
        <v>151</v>
      </c>
      <c r="D448" s="86" t="s">
        <v>153</v>
      </c>
      <c r="E448" s="90">
        <v>3231.71</v>
      </c>
      <c r="F448" s="90">
        <v>3534</v>
      </c>
      <c r="G448" s="90">
        <v>3831.05</v>
      </c>
      <c r="H448" s="90">
        <v>3354.94</v>
      </c>
      <c r="I448" s="90">
        <v>3713.83</v>
      </c>
      <c r="J448" s="88" t="s">
        <v>125</v>
      </c>
    </row>
    <row r="449" spans="1:10" x14ac:dyDescent="0.35">
      <c r="A449" s="85"/>
      <c r="B449" s="86" t="s">
        <v>154</v>
      </c>
      <c r="C449" s="86" t="s">
        <v>151</v>
      </c>
      <c r="D449" s="86" t="s">
        <v>155</v>
      </c>
      <c r="E449" s="90">
        <v>13638.42</v>
      </c>
      <c r="F449" s="90">
        <v>14819.38</v>
      </c>
      <c r="G449" s="90">
        <v>15975.85</v>
      </c>
      <c r="H449" s="90">
        <v>14182.54</v>
      </c>
      <c r="I449" s="90">
        <v>15460.58</v>
      </c>
      <c r="J449" s="88" t="s">
        <v>125</v>
      </c>
    </row>
    <row r="450" spans="1:10" x14ac:dyDescent="0.35">
      <c r="A450" s="85"/>
      <c r="B450" s="86" t="s">
        <v>156</v>
      </c>
      <c r="C450" s="86" t="s">
        <v>151</v>
      </c>
      <c r="D450" s="86" t="s">
        <v>157</v>
      </c>
      <c r="E450" s="90">
        <v>20275.39</v>
      </c>
      <c r="F450" s="90">
        <v>31310.94</v>
      </c>
      <c r="G450" s="90">
        <v>41811.94</v>
      </c>
      <c r="H450" s="90">
        <v>26672.6</v>
      </c>
      <c r="I450" s="90">
        <v>35952.230000000003</v>
      </c>
      <c r="J450" s="88" t="s">
        <v>125</v>
      </c>
    </row>
    <row r="451" spans="1:10" x14ac:dyDescent="0.35">
      <c r="A451" s="85"/>
      <c r="B451" s="86" t="s">
        <v>158</v>
      </c>
      <c r="C451" s="86" t="s">
        <v>151</v>
      </c>
      <c r="D451" s="86" t="s">
        <v>161</v>
      </c>
      <c r="E451" s="90">
        <v>265350.40000000002</v>
      </c>
      <c r="F451" s="90">
        <v>389917.6</v>
      </c>
      <c r="G451" s="90">
        <v>512678.8</v>
      </c>
      <c r="H451" s="90">
        <v>337417.5</v>
      </c>
      <c r="I451" s="90">
        <v>444448.2</v>
      </c>
      <c r="J451" s="88" t="s">
        <v>125</v>
      </c>
    </row>
    <row r="452" spans="1:10" x14ac:dyDescent="0.35">
      <c r="A452" s="85"/>
      <c r="B452" s="86" t="s">
        <v>160</v>
      </c>
      <c r="C452" s="86" t="s">
        <v>151</v>
      </c>
      <c r="D452" s="86" t="s">
        <v>264</v>
      </c>
      <c r="E452" s="90">
        <v>352840.9</v>
      </c>
      <c r="F452" s="90">
        <v>470889.6</v>
      </c>
      <c r="G452" s="90">
        <v>595608.5</v>
      </c>
      <c r="H452" s="90">
        <v>417823.3</v>
      </c>
      <c r="I452" s="90">
        <v>526088.1</v>
      </c>
      <c r="J452" s="88" t="s">
        <v>125</v>
      </c>
    </row>
    <row r="453" spans="1:10" x14ac:dyDescent="0.35">
      <c r="A453" s="85"/>
      <c r="B453" s="86" t="s">
        <v>162</v>
      </c>
      <c r="C453" s="86" t="s">
        <v>151</v>
      </c>
      <c r="D453" s="86" t="s">
        <v>265</v>
      </c>
      <c r="E453" s="90">
        <v>498302.3</v>
      </c>
      <c r="F453" s="90">
        <v>549690.9</v>
      </c>
      <c r="G453" s="90">
        <v>601101.9</v>
      </c>
      <c r="H453" s="90">
        <v>515283.5</v>
      </c>
      <c r="I453" s="90">
        <v>584165.5</v>
      </c>
      <c r="J453" s="88" t="s">
        <v>125</v>
      </c>
    </row>
    <row r="454" spans="1:10" x14ac:dyDescent="0.35">
      <c r="A454" s="85"/>
      <c r="B454" s="86" t="s">
        <v>164</v>
      </c>
      <c r="C454" s="86" t="s">
        <v>151</v>
      </c>
      <c r="D454" s="86" t="s">
        <v>266</v>
      </c>
      <c r="E454" s="90">
        <v>884642.5</v>
      </c>
      <c r="F454" s="90">
        <v>1020581</v>
      </c>
      <c r="G454" s="90">
        <v>1165996</v>
      </c>
      <c r="H454" s="90">
        <v>956571.1</v>
      </c>
      <c r="I454" s="90">
        <v>1086014</v>
      </c>
      <c r="J454" s="88" t="s">
        <v>125</v>
      </c>
    </row>
    <row r="455" spans="1:10" x14ac:dyDescent="0.35">
      <c r="A455" s="85"/>
      <c r="B455" s="86" t="s">
        <v>150</v>
      </c>
      <c r="C455" s="86" t="s">
        <v>166</v>
      </c>
      <c r="D455" s="86" t="s">
        <v>152</v>
      </c>
      <c r="E455" s="90">
        <v>17507.650000000001</v>
      </c>
      <c r="F455" s="90">
        <v>31307.75</v>
      </c>
      <c r="G455" s="90">
        <v>45284.5</v>
      </c>
      <c r="H455" s="90">
        <v>25171.29</v>
      </c>
      <c r="I455" s="90">
        <v>37443.730000000003</v>
      </c>
      <c r="J455" s="88" t="s">
        <v>125</v>
      </c>
    </row>
    <row r="456" spans="1:10" x14ac:dyDescent="0.35">
      <c r="A456" s="85"/>
      <c r="B456" s="86" t="s">
        <v>150</v>
      </c>
      <c r="C456" s="86" t="s">
        <v>166</v>
      </c>
      <c r="D456" s="86" t="s">
        <v>153</v>
      </c>
      <c r="E456" s="90">
        <v>3213.24</v>
      </c>
      <c r="F456" s="90">
        <v>3534</v>
      </c>
      <c r="G456" s="90">
        <v>3819.75</v>
      </c>
      <c r="H456" s="90">
        <v>3354.48</v>
      </c>
      <c r="I456" s="90">
        <v>3712.77</v>
      </c>
      <c r="J456" s="88" t="s">
        <v>125</v>
      </c>
    </row>
    <row r="457" spans="1:10" x14ac:dyDescent="0.35">
      <c r="A457" s="85"/>
      <c r="B457" s="86" t="s">
        <v>154</v>
      </c>
      <c r="C457" s="86" t="s">
        <v>166</v>
      </c>
      <c r="D457" s="86" t="s">
        <v>155</v>
      </c>
      <c r="E457" s="90">
        <v>13638.42</v>
      </c>
      <c r="F457" s="90">
        <v>14819.38</v>
      </c>
      <c r="G457" s="90">
        <v>15975.85</v>
      </c>
      <c r="H457" s="90">
        <v>14182.54</v>
      </c>
      <c r="I457" s="90">
        <v>15460.58</v>
      </c>
      <c r="J457" s="88" t="s">
        <v>125</v>
      </c>
    </row>
    <row r="458" spans="1:10" x14ac:dyDescent="0.35">
      <c r="A458" s="85"/>
      <c r="B458" s="86" t="s">
        <v>156</v>
      </c>
      <c r="C458" s="86" t="s">
        <v>166</v>
      </c>
      <c r="D458" s="86" t="s">
        <v>157</v>
      </c>
      <c r="E458" s="90">
        <v>20563.86</v>
      </c>
      <c r="F458" s="90">
        <v>31310.94</v>
      </c>
      <c r="G458" s="90">
        <v>41190.75</v>
      </c>
      <c r="H458" s="90">
        <v>26684.18</v>
      </c>
      <c r="I458" s="90">
        <v>35938.550000000003</v>
      </c>
      <c r="J458" s="88" t="s">
        <v>125</v>
      </c>
    </row>
    <row r="459" spans="1:10" x14ac:dyDescent="0.35">
      <c r="A459" s="85"/>
      <c r="B459" s="86" t="s">
        <v>158</v>
      </c>
      <c r="C459" s="86" t="s">
        <v>166</v>
      </c>
      <c r="D459" s="86" t="s">
        <v>159</v>
      </c>
      <c r="E459" s="90">
        <v>124552.3</v>
      </c>
      <c r="F459" s="90">
        <v>183022.5</v>
      </c>
      <c r="G459" s="90">
        <v>240645.1</v>
      </c>
      <c r="H459" s="90">
        <v>158379.6</v>
      </c>
      <c r="I459" s="90">
        <v>208618.5</v>
      </c>
      <c r="J459" s="88" t="s">
        <v>125</v>
      </c>
    </row>
    <row r="460" spans="1:10" x14ac:dyDescent="0.35">
      <c r="A460" s="85"/>
      <c r="B460" s="86" t="s">
        <v>160</v>
      </c>
      <c r="C460" s="86" t="s">
        <v>166</v>
      </c>
      <c r="D460" s="86" t="s">
        <v>161</v>
      </c>
      <c r="E460" s="90">
        <v>207233</v>
      </c>
      <c r="F460" s="90">
        <v>263994.59999999998</v>
      </c>
      <c r="G460" s="90">
        <v>324053.90000000002</v>
      </c>
      <c r="H460" s="90">
        <v>238235.3</v>
      </c>
      <c r="I460" s="90">
        <v>290760.5</v>
      </c>
      <c r="J460" s="88" t="s">
        <v>125</v>
      </c>
    </row>
    <row r="461" spans="1:10" x14ac:dyDescent="0.35">
      <c r="A461" s="85"/>
      <c r="B461" s="86" t="s">
        <v>162</v>
      </c>
      <c r="C461" s="86" t="s">
        <v>166</v>
      </c>
      <c r="D461" s="86" t="s">
        <v>163</v>
      </c>
      <c r="E461" s="90">
        <v>265576.59999999998</v>
      </c>
      <c r="F461" s="90">
        <v>291976.3</v>
      </c>
      <c r="G461" s="90">
        <v>317990.40000000002</v>
      </c>
      <c r="H461" s="90">
        <v>275429.59999999998</v>
      </c>
      <c r="I461" s="90">
        <v>308582.90000000002</v>
      </c>
      <c r="J461" s="88" t="s">
        <v>125</v>
      </c>
    </row>
    <row r="462" spans="1:10" x14ac:dyDescent="0.35">
      <c r="A462" s="85"/>
      <c r="B462" s="86" t="s">
        <v>164</v>
      </c>
      <c r="C462" s="86" t="s">
        <v>166</v>
      </c>
      <c r="D462" s="86" t="s">
        <v>165</v>
      </c>
      <c r="E462" s="90">
        <v>493349</v>
      </c>
      <c r="F462" s="90">
        <v>555970.9</v>
      </c>
      <c r="G462" s="90">
        <v>623508.30000000005</v>
      </c>
      <c r="H462" s="90">
        <v>524950.9</v>
      </c>
      <c r="I462" s="90">
        <v>587617.1</v>
      </c>
      <c r="J462" s="88" t="s">
        <v>125</v>
      </c>
    </row>
    <row r="463" spans="1:10" x14ac:dyDescent="0.35">
      <c r="A463" s="85"/>
      <c r="B463" s="86" t="s">
        <v>150</v>
      </c>
      <c r="C463" s="86" t="s">
        <v>167</v>
      </c>
      <c r="D463" s="86" t="s">
        <v>152</v>
      </c>
      <c r="E463" s="90">
        <v>17507.650000000001</v>
      </c>
      <c r="F463" s="90">
        <v>31307.75</v>
      </c>
      <c r="G463" s="90">
        <v>45284.5</v>
      </c>
      <c r="H463" s="90">
        <v>25171.29</v>
      </c>
      <c r="I463" s="90">
        <v>37443.730000000003</v>
      </c>
      <c r="J463" s="88" t="s">
        <v>125</v>
      </c>
    </row>
    <row r="464" spans="1:10" x14ac:dyDescent="0.35">
      <c r="A464" s="85"/>
      <c r="B464" s="86" t="s">
        <v>150</v>
      </c>
      <c r="C464" s="86" t="s">
        <v>167</v>
      </c>
      <c r="D464" s="86" t="s">
        <v>153</v>
      </c>
      <c r="E464" s="90">
        <v>3249.3</v>
      </c>
      <c r="F464" s="90">
        <v>3534</v>
      </c>
      <c r="G464" s="90">
        <v>3838.14</v>
      </c>
      <c r="H464" s="90">
        <v>3354.44</v>
      </c>
      <c r="I464" s="90">
        <v>3712.75</v>
      </c>
      <c r="J464" s="88" t="s">
        <v>125</v>
      </c>
    </row>
    <row r="465" spans="1:10" x14ac:dyDescent="0.35">
      <c r="A465" s="85"/>
      <c r="B465" s="86" t="s">
        <v>154</v>
      </c>
      <c r="C465" s="86" t="s">
        <v>167</v>
      </c>
      <c r="D465" s="86" t="s">
        <v>155</v>
      </c>
      <c r="E465" s="90">
        <v>13677.22</v>
      </c>
      <c r="F465" s="90">
        <v>14819.38</v>
      </c>
      <c r="G465" s="90">
        <v>16015.33</v>
      </c>
      <c r="H465" s="90">
        <v>14182.08</v>
      </c>
      <c r="I465" s="90">
        <v>15459.49</v>
      </c>
      <c r="J465" s="88" t="s">
        <v>125</v>
      </c>
    </row>
    <row r="466" spans="1:10" x14ac:dyDescent="0.35">
      <c r="A466" s="85"/>
      <c r="B466" s="86" t="s">
        <v>156</v>
      </c>
      <c r="C466" s="86" t="s">
        <v>167</v>
      </c>
      <c r="D466" s="86" t="s">
        <v>157</v>
      </c>
      <c r="E466" s="90">
        <v>21270.36</v>
      </c>
      <c r="F466" s="90">
        <v>31310.94</v>
      </c>
      <c r="G466" s="90">
        <v>41941.06</v>
      </c>
      <c r="H466" s="90">
        <v>26672.69</v>
      </c>
      <c r="I466" s="90">
        <v>35953.06</v>
      </c>
      <c r="J466" s="88" t="s">
        <v>125</v>
      </c>
    </row>
    <row r="467" spans="1:10" x14ac:dyDescent="0.35">
      <c r="A467" s="85"/>
      <c r="B467" s="86" t="s">
        <v>158</v>
      </c>
      <c r="C467" s="86" t="s">
        <v>167</v>
      </c>
      <c r="D467" s="86" t="s">
        <v>159</v>
      </c>
      <c r="E467" s="90">
        <v>406148.6</v>
      </c>
      <c r="F467" s="90">
        <v>596812.6</v>
      </c>
      <c r="G467" s="90">
        <v>784712.4</v>
      </c>
      <c r="H467" s="90">
        <v>516455.3</v>
      </c>
      <c r="I467" s="90">
        <v>680277.8</v>
      </c>
      <c r="J467" s="88" t="s">
        <v>125</v>
      </c>
    </row>
    <row r="468" spans="1:10" x14ac:dyDescent="0.35">
      <c r="A468" s="85"/>
      <c r="B468" s="86" t="s">
        <v>160</v>
      </c>
      <c r="C468" s="86" t="s">
        <v>167</v>
      </c>
      <c r="D468" s="86" t="s">
        <v>161</v>
      </c>
      <c r="E468" s="90">
        <v>493164.79999999999</v>
      </c>
      <c r="F468" s="90">
        <v>677784.7</v>
      </c>
      <c r="G468" s="90">
        <v>868385</v>
      </c>
      <c r="H468" s="90">
        <v>597121.9</v>
      </c>
      <c r="I468" s="90">
        <v>761869.8</v>
      </c>
      <c r="J468" s="88" t="s">
        <v>125</v>
      </c>
    </row>
    <row r="469" spans="1:10" x14ac:dyDescent="0.35">
      <c r="A469" s="85"/>
      <c r="B469" s="86" t="s">
        <v>162</v>
      </c>
      <c r="C469" s="86" t="s">
        <v>167</v>
      </c>
      <c r="D469" s="86" t="s">
        <v>163</v>
      </c>
      <c r="E469" s="90">
        <v>727844.4</v>
      </c>
      <c r="F469" s="90">
        <v>802449.4</v>
      </c>
      <c r="G469" s="90">
        <v>880577.9</v>
      </c>
      <c r="H469" s="90">
        <v>750295.3</v>
      </c>
      <c r="I469" s="90">
        <v>854498.4</v>
      </c>
      <c r="J469" s="88" t="s">
        <v>125</v>
      </c>
    </row>
    <row r="470" spans="1:10" x14ac:dyDescent="0.35">
      <c r="A470" s="85"/>
      <c r="B470" s="86" t="s">
        <v>164</v>
      </c>
      <c r="C470" s="86" t="s">
        <v>167</v>
      </c>
      <c r="D470" s="86" t="s">
        <v>165</v>
      </c>
      <c r="E470" s="90">
        <v>1277419</v>
      </c>
      <c r="F470" s="90">
        <v>1480234</v>
      </c>
      <c r="G470" s="90">
        <v>1697919</v>
      </c>
      <c r="H470" s="90">
        <v>1382905</v>
      </c>
      <c r="I470" s="90">
        <v>1579907</v>
      </c>
      <c r="J470" s="88" t="s">
        <v>125</v>
      </c>
    </row>
    <row r="471" spans="1:10" x14ac:dyDescent="0.35">
      <c r="A471" s="85"/>
      <c r="B471" s="86" t="s">
        <v>168</v>
      </c>
      <c r="C471" s="86" t="s">
        <v>169</v>
      </c>
      <c r="D471" s="86" t="s">
        <v>170</v>
      </c>
      <c r="E471" s="86">
        <v>0.39421850000000003</v>
      </c>
      <c r="F471" s="86">
        <v>0.48799989999999999</v>
      </c>
      <c r="G471" s="86">
        <v>0.57182129999999998</v>
      </c>
      <c r="H471" s="86">
        <v>0.45099899999999998</v>
      </c>
      <c r="I471" s="86">
        <v>0.52499980000000002</v>
      </c>
      <c r="J471" s="88" t="s">
        <v>125</v>
      </c>
    </row>
    <row r="472" spans="1:10" x14ac:dyDescent="0.35">
      <c r="A472" s="85"/>
      <c r="B472" s="86" t="s">
        <v>171</v>
      </c>
      <c r="C472" s="86" t="s">
        <v>169</v>
      </c>
      <c r="D472" s="86" t="s">
        <v>172</v>
      </c>
      <c r="E472" s="86">
        <v>0.2927112</v>
      </c>
      <c r="F472" s="86">
        <v>0.374</v>
      </c>
      <c r="G472" s="86">
        <v>0.45065569999999999</v>
      </c>
      <c r="H472" s="86">
        <v>0.33899899999999999</v>
      </c>
      <c r="I472" s="86">
        <v>0.40899960000000002</v>
      </c>
      <c r="J472" s="88" t="s">
        <v>125</v>
      </c>
    </row>
    <row r="473" spans="1:10" x14ac:dyDescent="0.35">
      <c r="A473" s="85"/>
      <c r="B473" s="86" t="s">
        <v>56</v>
      </c>
      <c r="C473" s="86" t="s">
        <v>169</v>
      </c>
      <c r="D473" s="86" t="s">
        <v>173</v>
      </c>
      <c r="E473" s="86">
        <v>0.2182973</v>
      </c>
      <c r="F473" s="86">
        <v>0.28500009999999998</v>
      </c>
      <c r="G473" s="86">
        <v>0.35597529999999999</v>
      </c>
      <c r="H473" s="86">
        <v>0.25474970000000002</v>
      </c>
      <c r="I473" s="86">
        <v>0.31524920000000001</v>
      </c>
      <c r="J473" s="88" t="s">
        <v>125</v>
      </c>
    </row>
    <row r="474" spans="1:10" x14ac:dyDescent="0.35">
      <c r="A474" s="85"/>
      <c r="B474" s="86" t="s">
        <v>174</v>
      </c>
      <c r="C474" s="86" t="s">
        <v>169</v>
      </c>
      <c r="D474" s="86" t="s">
        <v>175</v>
      </c>
      <c r="E474" s="86">
        <v>0.13382269999999999</v>
      </c>
      <c r="F474" s="86">
        <v>0.193</v>
      </c>
      <c r="G474" s="86">
        <v>0.25342940000000003</v>
      </c>
      <c r="H474" s="86">
        <v>0.16599990000000001</v>
      </c>
      <c r="I474" s="86">
        <v>0.21999940000000001</v>
      </c>
      <c r="J474" s="88" t="s">
        <v>125</v>
      </c>
    </row>
    <row r="475" spans="1:10" x14ac:dyDescent="0.35">
      <c r="A475" s="85"/>
      <c r="B475" s="86" t="s">
        <v>176</v>
      </c>
      <c r="C475" s="86" t="s">
        <v>169</v>
      </c>
      <c r="D475" s="86" t="s">
        <v>177</v>
      </c>
      <c r="E475" s="86">
        <v>119975.5</v>
      </c>
      <c r="F475" s="86">
        <v>163062.39999999999</v>
      </c>
      <c r="G475" s="86">
        <v>206129.6</v>
      </c>
      <c r="H475" s="86">
        <v>143513.5</v>
      </c>
      <c r="I475" s="86">
        <v>182609.4</v>
      </c>
      <c r="J475" s="88" t="s">
        <v>125</v>
      </c>
    </row>
    <row r="476" spans="1:10" x14ac:dyDescent="0.35">
      <c r="A476" s="85"/>
      <c r="B476" s="86" t="s">
        <v>178</v>
      </c>
      <c r="C476" s="86" t="s">
        <v>169</v>
      </c>
      <c r="D476" s="86" t="s">
        <v>179</v>
      </c>
      <c r="E476" s="86">
        <v>944341.4</v>
      </c>
      <c r="F476" s="86">
        <v>1283483</v>
      </c>
      <c r="G476" s="86">
        <v>1622470</v>
      </c>
      <c r="H476" s="86">
        <v>1129612</v>
      </c>
      <c r="I476" s="86">
        <v>1437340</v>
      </c>
      <c r="J476" s="88" t="s">
        <v>125</v>
      </c>
    </row>
    <row r="477" spans="1:10" x14ac:dyDescent="0.35">
      <c r="A477" s="85"/>
      <c r="B477" s="86" t="s">
        <v>180</v>
      </c>
      <c r="C477" s="86" t="s">
        <v>169</v>
      </c>
      <c r="D477" s="86" t="s">
        <v>181</v>
      </c>
      <c r="E477" s="86">
        <v>498508.3</v>
      </c>
      <c r="F477" s="86">
        <v>677537.7</v>
      </c>
      <c r="G477" s="86">
        <v>856485.3</v>
      </c>
      <c r="H477" s="86">
        <v>596310.6</v>
      </c>
      <c r="I477" s="86">
        <v>758757</v>
      </c>
      <c r="J477" s="88" t="s">
        <v>125</v>
      </c>
    </row>
    <row r="478" spans="1:10" x14ac:dyDescent="0.35">
      <c r="A478" s="85"/>
      <c r="B478" s="86" t="s">
        <v>182</v>
      </c>
      <c r="C478" s="86" t="s">
        <v>169</v>
      </c>
      <c r="D478" s="86" t="s">
        <v>183</v>
      </c>
      <c r="E478" s="86">
        <v>3887.67</v>
      </c>
      <c r="F478" s="86">
        <v>5283.85</v>
      </c>
      <c r="G478" s="86">
        <v>6679.3919999999998</v>
      </c>
      <c r="H478" s="86">
        <v>4650.3919999999998</v>
      </c>
      <c r="I478" s="86">
        <v>5917.2470000000003</v>
      </c>
      <c r="J478" s="88" t="s">
        <v>125</v>
      </c>
    </row>
    <row r="479" spans="1:10" x14ac:dyDescent="0.35">
      <c r="A479" s="85"/>
      <c r="B479" s="86" t="s">
        <v>184</v>
      </c>
      <c r="C479" s="86" t="s">
        <v>169</v>
      </c>
      <c r="D479" s="86" t="s">
        <v>185</v>
      </c>
      <c r="E479" s="89">
        <v>203938.7</v>
      </c>
      <c r="F479" s="89">
        <v>252454.1</v>
      </c>
      <c r="G479" s="89">
        <v>295816.90000000002</v>
      </c>
      <c r="H479" s="89">
        <v>233312.6</v>
      </c>
      <c r="I479" s="89">
        <v>271595</v>
      </c>
      <c r="J479" s="88" t="s">
        <v>125</v>
      </c>
    </row>
    <row r="480" spans="1:10" x14ac:dyDescent="0.35">
      <c r="A480" s="85"/>
      <c r="B480" s="86" t="s">
        <v>186</v>
      </c>
      <c r="C480" s="86" t="s">
        <v>169</v>
      </c>
      <c r="D480" s="86" t="s">
        <v>187</v>
      </c>
      <c r="E480" s="90">
        <v>151426.5</v>
      </c>
      <c r="F480" s="90">
        <v>193479.2</v>
      </c>
      <c r="G480" s="90">
        <v>233135</v>
      </c>
      <c r="H480" s="90">
        <v>175372.3</v>
      </c>
      <c r="I480" s="90">
        <v>211585.3</v>
      </c>
      <c r="J480" s="88" t="s">
        <v>125</v>
      </c>
    </row>
    <row r="481" spans="1:10" x14ac:dyDescent="0.35">
      <c r="A481" s="85"/>
      <c r="B481" s="86"/>
      <c r="C481" s="86" t="s">
        <v>169</v>
      </c>
      <c r="D481" s="86" t="s">
        <v>188</v>
      </c>
      <c r="E481" s="89">
        <v>112930.5</v>
      </c>
      <c r="F481" s="89">
        <v>147437.4</v>
      </c>
      <c r="G481" s="89">
        <v>184154.6</v>
      </c>
      <c r="H481" s="89">
        <v>131788.1</v>
      </c>
      <c r="I481" s="89">
        <v>163086</v>
      </c>
      <c r="J481" s="88" t="s">
        <v>125</v>
      </c>
    </row>
    <row r="482" spans="1:10" x14ac:dyDescent="0.35">
      <c r="A482" s="85"/>
      <c r="B482" s="86" t="s">
        <v>189</v>
      </c>
      <c r="C482" s="86" t="s">
        <v>169</v>
      </c>
      <c r="D482" s="86" t="s">
        <v>190</v>
      </c>
      <c r="E482" s="90">
        <v>69229.72</v>
      </c>
      <c r="F482" s="90">
        <v>99843.55</v>
      </c>
      <c r="G482" s="90">
        <v>131105.1</v>
      </c>
      <c r="H482" s="90">
        <v>85875.72</v>
      </c>
      <c r="I482" s="90">
        <v>113811</v>
      </c>
      <c r="J482" s="88" t="s">
        <v>125</v>
      </c>
    </row>
    <row r="483" spans="1:10" x14ac:dyDescent="0.35">
      <c r="A483" s="85"/>
      <c r="B483" s="86" t="s">
        <v>184</v>
      </c>
      <c r="C483" s="86" t="s">
        <v>169</v>
      </c>
      <c r="D483" s="86" t="s">
        <v>191</v>
      </c>
      <c r="E483" s="89">
        <v>29603.84</v>
      </c>
      <c r="F483" s="89">
        <v>41165.410000000003</v>
      </c>
      <c r="G483" s="89">
        <v>55667.07</v>
      </c>
      <c r="H483" s="89">
        <v>35470.76</v>
      </c>
      <c r="I483" s="89">
        <v>47124.95</v>
      </c>
      <c r="J483" s="88" t="s">
        <v>125</v>
      </c>
    </row>
    <row r="484" spans="1:10" x14ac:dyDescent="0.35">
      <c r="A484" s="85"/>
      <c r="B484" s="86" t="s">
        <v>186</v>
      </c>
      <c r="C484" s="86" t="s">
        <v>169</v>
      </c>
      <c r="D484" s="86" t="s">
        <v>192</v>
      </c>
      <c r="E484" s="89">
        <v>164532.4</v>
      </c>
      <c r="F484" s="89">
        <v>248328.9</v>
      </c>
      <c r="G484" s="89">
        <v>336608.7</v>
      </c>
      <c r="H484" s="89">
        <v>211416.4</v>
      </c>
      <c r="I484" s="89">
        <v>287161</v>
      </c>
      <c r="J484" s="88" t="s">
        <v>125</v>
      </c>
    </row>
    <row r="485" spans="1:10" x14ac:dyDescent="0.35">
      <c r="A485" s="85"/>
      <c r="B485" s="86"/>
      <c r="C485" s="86" t="s">
        <v>169</v>
      </c>
      <c r="D485" s="86" t="s">
        <v>193</v>
      </c>
      <c r="E485" s="89">
        <v>68004.509999999995</v>
      </c>
      <c r="F485" s="89">
        <v>99895.66</v>
      </c>
      <c r="G485" s="89">
        <v>134890</v>
      </c>
      <c r="H485" s="89">
        <v>84340.46</v>
      </c>
      <c r="I485" s="89">
        <v>116381.4</v>
      </c>
      <c r="J485" s="88" t="s">
        <v>125</v>
      </c>
    </row>
    <row r="486" spans="1:10" x14ac:dyDescent="0.35">
      <c r="A486" s="85"/>
      <c r="B486" s="86" t="s">
        <v>189</v>
      </c>
      <c r="C486" s="86" t="s">
        <v>169</v>
      </c>
      <c r="D486" s="86" t="s">
        <v>194</v>
      </c>
      <c r="E486" s="89">
        <v>333.77</v>
      </c>
      <c r="F486" s="89">
        <v>527.54999999999995</v>
      </c>
      <c r="G486" s="89">
        <v>771.82</v>
      </c>
      <c r="H486" s="89">
        <v>433.26</v>
      </c>
      <c r="I486" s="89">
        <v>628.27</v>
      </c>
      <c r="J486" s="88" t="s">
        <v>125</v>
      </c>
    </row>
    <row r="487" spans="1:10" x14ac:dyDescent="0.35">
      <c r="A487" s="85"/>
      <c r="B487" s="86"/>
      <c r="C487" s="86" t="s">
        <v>169</v>
      </c>
      <c r="D487" s="86" t="s">
        <v>195</v>
      </c>
      <c r="E487" s="89">
        <v>265350.40000000002</v>
      </c>
      <c r="F487" s="89">
        <v>389917.6</v>
      </c>
      <c r="G487" s="89">
        <v>512678.8</v>
      </c>
      <c r="H487" s="89">
        <v>337417.5</v>
      </c>
      <c r="I487" s="89">
        <v>444448.2</v>
      </c>
      <c r="J487" s="88" t="s">
        <v>125</v>
      </c>
    </row>
    <row r="488" spans="1:10" x14ac:dyDescent="0.35">
      <c r="A488" s="85"/>
      <c r="B488" s="86" t="s">
        <v>184</v>
      </c>
      <c r="C488" s="86" t="s">
        <v>169</v>
      </c>
      <c r="D488" s="86" t="s">
        <v>196</v>
      </c>
      <c r="E488" s="89">
        <v>95726.34</v>
      </c>
      <c r="F488" s="89">
        <v>118498.9</v>
      </c>
      <c r="G488" s="89">
        <v>138852.9</v>
      </c>
      <c r="H488" s="89">
        <v>109514.1</v>
      </c>
      <c r="I488" s="89">
        <v>127483.4</v>
      </c>
      <c r="J488" s="88" t="s">
        <v>125</v>
      </c>
    </row>
    <row r="489" spans="1:10" x14ac:dyDescent="0.35">
      <c r="A489" s="85"/>
      <c r="B489" s="86" t="s">
        <v>186</v>
      </c>
      <c r="C489" s="86" t="s">
        <v>169</v>
      </c>
      <c r="D489" s="86" t="s">
        <v>197</v>
      </c>
      <c r="E489" s="89">
        <v>71077.77</v>
      </c>
      <c r="F489" s="89">
        <v>90816.77</v>
      </c>
      <c r="G489" s="89">
        <v>109430.7</v>
      </c>
      <c r="H489" s="89">
        <v>82317.63</v>
      </c>
      <c r="I489" s="89">
        <v>99315.56</v>
      </c>
      <c r="J489" s="88" t="s">
        <v>125</v>
      </c>
    </row>
    <row r="490" spans="1:10" x14ac:dyDescent="0.35">
      <c r="A490" s="85"/>
      <c r="B490" s="86"/>
      <c r="C490" s="86" t="s">
        <v>169</v>
      </c>
      <c r="D490" s="86" t="s">
        <v>198</v>
      </c>
      <c r="E490" s="89">
        <v>53008.17</v>
      </c>
      <c r="F490" s="89">
        <v>69205.31</v>
      </c>
      <c r="G490" s="89">
        <v>86439.91</v>
      </c>
      <c r="H490" s="89">
        <v>61859.74</v>
      </c>
      <c r="I490" s="89">
        <v>76550.59</v>
      </c>
      <c r="J490" s="88" t="s">
        <v>125</v>
      </c>
    </row>
    <row r="491" spans="1:10" x14ac:dyDescent="0.35">
      <c r="A491" s="85"/>
      <c r="B491" s="86" t="s">
        <v>189</v>
      </c>
      <c r="C491" s="86" t="s">
        <v>169</v>
      </c>
      <c r="D491" s="86" t="s">
        <v>199</v>
      </c>
      <c r="E491" s="89">
        <v>32495.58</v>
      </c>
      <c r="F491" s="89">
        <v>46865.34</v>
      </c>
      <c r="G491" s="89">
        <v>61539.14</v>
      </c>
      <c r="H491" s="89">
        <v>40309.01</v>
      </c>
      <c r="I491" s="89">
        <v>53421.5</v>
      </c>
      <c r="J491" s="88" t="s">
        <v>125</v>
      </c>
    </row>
    <row r="492" spans="1:10" x14ac:dyDescent="0.35">
      <c r="A492" s="85"/>
      <c r="B492" s="86" t="s">
        <v>184</v>
      </c>
      <c r="C492" s="86" t="s">
        <v>169</v>
      </c>
      <c r="D492" s="86" t="s">
        <v>200</v>
      </c>
      <c r="E492" s="90">
        <v>13895.68</v>
      </c>
      <c r="F492" s="90">
        <v>19322.54</v>
      </c>
      <c r="G492" s="90">
        <v>26129.439999999999</v>
      </c>
      <c r="H492" s="90">
        <v>16649.54</v>
      </c>
      <c r="I492" s="90">
        <v>22119.88</v>
      </c>
      <c r="J492" s="88" t="s">
        <v>125</v>
      </c>
    </row>
    <row r="493" spans="1:10" x14ac:dyDescent="0.35">
      <c r="A493" s="85"/>
      <c r="B493" s="86" t="s">
        <v>186</v>
      </c>
      <c r="C493" s="86" t="s">
        <v>169</v>
      </c>
      <c r="D493" s="86" t="s">
        <v>201</v>
      </c>
      <c r="E493" s="90">
        <v>77229.490000000005</v>
      </c>
      <c r="F493" s="90">
        <v>116562.6</v>
      </c>
      <c r="G493" s="90">
        <v>158000</v>
      </c>
      <c r="H493" s="90">
        <v>99236.28</v>
      </c>
      <c r="I493" s="90">
        <v>134789.79999999999</v>
      </c>
      <c r="J493" s="88" t="s">
        <v>125</v>
      </c>
    </row>
    <row r="494" spans="1:10" x14ac:dyDescent="0.35">
      <c r="A494" s="85"/>
      <c r="B494" s="86"/>
      <c r="C494" s="86" t="s">
        <v>169</v>
      </c>
      <c r="D494" s="86" t="s">
        <v>202</v>
      </c>
      <c r="E494" s="90">
        <v>31920.48</v>
      </c>
      <c r="F494" s="90">
        <v>46889.8</v>
      </c>
      <c r="G494" s="90">
        <v>63315.71</v>
      </c>
      <c r="H494" s="90">
        <v>39588.379999999997</v>
      </c>
      <c r="I494" s="90">
        <v>54627.99</v>
      </c>
      <c r="J494" s="88" t="s">
        <v>125</v>
      </c>
    </row>
    <row r="495" spans="1:10" x14ac:dyDescent="0.35">
      <c r="A495" s="85"/>
      <c r="B495" s="86" t="s">
        <v>189</v>
      </c>
      <c r="C495" s="86" t="s">
        <v>169</v>
      </c>
      <c r="D495" s="86" t="s">
        <v>203</v>
      </c>
      <c r="E495" s="90">
        <v>156.66999999999999</v>
      </c>
      <c r="F495" s="90">
        <v>247.63</v>
      </c>
      <c r="G495" s="90">
        <v>362.28</v>
      </c>
      <c r="H495" s="90">
        <v>203.37</v>
      </c>
      <c r="I495" s="90">
        <v>294.89999999999998</v>
      </c>
      <c r="J495" s="88" t="s">
        <v>125</v>
      </c>
    </row>
    <row r="496" spans="1:10" x14ac:dyDescent="0.35">
      <c r="A496" s="85"/>
      <c r="B496" s="86"/>
      <c r="C496" s="86" t="s">
        <v>169</v>
      </c>
      <c r="D496" s="86" t="s">
        <v>204</v>
      </c>
      <c r="E496" s="90">
        <v>124552.3</v>
      </c>
      <c r="F496" s="90">
        <v>183022.5</v>
      </c>
      <c r="G496" s="90">
        <v>240645.1</v>
      </c>
      <c r="H496" s="90">
        <v>158379.6</v>
      </c>
      <c r="I496" s="90">
        <v>208618.5</v>
      </c>
      <c r="J496" s="88" t="s">
        <v>125</v>
      </c>
    </row>
    <row r="497" spans="1:10" x14ac:dyDescent="0.35">
      <c r="A497" s="85"/>
      <c r="B497" s="86" t="s">
        <v>184</v>
      </c>
      <c r="C497" s="86" t="s">
        <v>169</v>
      </c>
      <c r="D497" s="86" t="s">
        <v>205</v>
      </c>
      <c r="E497" s="89">
        <v>312151.09999999998</v>
      </c>
      <c r="F497" s="89">
        <v>386409.3</v>
      </c>
      <c r="G497" s="89">
        <v>452781.1</v>
      </c>
      <c r="H497" s="89">
        <v>357111.2</v>
      </c>
      <c r="I497" s="89">
        <v>415706.7</v>
      </c>
      <c r="J497" s="88" t="s">
        <v>125</v>
      </c>
    </row>
    <row r="498" spans="1:10" x14ac:dyDescent="0.35">
      <c r="A498" s="85"/>
      <c r="B498" s="86" t="s">
        <v>186</v>
      </c>
      <c r="C498" s="86" t="s">
        <v>169</v>
      </c>
      <c r="D498" s="86" t="s">
        <v>206</v>
      </c>
      <c r="E498" s="89">
        <v>231775.3</v>
      </c>
      <c r="F498" s="89">
        <v>296141.59999999998</v>
      </c>
      <c r="G498" s="89">
        <v>356839.3</v>
      </c>
      <c r="H498" s="89">
        <v>268427</v>
      </c>
      <c r="I498" s="89">
        <v>323855.09999999998</v>
      </c>
      <c r="J498" s="88" t="s">
        <v>125</v>
      </c>
    </row>
    <row r="499" spans="1:10" x14ac:dyDescent="0.35">
      <c r="A499" s="85"/>
      <c r="B499" s="86"/>
      <c r="C499" s="86" t="s">
        <v>169</v>
      </c>
      <c r="D499" s="86" t="s">
        <v>207</v>
      </c>
      <c r="E499" s="89">
        <v>172852.7</v>
      </c>
      <c r="F499" s="89">
        <v>225669.5</v>
      </c>
      <c r="G499" s="89">
        <v>281869.3</v>
      </c>
      <c r="H499" s="89">
        <v>201716.5</v>
      </c>
      <c r="I499" s="89">
        <v>249621.5</v>
      </c>
      <c r="J499" s="88" t="s">
        <v>125</v>
      </c>
    </row>
    <row r="500" spans="1:10" x14ac:dyDescent="0.35">
      <c r="A500" s="85"/>
      <c r="B500" s="86" t="s">
        <v>189</v>
      </c>
      <c r="C500" s="86" t="s">
        <v>169</v>
      </c>
      <c r="D500" s="86" t="s">
        <v>208</v>
      </c>
      <c r="E500" s="89">
        <v>105963.9</v>
      </c>
      <c r="F500" s="89">
        <v>152821.79999999999</v>
      </c>
      <c r="G500" s="89">
        <v>200671.1</v>
      </c>
      <c r="H500" s="89">
        <v>131442.4</v>
      </c>
      <c r="I500" s="89">
        <v>174200.5</v>
      </c>
      <c r="J500" s="88" t="s">
        <v>125</v>
      </c>
    </row>
    <row r="501" spans="1:10" x14ac:dyDescent="0.35">
      <c r="A501" s="85"/>
      <c r="B501" s="86" t="s">
        <v>184</v>
      </c>
      <c r="C501" s="86" t="s">
        <v>169</v>
      </c>
      <c r="D501" s="86" t="s">
        <v>209</v>
      </c>
      <c r="E501" s="90">
        <v>45312</v>
      </c>
      <c r="F501" s="90">
        <v>63008.27</v>
      </c>
      <c r="G501" s="90">
        <v>85204.7</v>
      </c>
      <c r="H501" s="90">
        <v>54291.98</v>
      </c>
      <c r="I501" s="90">
        <v>72130.03</v>
      </c>
      <c r="J501" s="88" t="s">
        <v>125</v>
      </c>
    </row>
    <row r="502" spans="1:10" x14ac:dyDescent="0.35">
      <c r="A502" s="85"/>
      <c r="B502" s="86" t="s">
        <v>186</v>
      </c>
      <c r="C502" s="86" t="s">
        <v>169</v>
      </c>
      <c r="D502" s="86" t="s">
        <v>210</v>
      </c>
      <c r="E502" s="90">
        <v>251835.3</v>
      </c>
      <c r="F502" s="90">
        <v>380095.3</v>
      </c>
      <c r="G502" s="90">
        <v>515217.3</v>
      </c>
      <c r="H502" s="90">
        <v>323596.59999999998</v>
      </c>
      <c r="I502" s="90">
        <v>439532.1</v>
      </c>
      <c r="J502" s="88" t="s">
        <v>125</v>
      </c>
    </row>
    <row r="503" spans="1:10" x14ac:dyDescent="0.35">
      <c r="A503" s="85"/>
      <c r="B503" s="86"/>
      <c r="C503" s="86" t="s">
        <v>169</v>
      </c>
      <c r="D503" s="86" t="s">
        <v>211</v>
      </c>
      <c r="E503" s="90">
        <v>104088.5</v>
      </c>
      <c r="F503" s="90">
        <v>152901.5</v>
      </c>
      <c r="G503" s="90">
        <v>206464.3</v>
      </c>
      <c r="H503" s="90">
        <v>129092.5</v>
      </c>
      <c r="I503" s="90">
        <v>178134.8</v>
      </c>
      <c r="J503" s="88" t="s">
        <v>125</v>
      </c>
    </row>
    <row r="504" spans="1:10" x14ac:dyDescent="0.35">
      <c r="A504" s="85"/>
      <c r="B504" s="86" t="s">
        <v>189</v>
      </c>
      <c r="C504" s="86" t="s">
        <v>169</v>
      </c>
      <c r="D504" s="86" t="s">
        <v>212</v>
      </c>
      <c r="E504" s="90">
        <v>510.87</v>
      </c>
      <c r="F504" s="90">
        <v>807.48</v>
      </c>
      <c r="G504" s="90">
        <v>1181.3499999999999</v>
      </c>
      <c r="H504" s="90">
        <v>663.15</v>
      </c>
      <c r="I504" s="90">
        <v>961.64</v>
      </c>
      <c r="J504" s="88" t="s">
        <v>125</v>
      </c>
    </row>
    <row r="505" spans="1:10" x14ac:dyDescent="0.35">
      <c r="A505" s="85"/>
      <c r="B505" s="86"/>
      <c r="C505" s="86" t="s">
        <v>169</v>
      </c>
      <c r="D505" s="86" t="s">
        <v>213</v>
      </c>
      <c r="E505" s="90">
        <v>406148.6</v>
      </c>
      <c r="F505" s="90">
        <v>596812.6</v>
      </c>
      <c r="G505" s="90">
        <v>784712.4</v>
      </c>
      <c r="H505" s="90">
        <v>516455.3</v>
      </c>
      <c r="I505" s="90">
        <v>680277.8</v>
      </c>
      <c r="J505" s="88" t="s">
        <v>125</v>
      </c>
    </row>
    <row r="506" spans="1:10" x14ac:dyDescent="0.35">
      <c r="A506" s="85"/>
      <c r="B506" s="86" t="s">
        <v>70</v>
      </c>
      <c r="C506" s="86" t="s">
        <v>214</v>
      </c>
      <c r="D506" s="86" t="s">
        <v>215</v>
      </c>
      <c r="E506" s="87">
        <v>72064770</v>
      </c>
      <c r="F506" s="87">
        <v>129437000</v>
      </c>
      <c r="G506" s="87">
        <v>186019500</v>
      </c>
      <c r="H506" s="87">
        <v>104066000</v>
      </c>
      <c r="I506" s="87">
        <v>154804800</v>
      </c>
      <c r="J506" s="88" t="s">
        <v>125</v>
      </c>
    </row>
    <row r="507" spans="1:10" x14ac:dyDescent="0.35">
      <c r="A507" s="85"/>
      <c r="B507" s="86" t="s">
        <v>72</v>
      </c>
      <c r="C507" s="86" t="s">
        <v>214</v>
      </c>
      <c r="D507" s="86" t="s">
        <v>216</v>
      </c>
      <c r="E507" s="87">
        <v>567682200</v>
      </c>
      <c r="F507" s="87">
        <v>1019625000</v>
      </c>
      <c r="G507" s="87">
        <v>1465348000</v>
      </c>
      <c r="H507" s="87">
        <v>819768000</v>
      </c>
      <c r="I507" s="87">
        <v>1219458000</v>
      </c>
      <c r="J507" s="88" t="s">
        <v>125</v>
      </c>
    </row>
    <row r="508" spans="1:10" x14ac:dyDescent="0.35">
      <c r="A508" s="85"/>
      <c r="B508" s="86" t="s">
        <v>73</v>
      </c>
      <c r="C508" s="86" t="s">
        <v>214</v>
      </c>
      <c r="D508" s="86" t="s">
        <v>217</v>
      </c>
      <c r="E508" s="87">
        <v>809053500</v>
      </c>
      <c r="F508" s="87">
        <v>1453157000</v>
      </c>
      <c r="G508" s="87">
        <v>2088395000</v>
      </c>
      <c r="H508" s="87">
        <v>1168323000</v>
      </c>
      <c r="I508" s="87">
        <v>1737956000</v>
      </c>
      <c r="J508" s="88" t="s">
        <v>125</v>
      </c>
    </row>
    <row r="509" spans="1:10" x14ac:dyDescent="0.35">
      <c r="A509" s="85"/>
      <c r="B509" s="86" t="s">
        <v>75</v>
      </c>
      <c r="C509" s="86" t="s">
        <v>214</v>
      </c>
      <c r="D509" s="86" t="s">
        <v>218</v>
      </c>
      <c r="E509" s="87">
        <v>1440753000</v>
      </c>
      <c r="F509" s="87">
        <v>2587765000</v>
      </c>
      <c r="G509" s="87">
        <v>3718989000</v>
      </c>
      <c r="H509" s="87">
        <v>2080536000</v>
      </c>
      <c r="I509" s="87">
        <v>3094931000</v>
      </c>
      <c r="J509" s="88" t="s">
        <v>125</v>
      </c>
    </row>
    <row r="510" spans="1:10" x14ac:dyDescent="0.35">
      <c r="A510" s="85"/>
      <c r="B510" s="86" t="s">
        <v>76</v>
      </c>
      <c r="C510" s="86" t="s">
        <v>214</v>
      </c>
      <c r="D510" s="86" t="s">
        <v>219</v>
      </c>
      <c r="E510" s="87">
        <v>2672018000</v>
      </c>
      <c r="F510" s="87">
        <v>4799265000</v>
      </c>
      <c r="G510" s="87">
        <v>6897230000</v>
      </c>
      <c r="H510" s="87">
        <v>3858558000</v>
      </c>
      <c r="I510" s="87">
        <v>5739853000</v>
      </c>
      <c r="J510" s="88" t="s">
        <v>125</v>
      </c>
    </row>
    <row r="511" spans="1:10" x14ac:dyDescent="0.35">
      <c r="A511" s="85"/>
      <c r="B511" s="86" t="s">
        <v>77</v>
      </c>
      <c r="C511" s="86" t="s">
        <v>214</v>
      </c>
      <c r="D511" s="86" t="s">
        <v>220</v>
      </c>
      <c r="E511" s="87">
        <v>2670578000</v>
      </c>
      <c r="F511" s="87">
        <v>4796679000</v>
      </c>
      <c r="G511" s="87">
        <v>6893514000</v>
      </c>
      <c r="H511" s="87">
        <v>3856478000</v>
      </c>
      <c r="I511" s="87">
        <v>5736760000</v>
      </c>
      <c r="J511" s="88" t="s">
        <v>125</v>
      </c>
    </row>
    <row r="512" spans="1:10" x14ac:dyDescent="0.35">
      <c r="A512" s="85"/>
      <c r="B512" s="86" t="s">
        <v>78</v>
      </c>
      <c r="C512" s="86" t="s">
        <v>214</v>
      </c>
      <c r="D512" s="86" t="s">
        <v>221</v>
      </c>
      <c r="E512" s="87">
        <v>86869640</v>
      </c>
      <c r="F512" s="87">
        <v>156028300</v>
      </c>
      <c r="G512" s="87">
        <v>224235000</v>
      </c>
      <c r="H512" s="87">
        <v>125445100</v>
      </c>
      <c r="I512" s="87">
        <v>186607700</v>
      </c>
      <c r="J512" s="88" t="s">
        <v>125</v>
      </c>
    </row>
    <row r="513" spans="1:10" x14ac:dyDescent="0.35">
      <c r="A513" s="85"/>
      <c r="B513" s="86" t="s">
        <v>80</v>
      </c>
      <c r="C513" s="86" t="s">
        <v>214</v>
      </c>
      <c r="D513" s="86" t="s">
        <v>222</v>
      </c>
      <c r="E513" s="87">
        <v>8319018000</v>
      </c>
      <c r="F513" s="87">
        <v>14941960000</v>
      </c>
      <c r="G513" s="87">
        <v>21473730000</v>
      </c>
      <c r="H513" s="87">
        <v>12013170000</v>
      </c>
      <c r="I513" s="87">
        <v>17870370000</v>
      </c>
      <c r="J513" s="88" t="s">
        <v>125</v>
      </c>
    </row>
    <row r="514" spans="1:10" x14ac:dyDescent="0.35">
      <c r="A514" s="85"/>
      <c r="B514" s="86" t="s">
        <v>70</v>
      </c>
      <c r="C514" s="86" t="s">
        <v>214</v>
      </c>
      <c r="D514" s="86" t="s">
        <v>223</v>
      </c>
      <c r="E514" s="87">
        <v>100702500</v>
      </c>
      <c r="F514" s="87">
        <v>180873900</v>
      </c>
      <c r="G514" s="87">
        <v>259941600</v>
      </c>
      <c r="H514" s="87">
        <v>145420700</v>
      </c>
      <c r="I514" s="87">
        <v>216322600</v>
      </c>
      <c r="J514" s="88" t="s">
        <v>125</v>
      </c>
    </row>
    <row r="515" spans="1:10" x14ac:dyDescent="0.35">
      <c r="A515" s="85"/>
      <c r="B515" s="86" t="s">
        <v>72</v>
      </c>
      <c r="C515" s="86" t="s">
        <v>214</v>
      </c>
      <c r="D515" s="86" t="s">
        <v>224</v>
      </c>
      <c r="E515" s="87">
        <v>570418000</v>
      </c>
      <c r="F515" s="87">
        <v>1024539000</v>
      </c>
      <c r="G515" s="87">
        <v>1472409000</v>
      </c>
      <c r="H515" s="87">
        <v>823718700</v>
      </c>
      <c r="I515" s="87">
        <v>1225335000</v>
      </c>
      <c r="J515" s="88" t="s">
        <v>125</v>
      </c>
    </row>
    <row r="516" spans="1:10" x14ac:dyDescent="0.35">
      <c r="A516" s="85"/>
      <c r="B516" s="86" t="s">
        <v>73</v>
      </c>
      <c r="C516" s="86" t="s">
        <v>214</v>
      </c>
      <c r="D516" s="86" t="s">
        <v>225</v>
      </c>
      <c r="E516" s="87">
        <v>692858900</v>
      </c>
      <c r="F516" s="87">
        <v>1244458000</v>
      </c>
      <c r="G516" s="87">
        <v>1788464000</v>
      </c>
      <c r="H516" s="87">
        <v>1000531000</v>
      </c>
      <c r="I516" s="87">
        <v>1488354000</v>
      </c>
      <c r="J516" s="88" t="s">
        <v>125</v>
      </c>
    </row>
    <row r="517" spans="1:10" x14ac:dyDescent="0.35">
      <c r="A517" s="85"/>
      <c r="B517" s="86" t="s">
        <v>75</v>
      </c>
      <c r="C517" s="86" t="s">
        <v>214</v>
      </c>
      <c r="D517" s="86" t="s">
        <v>226</v>
      </c>
      <c r="E517" s="87">
        <v>761058800</v>
      </c>
      <c r="F517" s="87">
        <v>1366953000</v>
      </c>
      <c r="G517" s="87">
        <v>1964507000</v>
      </c>
      <c r="H517" s="87">
        <v>1099016000</v>
      </c>
      <c r="I517" s="87">
        <v>1634856000</v>
      </c>
      <c r="J517" s="88" t="s">
        <v>125</v>
      </c>
    </row>
    <row r="518" spans="1:10" x14ac:dyDescent="0.35">
      <c r="A518" s="85"/>
      <c r="B518" s="86" t="s">
        <v>76</v>
      </c>
      <c r="C518" s="86" t="s">
        <v>214</v>
      </c>
      <c r="D518" s="86" t="s">
        <v>227</v>
      </c>
      <c r="E518" s="87">
        <v>1467516000</v>
      </c>
      <c r="F518" s="87">
        <v>2635836000</v>
      </c>
      <c r="G518" s="87">
        <v>3788073000</v>
      </c>
      <c r="H518" s="87">
        <v>2119184000</v>
      </c>
      <c r="I518" s="87">
        <v>3152422000</v>
      </c>
      <c r="J518" s="88" t="s">
        <v>125</v>
      </c>
    </row>
    <row r="519" spans="1:10" x14ac:dyDescent="0.35">
      <c r="A519" s="85"/>
      <c r="B519" s="86" t="s">
        <v>77</v>
      </c>
      <c r="C519" s="86" t="s">
        <v>214</v>
      </c>
      <c r="D519" s="86" t="s">
        <v>228</v>
      </c>
      <c r="E519" s="87">
        <v>1126022000</v>
      </c>
      <c r="F519" s="87">
        <v>2022470000</v>
      </c>
      <c r="G519" s="87">
        <v>2906579000</v>
      </c>
      <c r="H519" s="87">
        <v>1626045000</v>
      </c>
      <c r="I519" s="87">
        <v>2418846000</v>
      </c>
      <c r="J519" s="88" t="s">
        <v>125</v>
      </c>
    </row>
    <row r="520" spans="1:10" x14ac:dyDescent="0.35">
      <c r="A520" s="85"/>
      <c r="B520" s="86" t="s">
        <v>78</v>
      </c>
      <c r="C520" s="86" t="s">
        <v>214</v>
      </c>
      <c r="D520" s="86" t="s">
        <v>229</v>
      </c>
      <c r="E520" s="87">
        <v>34205250</v>
      </c>
      <c r="F520" s="87">
        <v>61436730</v>
      </c>
      <c r="G520" s="87">
        <v>88293380</v>
      </c>
      <c r="H520" s="87">
        <v>49394480</v>
      </c>
      <c r="I520" s="87">
        <v>73477470</v>
      </c>
      <c r="J520" s="88" t="s">
        <v>125</v>
      </c>
    </row>
    <row r="521" spans="1:10" x14ac:dyDescent="0.35">
      <c r="A521" s="85"/>
      <c r="B521" s="86" t="s">
        <v>80</v>
      </c>
      <c r="C521" s="86" t="s">
        <v>214</v>
      </c>
      <c r="D521" s="86" t="s">
        <v>230</v>
      </c>
      <c r="E521" s="87">
        <v>4752781000</v>
      </c>
      <c r="F521" s="87">
        <v>8536566000</v>
      </c>
      <c r="G521" s="87">
        <v>12268270000</v>
      </c>
      <c r="H521" s="87">
        <v>6863308000</v>
      </c>
      <c r="I521" s="87">
        <v>10209610000</v>
      </c>
      <c r="J521" s="88" t="s">
        <v>125</v>
      </c>
    </row>
    <row r="522" spans="1:10" x14ac:dyDescent="0.35">
      <c r="A522" s="85"/>
      <c r="B522" s="86" t="s">
        <v>0</v>
      </c>
      <c r="C522" s="86" t="s">
        <v>214</v>
      </c>
      <c r="D522" s="86" t="s">
        <v>231</v>
      </c>
      <c r="E522" s="87">
        <v>13071.8</v>
      </c>
      <c r="F522" s="87">
        <v>23478.52</v>
      </c>
      <c r="G522" s="87">
        <v>33742</v>
      </c>
      <c r="H522" s="87">
        <v>18876.48</v>
      </c>
      <c r="I522" s="87">
        <v>28079.98</v>
      </c>
      <c r="J522" s="88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abSelected="1" workbookViewId="0">
      <selection activeCell="B25" sqref="B25:C25"/>
    </sheetView>
  </sheetViews>
  <sheetFormatPr defaultRowHeight="14.5" x14ac:dyDescent="0.35"/>
  <cols>
    <col min="1" max="1" width="42.453125" bestFit="1" customWidth="1"/>
    <col min="2" max="2" width="18.26953125" customWidth="1"/>
    <col min="3" max="3" width="14" customWidth="1"/>
  </cols>
  <sheetData>
    <row r="1" spans="1:12" ht="58" x14ac:dyDescent="0.35">
      <c r="A1" s="6" t="s">
        <v>31</v>
      </c>
      <c r="B1" s="21" t="s">
        <v>32</v>
      </c>
      <c r="C1" s="21" t="s">
        <v>33</v>
      </c>
    </row>
    <row r="2" spans="1:12" x14ac:dyDescent="0.35">
      <c r="A2" s="6" t="s">
        <v>34</v>
      </c>
    </row>
    <row r="3" spans="1:12" x14ac:dyDescent="0.35">
      <c r="A3" s="22" t="s">
        <v>7</v>
      </c>
      <c r="B3" s="23">
        <f ca="1">'HCC sensitivity'!E3</f>
        <v>12901.639493107466</v>
      </c>
      <c r="C3" s="24">
        <f ca="1">B3/B$42</f>
        <v>1.2640418476250106E-2</v>
      </c>
      <c r="E3" s="69"/>
    </row>
    <row r="4" spans="1:12" x14ac:dyDescent="0.35">
      <c r="A4" s="22" t="s">
        <v>1</v>
      </c>
      <c r="B4" s="23">
        <f ca="1">'HCC sensitivity'!E4</f>
        <v>3169.7053434274958</v>
      </c>
      <c r="C4" s="24">
        <f t="shared" ref="C4:C9" ca="1" si="0">B4/B$42</f>
        <v>3.1055279454006261E-3</v>
      </c>
      <c r="E4" s="69"/>
    </row>
    <row r="5" spans="1:12" x14ac:dyDescent="0.35">
      <c r="A5" s="22" t="s">
        <v>2</v>
      </c>
      <c r="B5" s="23">
        <f ca="1">'HCC sensitivity'!E5</f>
        <v>11142.052323948144</v>
      </c>
      <c r="C5" s="24">
        <f t="shared" ca="1" si="0"/>
        <v>1.0916457876087889E-2</v>
      </c>
      <c r="E5" s="69"/>
    </row>
    <row r="6" spans="1:12" x14ac:dyDescent="0.35">
      <c r="A6" s="22" t="s">
        <v>3</v>
      </c>
      <c r="B6" s="23">
        <f ca="1">'HCC sensitivity'!E6</f>
        <v>1123.7022542117679</v>
      </c>
      <c r="C6" s="24">
        <f t="shared" ca="1" si="0"/>
        <v>1.1009505221046259E-3</v>
      </c>
      <c r="E6" s="69"/>
    </row>
    <row r="7" spans="1:12" x14ac:dyDescent="0.35">
      <c r="A7" s="22" t="s">
        <v>4</v>
      </c>
      <c r="B7" s="23">
        <f ca="1">'HCC sensitivity'!E7</f>
        <v>820.11074451540344</v>
      </c>
      <c r="C7" s="24">
        <f t="shared" ca="1" si="0"/>
        <v>8.0350586552057409E-4</v>
      </c>
      <c r="E7" s="69"/>
    </row>
    <row r="8" spans="1:12" x14ac:dyDescent="0.35">
      <c r="A8" s="22" t="s">
        <v>8</v>
      </c>
      <c r="B8" s="23">
        <f ca="1">'HCC sensitivity'!E8</f>
        <v>2150.5321327742549</v>
      </c>
      <c r="C8" s="24">
        <f t="shared" ca="1" si="0"/>
        <v>2.1069900549780312E-3</v>
      </c>
      <c r="E8" s="69"/>
    </row>
    <row r="9" spans="1:12" x14ac:dyDescent="0.35">
      <c r="A9" s="25" t="s">
        <v>35</v>
      </c>
      <c r="B9" s="26">
        <f ca="1">_xll.RiskOutput()+'HCC sensitivity'!E9</f>
        <v>31307.742291984534</v>
      </c>
      <c r="C9" s="27">
        <f t="shared" ca="1" si="0"/>
        <v>3.0673850740341853E-2</v>
      </c>
      <c r="E9" s="69"/>
      <c r="H9" s="26"/>
      <c r="I9" s="26"/>
      <c r="K9" s="26"/>
      <c r="L9" s="26"/>
    </row>
    <row r="10" spans="1:12" x14ac:dyDescent="0.35">
      <c r="A10" s="28"/>
      <c r="B10" s="19"/>
      <c r="C10" s="29"/>
    </row>
    <row r="11" spans="1:12" x14ac:dyDescent="0.35">
      <c r="A11" s="28"/>
      <c r="B11" s="19"/>
      <c r="C11" s="29"/>
    </row>
    <row r="12" spans="1:12" x14ac:dyDescent="0.35">
      <c r="A12" s="30" t="s">
        <v>36</v>
      </c>
      <c r="B12" s="19"/>
      <c r="C12" s="29"/>
    </row>
    <row r="13" spans="1:12" x14ac:dyDescent="0.35">
      <c r="A13" s="28" t="s">
        <v>37</v>
      </c>
      <c r="B13" s="23">
        <f ca="1">_xll.RiskPertAlt("min",759.238122,50%,843.6,"max",927.961878,_xll.RiskStatic(843.6))</f>
        <v>843.6</v>
      </c>
      <c r="C13" s="24">
        <f t="shared" ref="C13:C16" ca="1" si="1">B13/B$42</f>
        <v>8.2651953127828466E-4</v>
      </c>
    </row>
    <row r="14" spans="1:12" x14ac:dyDescent="0.35">
      <c r="A14" s="28" t="s">
        <v>38</v>
      </c>
      <c r="B14" s="23">
        <f ca="1">_xll.RiskPertAlt("min",2093.093965,50%,2325.6,"max",2558.106035,_xll.RiskStatic(2325.6))</f>
        <v>2325.6</v>
      </c>
      <c r="C14" s="24">
        <f t="shared" ca="1" si="1"/>
        <v>2.2785133024428388E-3</v>
      </c>
    </row>
    <row r="15" spans="1:12" x14ac:dyDescent="0.35">
      <c r="A15" s="28" t="s">
        <v>16</v>
      </c>
      <c r="B15" s="23">
        <f ca="1">_xll.RiskPertAlt("min",328.323102,50%,364.8,"max",401.276898,_xll.RiskStatic(364.8))</f>
        <v>364.8</v>
      </c>
      <c r="C15" s="24">
        <f t="shared" ca="1" si="1"/>
        <v>3.5741385136358255E-4</v>
      </c>
    </row>
    <row r="16" spans="1:12" x14ac:dyDescent="0.35">
      <c r="A16" s="30" t="s">
        <v>0</v>
      </c>
      <c r="B16" s="26">
        <f ca="1">_xll.RiskOutput()+B13+B14+B15</f>
        <v>3534</v>
      </c>
      <c r="C16" s="27">
        <f t="shared" ca="1" si="1"/>
        <v>3.4624466850847061E-3</v>
      </c>
      <c r="E16" s="39"/>
      <c r="H16" s="19"/>
      <c r="I16" s="29"/>
      <c r="K16" s="39"/>
      <c r="L16" s="39"/>
    </row>
    <row r="17" spans="1:12" x14ac:dyDescent="0.35">
      <c r="A17" s="28"/>
      <c r="B17" s="19"/>
      <c r="C17" s="29"/>
    </row>
    <row r="18" spans="1:12" x14ac:dyDescent="0.35">
      <c r="A18" s="28"/>
      <c r="B18" s="19"/>
      <c r="C18" s="29"/>
    </row>
    <row r="19" spans="1:12" x14ac:dyDescent="0.35">
      <c r="A19" s="30" t="s">
        <v>39</v>
      </c>
      <c r="B19" s="19"/>
      <c r="C19" s="29"/>
    </row>
    <row r="20" spans="1:12" x14ac:dyDescent="0.35">
      <c r="A20" s="31" t="s">
        <v>40</v>
      </c>
      <c r="B20" s="53">
        <f ca="1">_xll.RiskPertAlt(5%,5822.8,50%,6208.7,95%,6594.5,_xll.RiskStatic(6208.65483603886))</f>
        <v>6208.6548360388597</v>
      </c>
      <c r="C20" s="24">
        <f t="shared" ref="C20:C24" ca="1" si="2">B20/B$42</f>
        <v>6.0829474691222064E-3</v>
      </c>
    </row>
    <row r="21" spans="1:12" x14ac:dyDescent="0.35">
      <c r="A21" s="31" t="s">
        <v>41</v>
      </c>
      <c r="B21" s="53">
        <f ca="1">_xll.RiskPertAlt(5%,2643.9,50%,2819.1,95%,2994.3,_xll.RiskStatic(2819.11527004865))</f>
        <v>2819.11527004865</v>
      </c>
      <c r="C21" s="24">
        <f t="shared" ca="1" si="2"/>
        <v>2.7620363105975167E-3</v>
      </c>
    </row>
    <row r="22" spans="1:12" x14ac:dyDescent="0.35">
      <c r="A22" s="31" t="s">
        <v>42</v>
      </c>
      <c r="B22" s="53">
        <f ca="1">_xll.RiskPertAlt(5%,5106.2,50%,5444.6,95%,5783,_xll.RiskStatic(5444.60846184407))</f>
        <v>5444.60846184407</v>
      </c>
      <c r="C22" s="24">
        <f t="shared" ca="1" si="2"/>
        <v>5.3343708320023036E-3</v>
      </c>
    </row>
    <row r="23" spans="1:12" x14ac:dyDescent="0.35">
      <c r="A23" s="31" t="s">
        <v>43</v>
      </c>
      <c r="B23" s="53">
        <f ca="1">_xll.RiskPertAlt(5%,325.43,50%,347,95%,368.56,_xll.RiskStatic(346.997876205903))</f>
        <v>346.99787620590303</v>
      </c>
      <c r="C23" s="24">
        <f t="shared" ca="1" si="2"/>
        <v>3.3997216927010815E-4</v>
      </c>
    </row>
    <row r="24" spans="1:12" x14ac:dyDescent="0.35">
      <c r="A24" s="33" t="s">
        <v>44</v>
      </c>
      <c r="B24" s="34">
        <f ca="1">_xll.RiskOutput()+B20+B21+B22+B23</f>
        <v>14819.376444137484</v>
      </c>
      <c r="C24" s="27">
        <f t="shared" ca="1" si="2"/>
        <v>1.4519326780992136E-2</v>
      </c>
      <c r="E24" s="39"/>
      <c r="H24" s="39"/>
      <c r="I24" s="39"/>
      <c r="K24" s="39"/>
      <c r="L24" s="39"/>
    </row>
    <row r="25" spans="1:12" x14ac:dyDescent="0.35">
      <c r="B25" s="19"/>
      <c r="C25" s="29"/>
    </row>
    <row r="26" spans="1:12" x14ac:dyDescent="0.35">
      <c r="A26" s="36" t="s">
        <v>45</v>
      </c>
      <c r="B26" s="19"/>
      <c r="C26" s="29"/>
    </row>
    <row r="27" spans="1:12" x14ac:dyDescent="0.35">
      <c r="A27" s="37" t="s">
        <v>46</v>
      </c>
      <c r="B27" s="23">
        <f ca="1">'NF Lost productivity sensitivit'!F25</f>
        <v>23478.521844706462</v>
      </c>
      <c r="C27" s="24">
        <f t="shared" ref="C27" ca="1" si="3">B27/B$42</f>
        <v>2.300314944309359E-2</v>
      </c>
    </row>
    <row r="28" spans="1:12" x14ac:dyDescent="0.35">
      <c r="A28" s="37"/>
      <c r="B28" s="23"/>
      <c r="C28" s="24"/>
    </row>
    <row r="29" spans="1:12" x14ac:dyDescent="0.35">
      <c r="A29" t="s">
        <v>47</v>
      </c>
      <c r="B29" s="23">
        <f ca="1">_xll.RiskPertAlt("min",7049.37458,50%,7832.4,"max",8615.773403,_xll.RiskStatic(7832.42987955842))</f>
        <v>7832.42987955842</v>
      </c>
      <c r="C29" s="24">
        <f t="shared" ref="C29" ca="1" si="4">B29/B$42</f>
        <v>7.6738457477746047E-3</v>
      </c>
    </row>
    <row r="31" spans="1:12" x14ac:dyDescent="0.35">
      <c r="A31" s="6" t="s">
        <v>49</v>
      </c>
      <c r="B31" s="26">
        <f ca="1">_xll.RiskOutput()+B27+B29</f>
        <v>31310.95172426488</v>
      </c>
      <c r="C31" s="27">
        <f t="shared" ref="C31:C33" ca="1" si="5">B31/B$42</f>
        <v>3.0676995190868191E-2</v>
      </c>
      <c r="E31" s="39"/>
      <c r="H31" s="39"/>
      <c r="I31" s="39"/>
      <c r="K31" s="39"/>
      <c r="L31" s="39"/>
    </row>
    <row r="32" spans="1:12" x14ac:dyDescent="0.35">
      <c r="A32" t="s">
        <v>48</v>
      </c>
      <c r="B32" s="23">
        <f ca="1">_xll.RiskOutput()+'QAL sensitivity'!H12</f>
        <v>390002.61355775502</v>
      </c>
      <c r="C32" s="24">
        <f t="shared" ca="1" si="5"/>
        <v>0.38210618463141494</v>
      </c>
      <c r="E32" s="39"/>
      <c r="H32" s="39"/>
      <c r="I32" s="39"/>
      <c r="K32" s="39"/>
      <c r="L32" s="39"/>
    </row>
    <row r="33" spans="1:12" x14ac:dyDescent="0.35">
      <c r="A33" s="36" t="s">
        <v>50</v>
      </c>
      <c r="B33" s="26">
        <f ca="1">_xll.RiskOutput()+B31+B32+B24+B16+B9</f>
        <v>470974.68401814194</v>
      </c>
      <c r="C33" s="27">
        <f t="shared" ca="1" si="5"/>
        <v>0.46143880402870185</v>
      </c>
    </row>
    <row r="34" spans="1:12" x14ac:dyDescent="0.35">
      <c r="B34" s="19"/>
      <c r="C34" s="29"/>
    </row>
    <row r="35" spans="1:12" x14ac:dyDescent="0.35">
      <c r="A35" s="6" t="s">
        <v>51</v>
      </c>
      <c r="B35" s="19"/>
      <c r="C35" s="29"/>
    </row>
    <row r="36" spans="1:12" x14ac:dyDescent="0.35">
      <c r="A36" t="s">
        <v>45</v>
      </c>
      <c r="B36" s="23">
        <f ca="1">_xll.RiskPertAlt("min",61824.239233,50%,68693.8,"max",75563.012783,_xll.RiskStatic(68693.7900265871))</f>
        <v>68693.790026587099</v>
      </c>
      <c r="C36" s="24">
        <f t="shared" ref="C36:C39" ca="1" si="6">B36/B$42</f>
        <v>6.7302938755931338E-2</v>
      </c>
    </row>
    <row r="37" spans="1:12" x14ac:dyDescent="0.35">
      <c r="A37" t="s">
        <v>34</v>
      </c>
      <c r="B37" s="23">
        <f ca="1">_xll.RiskPertAlt("min",234.281199,50%,260.29,"max",286.333599,_xll.RiskStatic(260.293517629593))</f>
        <v>260.293517629593</v>
      </c>
      <c r="C37" s="24">
        <f t="shared" ca="1" si="6"/>
        <v>2.5502332407063432E-4</v>
      </c>
    </row>
    <row r="38" spans="1:12" x14ac:dyDescent="0.35">
      <c r="A38" t="s">
        <v>52</v>
      </c>
      <c r="B38" s="23">
        <v>480736.76794567582</v>
      </c>
      <c r="C38" s="24">
        <f t="shared" ca="1" si="6"/>
        <v>0.47100323389129622</v>
      </c>
    </row>
    <row r="39" spans="1:12" x14ac:dyDescent="0.35">
      <c r="A39" s="6" t="s">
        <v>53</v>
      </c>
      <c r="B39" s="26">
        <f ca="1">_xll.RiskOutput()+B36+B37+B38</f>
        <v>549690.85148989246</v>
      </c>
      <c r="C39" s="27">
        <f t="shared" ca="1" si="6"/>
        <v>0.53856119597129815</v>
      </c>
      <c r="E39" s="39"/>
      <c r="H39" s="39"/>
      <c r="I39" s="39"/>
      <c r="K39" s="39"/>
      <c r="L39" s="39"/>
    </row>
    <row r="40" spans="1:12" x14ac:dyDescent="0.35">
      <c r="B40" s="19"/>
      <c r="C40" s="29"/>
    </row>
    <row r="41" spans="1:12" x14ac:dyDescent="0.35">
      <c r="B41" s="19"/>
      <c r="C41" s="29"/>
    </row>
    <row r="42" spans="1:12" x14ac:dyDescent="0.35">
      <c r="A42" s="6" t="s">
        <v>54</v>
      </c>
      <c r="B42" s="26">
        <f ca="1">_xll.RiskOutput()+B33+B39</f>
        <v>1020665.5355080344</v>
      </c>
      <c r="C42" s="27">
        <f t="shared" ref="C42" ca="1" si="7">B42/B$42</f>
        <v>1</v>
      </c>
      <c r="E42" s="39"/>
      <c r="H42" s="39"/>
      <c r="I42" s="39"/>
      <c r="K42" s="39"/>
      <c r="L42" s="39"/>
    </row>
    <row r="46" spans="1:12" x14ac:dyDescent="0.35">
      <c r="H46" s="29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7C07F-C1CD-4829-B4A3-98697182CF21}">
  <dimension ref="A1:C42"/>
  <sheetViews>
    <sheetView topLeftCell="A9" workbookViewId="0">
      <selection activeCell="B42" sqref="B42"/>
    </sheetView>
  </sheetViews>
  <sheetFormatPr defaultRowHeight="14.5" x14ac:dyDescent="0.35"/>
  <cols>
    <col min="1" max="1" width="42.453125" bestFit="1" customWidth="1"/>
    <col min="2" max="2" width="11.1796875" bestFit="1" customWidth="1"/>
  </cols>
  <sheetData>
    <row r="1" spans="1:3" ht="87" x14ac:dyDescent="0.35">
      <c r="A1" s="6" t="s">
        <v>31</v>
      </c>
      <c r="B1" s="21" t="s">
        <v>32</v>
      </c>
      <c r="C1" s="21" t="s">
        <v>33</v>
      </c>
    </row>
    <row r="2" spans="1:3" x14ac:dyDescent="0.35">
      <c r="A2" s="6" t="s">
        <v>34</v>
      </c>
    </row>
    <row r="3" spans="1:3" x14ac:dyDescent="0.35">
      <c r="A3" s="22" t="s">
        <v>7</v>
      </c>
      <c r="B3" s="23">
        <f ca="1">'HCC sensitivity'!E3</f>
        <v>12901.639493107466</v>
      </c>
      <c r="C3" s="24">
        <v>1.4301958055162808E-2</v>
      </c>
    </row>
    <row r="4" spans="1:3" x14ac:dyDescent="0.35">
      <c r="A4" s="22" t="s">
        <v>1</v>
      </c>
      <c r="B4" s="23">
        <f ca="1">'HCC sensitivity'!E4</f>
        <v>3169.7053434274958</v>
      </c>
      <c r="C4" s="24">
        <v>3.513737363047803E-3</v>
      </c>
    </row>
    <row r="5" spans="1:3" x14ac:dyDescent="0.35">
      <c r="A5" s="22" t="s">
        <v>2</v>
      </c>
      <c r="B5" s="23">
        <f ca="1">'HCC sensitivity'!E5</f>
        <v>11142.052323948144</v>
      </c>
      <c r="C5" s="24">
        <v>1.2351370649268577E-2</v>
      </c>
    </row>
    <row r="6" spans="1:3" x14ac:dyDescent="0.35">
      <c r="A6" s="22" t="s">
        <v>3</v>
      </c>
      <c r="B6" s="23">
        <f ca="1">'HCC sensitivity'!E6</f>
        <v>1123.7022542117679</v>
      </c>
      <c r="C6" s="24">
        <v>1.2456656213645321E-3</v>
      </c>
    </row>
    <row r="7" spans="1:3" x14ac:dyDescent="0.35">
      <c r="A7" s="22" t="s">
        <v>4</v>
      </c>
      <c r="B7" s="23">
        <f ca="1">'HCC sensitivity'!E7</f>
        <v>820.11074451540344</v>
      </c>
      <c r="C7" s="24">
        <v>9.0912416951192921E-4</v>
      </c>
    </row>
    <row r="8" spans="1:3" x14ac:dyDescent="0.35">
      <c r="A8" s="22" t="s">
        <v>8</v>
      </c>
      <c r="B8" s="23">
        <f ca="1">'HCC sensitivity'!E8</f>
        <v>2150.5321327742549</v>
      </c>
      <c r="C8" s="24">
        <v>2.3839471307604888E-3</v>
      </c>
    </row>
    <row r="9" spans="1:3" x14ac:dyDescent="0.35">
      <c r="A9" s="25" t="s">
        <v>35</v>
      </c>
      <c r="B9" s="26">
        <f ca="1">_xll.RiskOutput()+'HCC sensitivity'!E9</f>
        <v>31307.742291984534</v>
      </c>
      <c r="C9" s="27">
        <v>3.4705802989116137E-2</v>
      </c>
    </row>
    <row r="10" spans="1:3" x14ac:dyDescent="0.35">
      <c r="A10" s="28"/>
      <c r="B10" s="19"/>
      <c r="C10" s="29"/>
    </row>
    <row r="11" spans="1:3" x14ac:dyDescent="0.35">
      <c r="A11" s="28"/>
      <c r="B11" s="19"/>
      <c r="C11" s="29"/>
    </row>
    <row r="12" spans="1:3" x14ac:dyDescent="0.35">
      <c r="A12" s="30" t="s">
        <v>36</v>
      </c>
      <c r="B12" s="19"/>
      <c r="C12" s="29"/>
    </row>
    <row r="13" spans="1:3" x14ac:dyDescent="0.35">
      <c r="A13" s="28" t="s">
        <v>37</v>
      </c>
      <c r="B13" s="23">
        <f ca="1">_xll.RiskPertAlt("min",759.238122,50%,843.6,"max",927.961878,_xll.RiskStatic(843.6))</f>
        <v>843.6</v>
      </c>
      <c r="C13" s="24">
        <v>9.3516241080172056E-4</v>
      </c>
    </row>
    <row r="14" spans="1:3" x14ac:dyDescent="0.35">
      <c r="A14" s="28" t="s">
        <v>38</v>
      </c>
      <c r="B14" s="23">
        <f ca="1">_xll.RiskPertAlt("min",2093.093965,50%,2325.6,"max",2558.106035,_xll.RiskStatic(2325.6))</f>
        <v>2325.6</v>
      </c>
      <c r="C14" s="24">
        <v>2.5780152946425806E-3</v>
      </c>
    </row>
    <row r="15" spans="1:3" x14ac:dyDescent="0.35">
      <c r="A15" s="28" t="s">
        <v>16</v>
      </c>
      <c r="B15" s="23">
        <f ca="1">_xll.RiskPertAlt("min",328.323102,50%,364.8,"max",401.276898,_xll.RiskStatic(364.8))</f>
        <v>364.8</v>
      </c>
      <c r="C15" s="24">
        <v>4.0439455602236561E-4</v>
      </c>
    </row>
    <row r="16" spans="1:3" x14ac:dyDescent="0.35">
      <c r="A16" s="30" t="s">
        <v>0</v>
      </c>
      <c r="B16" s="26">
        <f ca="1">_xll.RiskOutput()+B13+B14+B15</f>
        <v>3534</v>
      </c>
      <c r="C16" s="27">
        <v>3.9175722614666671E-3</v>
      </c>
    </row>
    <row r="17" spans="1:3" x14ac:dyDescent="0.35">
      <c r="A17" s="28"/>
      <c r="B17" s="19"/>
      <c r="C17" s="29"/>
    </row>
    <row r="18" spans="1:3" x14ac:dyDescent="0.35">
      <c r="A18" s="28"/>
      <c r="B18" s="19"/>
      <c r="C18" s="29"/>
    </row>
    <row r="19" spans="1:3" x14ac:dyDescent="0.35">
      <c r="A19" s="30" t="s">
        <v>39</v>
      </c>
      <c r="B19" s="19"/>
      <c r="C19" s="29"/>
    </row>
    <row r="20" spans="1:3" x14ac:dyDescent="0.35">
      <c r="A20" s="31" t="s">
        <v>40</v>
      </c>
      <c r="B20" s="32">
        <v>6208.6548360388597</v>
      </c>
      <c r="C20" s="24">
        <v>6.2471213937372854E-3</v>
      </c>
    </row>
    <row r="21" spans="1:3" x14ac:dyDescent="0.35">
      <c r="A21" s="31" t="s">
        <v>41</v>
      </c>
      <c r="B21" s="32">
        <v>2819.11527004865</v>
      </c>
      <c r="C21" s="24">
        <v>2.8230099853554943E-3</v>
      </c>
    </row>
    <row r="22" spans="1:3" x14ac:dyDescent="0.35">
      <c r="A22" s="31" t="s">
        <v>42</v>
      </c>
      <c r="B22" s="32">
        <v>5444.60846184407</v>
      </c>
      <c r="C22" s="24">
        <v>6.3010880587474156E-3</v>
      </c>
    </row>
    <row r="23" spans="1:3" x14ac:dyDescent="0.35">
      <c r="A23" s="31" t="s">
        <v>43</v>
      </c>
      <c r="B23" s="32">
        <v>346.99787620590303</v>
      </c>
      <c r="C23" s="24">
        <v>3.6082218544441607E-4</v>
      </c>
    </row>
    <row r="24" spans="1:3" x14ac:dyDescent="0.35">
      <c r="A24" s="33" t="s">
        <v>44</v>
      </c>
      <c r="B24" s="34">
        <v>14819.376444137484</v>
      </c>
      <c r="C24" s="35">
        <v>1.573204162328461E-2</v>
      </c>
    </row>
    <row r="25" spans="1:3" x14ac:dyDescent="0.35">
      <c r="B25" s="19"/>
      <c r="C25" s="29"/>
    </row>
    <row r="26" spans="1:3" x14ac:dyDescent="0.35">
      <c r="A26" s="36" t="s">
        <v>45</v>
      </c>
      <c r="B26" s="19"/>
      <c r="C26" s="29"/>
    </row>
    <row r="27" spans="1:3" x14ac:dyDescent="0.35">
      <c r="A27" s="37" t="s">
        <v>46</v>
      </c>
      <c r="B27" s="23">
        <f ca="1">'NF Lost productivity sensitivit'!F25</f>
        <v>23478.521844706462</v>
      </c>
      <c r="C27" s="24">
        <v>2.2902494577741937E-2</v>
      </c>
    </row>
    <row r="28" spans="1:3" x14ac:dyDescent="0.35">
      <c r="A28" s="37"/>
      <c r="B28" s="23"/>
      <c r="C28" s="24"/>
    </row>
    <row r="29" spans="1:3" x14ac:dyDescent="0.35">
      <c r="A29" t="s">
        <v>47</v>
      </c>
      <c r="B29" s="23">
        <f ca="1">_xll.RiskPertAlt("min",7049.37458,50%,7832.4,"max",8615.773403,_xll.RiskStatic(7832.42987955842))</f>
        <v>7832.42987955842</v>
      </c>
      <c r="C29" s="24">
        <v>8.682543869847419E-3</v>
      </c>
    </row>
    <row r="31" spans="1:3" x14ac:dyDescent="0.35">
      <c r="A31" s="6" t="s">
        <v>49</v>
      </c>
      <c r="B31" s="26">
        <f ca="1">_xll.RiskOutput()+B27+B29</f>
        <v>31310.95172426488</v>
      </c>
      <c r="C31" s="35">
        <v>3.1585038447589357E-2</v>
      </c>
    </row>
    <row r="32" spans="1:3" x14ac:dyDescent="0.35">
      <c r="A32" t="s">
        <v>48</v>
      </c>
      <c r="B32" s="23">
        <f ca="1">_xll.RiskOutput()+'QAL sensitivity'!J12</f>
        <v>183062.45126180336</v>
      </c>
      <c r="C32" s="24">
        <v>0.38085616441945369</v>
      </c>
    </row>
    <row r="33" spans="1:3" x14ac:dyDescent="0.35">
      <c r="A33" s="36" t="s">
        <v>50</v>
      </c>
      <c r="B33" s="26">
        <f ca="1">_xll.RiskOutput()+B31+B32+B24+B16+B9</f>
        <v>264034.52172219026</v>
      </c>
      <c r="C33" s="27">
        <v>0.46679661974091047</v>
      </c>
    </row>
    <row r="34" spans="1:3" x14ac:dyDescent="0.35">
      <c r="B34" s="19"/>
      <c r="C34" s="29"/>
    </row>
    <row r="35" spans="1:3" x14ac:dyDescent="0.35">
      <c r="A35" s="6" t="s">
        <v>51</v>
      </c>
      <c r="B35" s="19"/>
      <c r="C35" s="29"/>
    </row>
    <row r="36" spans="1:3" x14ac:dyDescent="0.35">
      <c r="A36" t="s">
        <v>45</v>
      </c>
      <c r="B36" s="23">
        <f ca="1">_xll.RiskPertAlt("min",61824.239233,50%,68693.8,"max",75563.012783,_xll.RiskStatic(68693.7900265871))</f>
        <v>68693.790026587099</v>
      </c>
      <c r="C36" s="24">
        <v>7.6149656577015654E-2</v>
      </c>
    </row>
    <row r="37" spans="1:3" x14ac:dyDescent="0.35">
      <c r="A37" t="s">
        <v>34</v>
      </c>
      <c r="B37" s="23">
        <f ca="1">_xll.RiskPertAlt("min",234.281199,50%,260.29,"max",286.333599,_xll.RiskStatic(260.293517629593))</f>
        <v>260.293517629593</v>
      </c>
      <c r="C37" s="24">
        <v>2.8854517954308995E-4</v>
      </c>
    </row>
    <row r="38" spans="1:3" x14ac:dyDescent="0.35">
      <c r="A38" t="s">
        <v>52</v>
      </c>
      <c r="B38" s="23">
        <v>223022.21193356099</v>
      </c>
      <c r="C38" s="24">
        <v>0.4567651785025309</v>
      </c>
    </row>
    <row r="39" spans="1:3" x14ac:dyDescent="0.35">
      <c r="A39" s="6" t="s">
        <v>53</v>
      </c>
      <c r="B39" s="26">
        <f ca="1">_xll.RiskOutput()+B36+B37+B38</f>
        <v>291976.29547777766</v>
      </c>
      <c r="C39" s="27">
        <v>0.53320338025908964</v>
      </c>
    </row>
    <row r="40" spans="1:3" x14ac:dyDescent="0.35">
      <c r="B40" s="19"/>
      <c r="C40" s="29"/>
    </row>
    <row r="41" spans="1:3" x14ac:dyDescent="0.35">
      <c r="B41" s="19"/>
      <c r="C41" s="29"/>
    </row>
    <row r="42" spans="1:3" x14ac:dyDescent="0.35">
      <c r="A42" s="6" t="s">
        <v>54</v>
      </c>
      <c r="B42" s="26">
        <f ca="1">_xll.RiskOutput()+B33+B39</f>
        <v>556010.81719996792</v>
      </c>
      <c r="C42" s="2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1ADE-D369-4161-BA61-4F2837DFB093}">
  <dimension ref="A1:C42"/>
  <sheetViews>
    <sheetView topLeftCell="A10" workbookViewId="0">
      <selection activeCell="B39" sqref="B39"/>
    </sheetView>
  </sheetViews>
  <sheetFormatPr defaultRowHeight="14.5" x14ac:dyDescent="0.35"/>
  <cols>
    <col min="1" max="1" width="42.453125" bestFit="1" customWidth="1"/>
    <col min="2" max="2" width="11.1796875" bestFit="1" customWidth="1"/>
    <col min="3" max="3" width="8.81640625" bestFit="1" customWidth="1"/>
  </cols>
  <sheetData>
    <row r="1" spans="1:3" ht="87" x14ac:dyDescent="0.35">
      <c r="A1" s="6" t="s">
        <v>31</v>
      </c>
      <c r="B1" s="21" t="s">
        <v>32</v>
      </c>
      <c r="C1" s="21" t="s">
        <v>33</v>
      </c>
    </row>
    <row r="2" spans="1:3" x14ac:dyDescent="0.35">
      <c r="A2" s="6" t="s">
        <v>34</v>
      </c>
    </row>
    <row r="3" spans="1:3" x14ac:dyDescent="0.35">
      <c r="A3" s="22" t="s">
        <v>7</v>
      </c>
      <c r="B3" s="23">
        <f ca="1">'HCC sensitivity'!E3</f>
        <v>12901.639493107466</v>
      </c>
      <c r="C3" s="24">
        <v>1.4301958055162808E-2</v>
      </c>
    </row>
    <row r="4" spans="1:3" x14ac:dyDescent="0.35">
      <c r="A4" s="22" t="s">
        <v>1</v>
      </c>
      <c r="B4" s="23">
        <f ca="1">'HCC sensitivity'!E4</f>
        <v>3169.7053434274958</v>
      </c>
      <c r="C4" s="24">
        <v>3.513737363047803E-3</v>
      </c>
    </row>
    <row r="5" spans="1:3" x14ac:dyDescent="0.35">
      <c r="A5" s="22" t="s">
        <v>2</v>
      </c>
      <c r="B5" s="23">
        <f ca="1">'HCC sensitivity'!E5</f>
        <v>11142.052323948144</v>
      </c>
      <c r="C5" s="24">
        <v>1.2351370649268577E-2</v>
      </c>
    </row>
    <row r="6" spans="1:3" x14ac:dyDescent="0.35">
      <c r="A6" s="22" t="s">
        <v>3</v>
      </c>
      <c r="B6" s="23">
        <f ca="1">'HCC sensitivity'!E6</f>
        <v>1123.7022542117679</v>
      </c>
      <c r="C6" s="24">
        <v>1.2456656213645321E-3</v>
      </c>
    </row>
    <row r="7" spans="1:3" x14ac:dyDescent="0.35">
      <c r="A7" s="22" t="s">
        <v>4</v>
      </c>
      <c r="B7" s="23">
        <f ca="1">'HCC sensitivity'!E7</f>
        <v>820.11074451540344</v>
      </c>
      <c r="C7" s="24">
        <v>9.0912416951192921E-4</v>
      </c>
    </row>
    <row r="8" spans="1:3" x14ac:dyDescent="0.35">
      <c r="A8" s="22" t="s">
        <v>8</v>
      </c>
      <c r="B8" s="23">
        <f ca="1">'HCC sensitivity'!E8</f>
        <v>2150.5321327742549</v>
      </c>
      <c r="C8" s="24">
        <v>2.3839471307604888E-3</v>
      </c>
    </row>
    <row r="9" spans="1:3" x14ac:dyDescent="0.35">
      <c r="A9" s="25" t="s">
        <v>35</v>
      </c>
      <c r="B9" s="26">
        <f ca="1">_xll.RiskOutput()+'HCC sensitivity'!E9</f>
        <v>31307.742291984534</v>
      </c>
      <c r="C9" s="27">
        <v>3.4705802989116137E-2</v>
      </c>
    </row>
    <row r="10" spans="1:3" x14ac:dyDescent="0.35">
      <c r="A10" s="28"/>
      <c r="B10" s="19"/>
      <c r="C10" s="29"/>
    </row>
    <row r="11" spans="1:3" x14ac:dyDescent="0.35">
      <c r="A11" s="28"/>
      <c r="B11" s="19"/>
      <c r="C11" s="29"/>
    </row>
    <row r="12" spans="1:3" x14ac:dyDescent="0.35">
      <c r="A12" s="30" t="s">
        <v>36</v>
      </c>
      <c r="B12" s="19"/>
      <c r="C12" s="29"/>
    </row>
    <row r="13" spans="1:3" x14ac:dyDescent="0.35">
      <c r="A13" s="28" t="s">
        <v>37</v>
      </c>
      <c r="B13" s="23">
        <f ca="1">_xll.RiskPertAlt("min",759.238122,50%,843.6,"max",927.961878,_xll.RiskStatic(843.6))</f>
        <v>843.6</v>
      </c>
      <c r="C13" s="24">
        <v>9.3516241080172056E-4</v>
      </c>
    </row>
    <row r="14" spans="1:3" x14ac:dyDescent="0.35">
      <c r="A14" s="28" t="s">
        <v>38</v>
      </c>
      <c r="B14" s="23">
        <f ca="1">_xll.RiskPertAlt("min",2093.093965,50%,2325.6,"max",2558.106035,_xll.RiskStatic(2325.6))</f>
        <v>2325.6</v>
      </c>
      <c r="C14" s="24">
        <v>2.5780152946425806E-3</v>
      </c>
    </row>
    <row r="15" spans="1:3" x14ac:dyDescent="0.35">
      <c r="A15" s="28" t="s">
        <v>16</v>
      </c>
      <c r="B15" s="23">
        <f ca="1">_xll.RiskPertAlt("min",328.323102,50%,364.8,"max",401.276898,_xll.RiskStatic(364.8))</f>
        <v>364.8</v>
      </c>
      <c r="C15" s="24">
        <v>4.0439455602236561E-4</v>
      </c>
    </row>
    <row r="16" spans="1:3" x14ac:dyDescent="0.35">
      <c r="A16" s="30" t="s">
        <v>0</v>
      </c>
      <c r="B16" s="26">
        <f ca="1">_xll.RiskOutput()+B13+B14+B15</f>
        <v>3534</v>
      </c>
      <c r="C16" s="27">
        <v>3.9175722614666671E-3</v>
      </c>
    </row>
    <row r="17" spans="1:3" x14ac:dyDescent="0.35">
      <c r="A17" s="28"/>
      <c r="B17" s="19"/>
      <c r="C17" s="29"/>
    </row>
    <row r="18" spans="1:3" x14ac:dyDescent="0.35">
      <c r="A18" s="28"/>
      <c r="B18" s="19"/>
      <c r="C18" s="29"/>
    </row>
    <row r="19" spans="1:3" x14ac:dyDescent="0.35">
      <c r="A19" s="30" t="s">
        <v>39</v>
      </c>
      <c r="B19" s="19"/>
      <c r="C19" s="29"/>
    </row>
    <row r="20" spans="1:3" x14ac:dyDescent="0.35">
      <c r="A20" s="31" t="s">
        <v>40</v>
      </c>
      <c r="B20" s="32">
        <v>6208.6548360388597</v>
      </c>
      <c r="C20" s="24">
        <v>6.2471213937372854E-3</v>
      </c>
    </row>
    <row r="21" spans="1:3" x14ac:dyDescent="0.35">
      <c r="A21" s="31" t="s">
        <v>41</v>
      </c>
      <c r="B21" s="32">
        <v>2819.11527004865</v>
      </c>
      <c r="C21" s="24">
        <v>2.8230099853554943E-3</v>
      </c>
    </row>
    <row r="22" spans="1:3" x14ac:dyDescent="0.35">
      <c r="A22" s="31" t="s">
        <v>42</v>
      </c>
      <c r="B22" s="32">
        <v>5444.60846184407</v>
      </c>
      <c r="C22" s="24">
        <v>6.3010880587474156E-3</v>
      </c>
    </row>
    <row r="23" spans="1:3" x14ac:dyDescent="0.35">
      <c r="A23" s="31" t="s">
        <v>43</v>
      </c>
      <c r="B23" s="32">
        <v>346.99787620590303</v>
      </c>
      <c r="C23" s="24">
        <v>3.6082218544441607E-4</v>
      </c>
    </row>
    <row r="24" spans="1:3" x14ac:dyDescent="0.35">
      <c r="A24" s="33" t="s">
        <v>44</v>
      </c>
      <c r="B24" s="34">
        <v>14819.376444137484</v>
      </c>
      <c r="C24" s="27">
        <v>1.573204162328461E-2</v>
      </c>
    </row>
    <row r="25" spans="1:3" x14ac:dyDescent="0.35">
      <c r="B25" s="19"/>
      <c r="C25" s="29"/>
    </row>
    <row r="26" spans="1:3" x14ac:dyDescent="0.35">
      <c r="A26" s="36" t="s">
        <v>45</v>
      </c>
      <c r="B26" s="19"/>
      <c r="C26" s="29"/>
    </row>
    <row r="27" spans="1:3" x14ac:dyDescent="0.35">
      <c r="A27" s="37" t="s">
        <v>46</v>
      </c>
      <c r="B27" s="23">
        <f ca="1">'NF Lost productivity sensitivit'!F25</f>
        <v>23478.521844706462</v>
      </c>
      <c r="C27" s="24">
        <v>2.2902494577741937E-2</v>
      </c>
    </row>
    <row r="28" spans="1:3" x14ac:dyDescent="0.35">
      <c r="A28" s="37"/>
      <c r="B28" s="23"/>
      <c r="C28" s="24"/>
    </row>
    <row r="29" spans="1:3" x14ac:dyDescent="0.35">
      <c r="A29" t="s">
        <v>47</v>
      </c>
      <c r="B29" s="23">
        <f ca="1">_xll.RiskPertAlt("min",7049.37458,50%,7832.4,"max",8615.773403,_xll.RiskStatic(7832.42987955842))</f>
        <v>7832.42987955842</v>
      </c>
      <c r="C29" s="24">
        <v>8.682543869847419E-3</v>
      </c>
    </row>
    <row r="31" spans="1:3" x14ac:dyDescent="0.35">
      <c r="A31" s="6" t="s">
        <v>49</v>
      </c>
      <c r="B31" s="26">
        <f ca="1">_xll.RiskOutput()+B27+B29</f>
        <v>31310.95172426488</v>
      </c>
    </row>
    <row r="32" spans="1:3" x14ac:dyDescent="0.35">
      <c r="A32" t="s">
        <v>48</v>
      </c>
      <c r="B32" s="23">
        <f ca="1">_xll.RiskOutput()+'QAL sensitivity'!L12</f>
        <v>596942.77585370676</v>
      </c>
      <c r="C32" s="24">
        <v>0.38085616441945369</v>
      </c>
    </row>
    <row r="33" spans="1:3" x14ac:dyDescent="0.35">
      <c r="A33" s="36" t="s">
        <v>50</v>
      </c>
      <c r="B33" s="26">
        <f ca="1">_xll.RiskOutput()+B31+B32+B24+B16+B9</f>
        <v>677914.84631409368</v>
      </c>
      <c r="C33" s="27">
        <v>0.46679661974091047</v>
      </c>
    </row>
    <row r="34" spans="1:3" x14ac:dyDescent="0.35">
      <c r="B34" s="19"/>
      <c r="C34" s="29"/>
    </row>
    <row r="35" spans="1:3" x14ac:dyDescent="0.35">
      <c r="A35" s="6" t="s">
        <v>51</v>
      </c>
      <c r="B35" s="19"/>
      <c r="C35" s="29"/>
    </row>
    <row r="36" spans="1:3" x14ac:dyDescent="0.35">
      <c r="A36" t="s">
        <v>45</v>
      </c>
      <c r="B36" s="23">
        <f ca="1">_xll.RiskPertAlt("min",61824.239233,50%,68693.8,"max",75563.012783,_xll.RiskStatic(68693.7900265871))</f>
        <v>68693.790026587099</v>
      </c>
      <c r="C36" s="24">
        <v>7.6149656577015654E-2</v>
      </c>
    </row>
    <row r="37" spans="1:3" x14ac:dyDescent="0.35">
      <c r="A37" t="s">
        <v>34</v>
      </c>
      <c r="B37" s="23">
        <f ca="1">_xll.RiskPertAlt("min",234.281199,50%,260.29,"max",286.333599,_xll.RiskStatic(260.293517629593))</f>
        <v>260.293517629593</v>
      </c>
      <c r="C37" s="24">
        <v>2.8854517954308995E-4</v>
      </c>
    </row>
    <row r="38" spans="1:3" x14ac:dyDescent="0.35">
      <c r="A38" t="s">
        <v>52</v>
      </c>
      <c r="B38" s="23">
        <v>733495.27480371203</v>
      </c>
      <c r="C38" s="24">
        <v>0.4567651785025309</v>
      </c>
    </row>
    <row r="39" spans="1:3" x14ac:dyDescent="0.35">
      <c r="A39" s="6" t="s">
        <v>53</v>
      </c>
      <c r="B39" s="26">
        <f ca="1">_xll.RiskOutput()+B36+B37+B38</f>
        <v>802449.35834792873</v>
      </c>
      <c r="C39" s="27">
        <v>0.53320338025908964</v>
      </c>
    </row>
    <row r="40" spans="1:3" x14ac:dyDescent="0.35">
      <c r="B40" s="19"/>
      <c r="C40" s="29"/>
    </row>
    <row r="41" spans="1:3" x14ac:dyDescent="0.35">
      <c r="B41" s="19"/>
      <c r="C41" s="29"/>
    </row>
    <row r="42" spans="1:3" x14ac:dyDescent="0.35">
      <c r="A42" s="6" t="s">
        <v>54</v>
      </c>
      <c r="B42" s="26">
        <f ca="1">_xll.RiskOutput()+B33+B39</f>
        <v>1480364.2046620224</v>
      </c>
      <c r="C42" s="2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E263-2BE7-422F-A06C-07A93A412BE5}">
  <dimension ref="A1:L32"/>
  <sheetViews>
    <sheetView workbookViewId="0">
      <selection activeCell="G20" sqref="G20"/>
    </sheetView>
  </sheetViews>
  <sheetFormatPr defaultRowHeight="14.5" x14ac:dyDescent="0.35"/>
  <cols>
    <col min="1" max="1" width="34.26953125" bestFit="1" customWidth="1"/>
    <col min="2" max="2" width="11.7265625" bestFit="1" customWidth="1"/>
    <col min="3" max="3" width="12" bestFit="1" customWidth="1"/>
    <col min="5" max="6" width="12" bestFit="1" customWidth="1"/>
    <col min="7" max="11" width="11.1796875" bestFit="1" customWidth="1"/>
  </cols>
  <sheetData>
    <row r="1" spans="1:12" ht="116" x14ac:dyDescent="0.35">
      <c r="A1" s="68" t="s">
        <v>96</v>
      </c>
      <c r="B1" t="s">
        <v>55</v>
      </c>
      <c r="C1" t="s">
        <v>56</v>
      </c>
      <c r="D1" t="s">
        <v>97</v>
      </c>
      <c r="E1" t="s">
        <v>98</v>
      </c>
      <c r="F1" t="s">
        <v>94</v>
      </c>
      <c r="G1" s="38" t="s">
        <v>57</v>
      </c>
      <c r="H1" s="38" t="s">
        <v>58</v>
      </c>
      <c r="I1" s="38" t="s">
        <v>59</v>
      </c>
      <c r="J1" s="38" t="s">
        <v>60</v>
      </c>
      <c r="K1" s="38" t="s">
        <v>61</v>
      </c>
      <c r="L1" s="38" t="s">
        <v>62</v>
      </c>
    </row>
    <row r="2" spans="1:12" x14ac:dyDescent="0.35">
      <c r="A2" s="68" t="s">
        <v>99</v>
      </c>
      <c r="B2">
        <v>1</v>
      </c>
      <c r="G2" s="39">
        <v>517324.07199490711</v>
      </c>
      <c r="I2" s="39">
        <v>242825.58481393597</v>
      </c>
      <c r="K2" s="39">
        <v>791822.5591758783</v>
      </c>
    </row>
    <row r="3" spans="1:12" x14ac:dyDescent="0.35">
      <c r="A3" s="68" t="s">
        <v>100</v>
      </c>
      <c r="B3">
        <f ca="1">_xll.RiskNormalAlt(2.5%,0.475,97.5%,0.549,_xll.RiskTruncate(0,1),_xll.RiskStatic(0.512))</f>
        <v>0.51200000000000001</v>
      </c>
      <c r="C3">
        <f ca="1">_xll.RiskOutput()+1-B3</f>
        <v>0.48799999999999999</v>
      </c>
      <c r="D3">
        <v>0.47499999999999998</v>
      </c>
      <c r="E3">
        <v>0.54900000000000004</v>
      </c>
      <c r="F3">
        <f ca="1">E27</f>
        <v>163062.399955125</v>
      </c>
      <c r="G3" s="40">
        <f ca="1">_xll.RiskOutput()+G$2*$C3</f>
        <v>252454.14713351466</v>
      </c>
      <c r="H3" s="40">
        <f ca="1">_xll.RiskOutput()+((G3*F3)/1000000)</f>
        <v>41165.779110215139</v>
      </c>
      <c r="I3" s="40">
        <f ca="1">_xll.RiskOutput()+I$2*$C3</f>
        <v>118498.88538920075</v>
      </c>
      <c r="J3" s="39">
        <f ca="1">_xll.RiskOutput()+((I3*F3)/1000000)</f>
        <v>19322.712643570369</v>
      </c>
      <c r="K3" s="40">
        <f ca="1">_xll.RiskOutput()+K$2*$C3</f>
        <v>386409.40887782862</v>
      </c>
      <c r="L3" s="39">
        <f ca="1">_xll.RiskOutput()+((K3*F3)/1000000)</f>
        <v>63008.845576859923</v>
      </c>
    </row>
    <row r="4" spans="1:12" x14ac:dyDescent="0.35">
      <c r="A4" s="68" t="s">
        <v>101</v>
      </c>
      <c r="B4">
        <f ca="1">_xll.RiskNormalAlt(2.5%,0.591,97.5%,0.661,_xll.RiskTruncate(0,1),_xll.RiskStatic(0.626))</f>
        <v>0.626</v>
      </c>
      <c r="C4">
        <f ca="1">_xll.RiskOutput()+1-B4</f>
        <v>0.374</v>
      </c>
      <c r="D4">
        <v>0.59099999999999997</v>
      </c>
      <c r="E4">
        <v>0.66100000000000003</v>
      </c>
      <c r="F4">
        <f ca="1">E28</f>
        <v>1283483.0968881841</v>
      </c>
      <c r="G4" s="39">
        <f ca="1">_xll.RiskOutput()+G$2*C4</f>
        <v>193479.20292609525</v>
      </c>
      <c r="H4" s="40">
        <f ca="1">_xll.RiskOutput()+((G4*F4)/1000000)</f>
        <v>248327.28655504214</v>
      </c>
      <c r="I4" s="40">
        <f ca="1">_xll.RiskOutput()+I$2*$C4</f>
        <v>90816.768720412059</v>
      </c>
      <c r="J4" s="39">
        <f ca="1">_xll.RiskOutput()+((I4*F4)/1000000)</f>
        <v>116561.78756665243</v>
      </c>
      <c r="K4" s="40">
        <f ca="1">_xll.RiskOutput()+K$2*$C4</f>
        <v>296141.63713177847</v>
      </c>
      <c r="L4" s="39">
        <f ca="1">_xll.RiskOutput()+((K4*F4)/1000000)</f>
        <v>380092.78554343188</v>
      </c>
    </row>
    <row r="5" spans="1:12" x14ac:dyDescent="0.35">
      <c r="A5" s="68" t="s">
        <v>102</v>
      </c>
      <c r="B5">
        <v>0.61699999999999999</v>
      </c>
      <c r="D5">
        <v>0.58199999999999996</v>
      </c>
      <c r="E5">
        <v>0.65300000000000002</v>
      </c>
      <c r="G5" s="39"/>
      <c r="J5" s="39"/>
      <c r="L5" s="39"/>
    </row>
    <row r="6" spans="1:12" ht="29" x14ac:dyDescent="0.35">
      <c r="A6" s="68" t="s">
        <v>103</v>
      </c>
      <c r="B6">
        <v>0.71</v>
      </c>
      <c r="D6">
        <v>0.67800000000000005</v>
      </c>
      <c r="E6">
        <v>0.74299999999999999</v>
      </c>
      <c r="G6" s="39"/>
      <c r="J6" s="39"/>
      <c r="L6" s="39"/>
    </row>
    <row r="7" spans="1:12" x14ac:dyDescent="0.35">
      <c r="A7" s="68" t="s">
        <v>104</v>
      </c>
      <c r="B7">
        <v>0.75800000000000001</v>
      </c>
      <c r="D7">
        <v>0.73099999999999998</v>
      </c>
      <c r="E7">
        <v>0.78400000000000003</v>
      </c>
      <c r="G7" s="39"/>
      <c r="J7" s="39"/>
      <c r="L7" s="39"/>
    </row>
    <row r="8" spans="1:12" x14ac:dyDescent="0.35">
      <c r="A8" s="68" t="s">
        <v>105</v>
      </c>
      <c r="B8">
        <v>0.77400000000000002</v>
      </c>
      <c r="D8">
        <v>0.748</v>
      </c>
      <c r="E8">
        <v>0.80100000000000005</v>
      </c>
      <c r="G8" s="39"/>
      <c r="J8" s="39"/>
      <c r="L8" s="39"/>
    </row>
    <row r="9" spans="1:12" x14ac:dyDescent="0.35">
      <c r="A9" s="61" t="s">
        <v>106</v>
      </c>
      <c r="B9">
        <f ca="1">AVERAGE(B5:B8)+_xll.RiskNormal(0,10)</f>
        <v>0.71475</v>
      </c>
      <c r="C9">
        <f ca="1">1-B9</f>
        <v>0.28525</v>
      </c>
      <c r="D9">
        <f>AVERAGE(D5:D8)</f>
        <v>0.68474999999999997</v>
      </c>
      <c r="E9">
        <f>AVERAGE(E5:E8)</f>
        <v>0.74524999999999997</v>
      </c>
    </row>
    <row r="10" spans="1:12" x14ac:dyDescent="0.35">
      <c r="A10" s="61"/>
      <c r="B10">
        <f ca="1">_xll.RiskNormalAlt(2.5%,0.68475,97.5%,0.74525,_xll.RiskTruncate(0,1),_xll.RiskStatic(0.71475))</f>
        <v>0.71475</v>
      </c>
      <c r="C10">
        <f ca="1">_xll.RiskOutput()+1-B10</f>
        <v>0.28525</v>
      </c>
      <c r="D10">
        <v>0.68474999999999997</v>
      </c>
      <c r="E10">
        <v>0.74524999999999997</v>
      </c>
      <c r="F10">
        <f ca="1">E29</f>
        <v>677537.65142491797</v>
      </c>
      <c r="G10" s="40">
        <f ca="1">_xll.RiskOutput()+G$2*C10</f>
        <v>147566.69153654727</v>
      </c>
      <c r="H10" s="40">
        <f ca="1">_xll.RiskOutput()+((G10*F10)/1000000)</f>
        <v>99981.989612217556</v>
      </c>
      <c r="I10" s="40">
        <f ca="1">_xll.RiskOutput()+I$2*$C10</f>
        <v>69265.998068175235</v>
      </c>
      <c r="J10" s="39">
        <f ca="1">_xll.RiskOutput()+((I10*F10)/1000000)</f>
        <v>46930.321654714353</v>
      </c>
      <c r="K10" s="40">
        <f ca="1">_xll.RiskOutput()+K$2*$C10</f>
        <v>225867.38500491928</v>
      </c>
      <c r="L10" s="39">
        <f ca="1">_xll.RiskOutput()+((K10*F10)/1000000)</f>
        <v>153033.65756972073</v>
      </c>
    </row>
    <row r="11" spans="1:12" x14ac:dyDescent="0.35">
      <c r="A11" s="68" t="s">
        <v>107</v>
      </c>
      <c r="B11">
        <f ca="1">_xll.RiskNormalAlt(2.5%,0.78,97.5%,0.834,_xll.RiskTruncate(0,1),_xll.RiskStatic(0.807))</f>
        <v>0.80700000000000005</v>
      </c>
      <c r="C11">
        <f ca="1">_xll.RiskOutput()+1-B11</f>
        <v>0.19299999999999995</v>
      </c>
      <c r="D11">
        <v>0.78</v>
      </c>
      <c r="E11">
        <v>0.83399999999999996</v>
      </c>
      <c r="F11">
        <f ca="1">E30</f>
        <v>5283.8496024059996</v>
      </c>
      <c r="G11" s="39">
        <f ca="1">_xll.RiskOutput()+G$2*C11</f>
        <v>99843.545895017043</v>
      </c>
      <c r="H11" s="40">
        <f ca="1">_xll.RiskOutput()+((G11*F11)/1000000)</f>
        <v>527.55828028019096</v>
      </c>
      <c r="I11" s="40">
        <f ca="1">_xll.RiskOutput()+I$2*$C11</f>
        <v>46865.337869089628</v>
      </c>
      <c r="J11" s="39">
        <f ca="1">_xll.RiskOutput()+((I11*F11)/1000000)</f>
        <v>247.62939686621206</v>
      </c>
      <c r="K11" s="40">
        <f ca="1">_xll.RiskOutput()+K$2*$C11</f>
        <v>152821.75392094447</v>
      </c>
      <c r="L11" s="39">
        <f ca="1">_xll.RiskOutput()+((K11*F11)/1000000)</f>
        <v>807.48716369416991</v>
      </c>
    </row>
    <row r="12" spans="1:12" x14ac:dyDescent="0.35">
      <c r="F12">
        <f ca="1">SUM(F3:F11)</f>
        <v>2129366.9978706329</v>
      </c>
      <c r="H12" s="40">
        <f ca="1">_xll.RiskOutput()+SUM(H3:H11)</f>
        <v>390002.61355775502</v>
      </c>
      <c r="J12" s="39">
        <f ca="1">_xll.RiskOutput()+SUM(J3:J11)</f>
        <v>183062.45126180336</v>
      </c>
      <c r="L12" s="39">
        <f ca="1">_xll.RiskOutput()+SUM(L3:L11)</f>
        <v>596942.77585370676</v>
      </c>
    </row>
    <row r="13" spans="1:12" x14ac:dyDescent="0.35">
      <c r="A13" t="s">
        <v>95</v>
      </c>
    </row>
    <row r="14" spans="1:12" x14ac:dyDescent="0.35">
      <c r="A14">
        <v>4</v>
      </c>
      <c r="B14" t="s">
        <v>13</v>
      </c>
      <c r="D14" t="s">
        <v>14</v>
      </c>
      <c r="E14" t="s">
        <v>15</v>
      </c>
    </row>
    <row r="16" spans="1:12" x14ac:dyDescent="0.35">
      <c r="A16">
        <v>1</v>
      </c>
      <c r="B16" s="4">
        <v>163062.37</v>
      </c>
      <c r="C16" s="4"/>
      <c r="D16">
        <v>7.66</v>
      </c>
      <c r="E16">
        <v>7.66</v>
      </c>
    </row>
    <row r="17" spans="1:5" x14ac:dyDescent="0.35">
      <c r="A17">
        <v>2</v>
      </c>
      <c r="B17" s="2">
        <v>1283483</v>
      </c>
      <c r="C17" s="2"/>
      <c r="D17">
        <v>60.28</v>
      </c>
      <c r="E17">
        <v>67.930000000000007</v>
      </c>
    </row>
    <row r="18" spans="1:5" x14ac:dyDescent="0.35">
      <c r="A18">
        <v>3</v>
      </c>
      <c r="B18" s="4">
        <v>677537.54</v>
      </c>
      <c r="C18" s="4"/>
      <c r="D18">
        <v>31.82</v>
      </c>
      <c r="E18">
        <v>99.75</v>
      </c>
    </row>
    <row r="19" spans="1:5" x14ac:dyDescent="0.35">
      <c r="A19">
        <v>4</v>
      </c>
      <c r="B19" s="4">
        <v>5283.8495999999996</v>
      </c>
      <c r="C19" s="4"/>
      <c r="D19">
        <v>0.25</v>
      </c>
      <c r="E19">
        <v>100</v>
      </c>
    </row>
    <row r="21" spans="1:5" x14ac:dyDescent="0.35">
      <c r="A21" t="s">
        <v>0</v>
      </c>
      <c r="B21" s="2">
        <v>2129367</v>
      </c>
      <c r="C21" s="2"/>
      <c r="D21">
        <v>100</v>
      </c>
    </row>
    <row r="24" spans="1:5" x14ac:dyDescent="0.35">
      <c r="A24" t="s">
        <v>63</v>
      </c>
    </row>
    <row r="25" spans="1:5" x14ac:dyDescent="0.35">
      <c r="A25" t="s">
        <v>108</v>
      </c>
      <c r="B25" t="s">
        <v>30</v>
      </c>
      <c r="C25" t="s">
        <v>26</v>
      </c>
      <c r="D25" t="s">
        <v>27</v>
      </c>
    </row>
    <row r="27" spans="1:5" x14ac:dyDescent="0.35">
      <c r="A27">
        <v>1</v>
      </c>
      <c r="B27">
        <v>7.6577875000000004E-2</v>
      </c>
      <c r="C27">
        <v>5.5540911999999998E-2</v>
      </c>
      <c r="D27">
        <v>0.10469959500000001</v>
      </c>
      <c r="E27">
        <f ca="1">_xll.RiskOutput()+B27*B$32</f>
        <v>163062.399955125</v>
      </c>
    </row>
    <row r="28" spans="1:5" x14ac:dyDescent="0.35">
      <c r="A28">
        <v>2</v>
      </c>
      <c r="B28">
        <v>0.60275335200000002</v>
      </c>
      <c r="C28">
        <v>0.53993618200000004</v>
      </c>
      <c r="D28">
        <v>0.66235702799999996</v>
      </c>
      <c r="E28">
        <f ca="1">_xll.RiskOutput()+B28*B$32</f>
        <v>1283483.0968881841</v>
      </c>
    </row>
    <row r="29" spans="1:5" x14ac:dyDescent="0.35">
      <c r="A29">
        <v>3</v>
      </c>
      <c r="B29">
        <v>0.31818735399999998</v>
      </c>
      <c r="C29">
        <v>0.25754707999999998</v>
      </c>
      <c r="D29">
        <v>0.385688484</v>
      </c>
      <c r="E29">
        <f ca="1">_xll.RiskOutput()+B29*B$32</f>
        <v>677537.65142491797</v>
      </c>
    </row>
    <row r="30" spans="1:5" x14ac:dyDescent="0.35">
      <c r="A30">
        <v>4</v>
      </c>
      <c r="B30">
        <v>2.481418E-3</v>
      </c>
      <c r="C30">
        <v>3.3997399999999999E-4</v>
      </c>
      <c r="D30">
        <v>1.7870355000000001E-2</v>
      </c>
      <c r="E30">
        <f ca="1">_xll.RiskOutput()+B30*B$32</f>
        <v>5283.8496024059996</v>
      </c>
    </row>
    <row r="31" spans="1:5" x14ac:dyDescent="0.35">
      <c r="E31">
        <f ca="1">SUM(E27:E30)</f>
        <v>2129366.9978706329</v>
      </c>
    </row>
    <row r="32" spans="1:5" x14ac:dyDescent="0.35">
      <c r="A32" t="s">
        <v>0</v>
      </c>
      <c r="B32">
        <f ca="1">_xll.RiskNormal(2129367,130243,_xll.RiskStatic(2129367))</f>
        <v>2129367</v>
      </c>
      <c r="D3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7402E-92FA-4B0B-B337-93F4718ECD16}">
  <dimension ref="A1:J48"/>
  <sheetViews>
    <sheetView topLeftCell="A3" workbookViewId="0">
      <selection activeCell="E12" sqref="E12"/>
    </sheetView>
  </sheetViews>
  <sheetFormatPr defaultRowHeight="14.5" x14ac:dyDescent="0.35"/>
  <cols>
    <col min="2" max="2" width="10.1796875" bestFit="1" customWidth="1"/>
    <col min="5" max="5" width="14.81640625" bestFit="1" customWidth="1"/>
    <col min="6" max="6" width="13.81640625" bestFit="1" customWidth="1"/>
  </cols>
  <sheetData>
    <row r="1" spans="1:10" ht="130.5" x14ac:dyDescent="0.35">
      <c r="A1" s="42" t="s">
        <v>64</v>
      </c>
      <c r="B1" s="43" t="s">
        <v>65</v>
      </c>
      <c r="C1" s="43" t="s">
        <v>66</v>
      </c>
      <c r="D1" s="43" t="s">
        <v>67</v>
      </c>
      <c r="E1" s="44" t="s">
        <v>68</v>
      </c>
      <c r="H1" s="45"/>
      <c r="I1" s="45"/>
      <c r="J1" s="45"/>
    </row>
    <row r="2" spans="1:10" x14ac:dyDescent="0.35">
      <c r="A2" s="46" t="s">
        <v>69</v>
      </c>
      <c r="B2" s="4">
        <f ca="1">E$44*C$44*C35</f>
        <v>9623.9331159433023</v>
      </c>
      <c r="C2" s="32">
        <v>8971.1238161490019</v>
      </c>
      <c r="D2" s="47">
        <f>C2*(J$3/I$3)</f>
        <v>9141.5799323654519</v>
      </c>
      <c r="E2" s="48">
        <f t="shared" ref="E2:E9" ca="1" si="0">B2*D2</f>
        <v>87977953.843134612</v>
      </c>
      <c r="H2" s="49"/>
      <c r="I2" s="49">
        <v>2016</v>
      </c>
      <c r="J2" s="49">
        <v>2017</v>
      </c>
    </row>
    <row r="3" spans="1:10" x14ac:dyDescent="0.35">
      <c r="A3" s="46" t="s">
        <v>70</v>
      </c>
      <c r="B3" s="4">
        <f t="shared" ref="B3:B9" ca="1" si="1">E$44*C$44*C36</f>
        <v>83289.100984923833</v>
      </c>
      <c r="C3" s="32">
        <v>8971.1238161490019</v>
      </c>
      <c r="D3" s="47">
        <f t="shared" ref="D3:D9" si="2">C3*(J$3/I$3)</f>
        <v>9141.5799323654519</v>
      </c>
      <c r="E3" s="48">
        <f t="shared" ca="1" si="0"/>
        <v>761393974.1485393</v>
      </c>
      <c r="F3" s="2">
        <f ca="1">_xll.RiskOutput()+0.17*E3</f>
        <v>129436975.60525168</v>
      </c>
      <c r="H3" s="45" t="s">
        <v>71</v>
      </c>
      <c r="I3" s="50">
        <v>105.93125000000001</v>
      </c>
      <c r="J3" s="50">
        <v>107.944</v>
      </c>
    </row>
    <row r="4" spans="1:10" x14ac:dyDescent="0.35">
      <c r="A4" s="46" t="s">
        <v>72</v>
      </c>
      <c r="B4" s="4">
        <f t="shared" ca="1" si="1"/>
        <v>186692.51015731806</v>
      </c>
      <c r="C4" s="32">
        <v>31527.562899526969</v>
      </c>
      <c r="D4" s="47">
        <f t="shared" si="2"/>
        <v>32126.60333590455</v>
      </c>
      <c r="E4" s="48">
        <f t="shared" ca="1" si="0"/>
        <v>5997796219.6084881</v>
      </c>
      <c r="F4" s="2">
        <f ca="1">_xll.RiskOutput()+0.17*E4</f>
        <v>1019625357.333443</v>
      </c>
      <c r="H4" s="45"/>
      <c r="I4" s="45"/>
      <c r="J4" s="45"/>
    </row>
    <row r="5" spans="1:10" x14ac:dyDescent="0.35">
      <c r="A5" s="46" t="s">
        <v>73</v>
      </c>
      <c r="B5" s="4">
        <f t="shared" ca="1" si="1"/>
        <v>149642.39624032663</v>
      </c>
      <c r="C5" s="32">
        <v>56057.613393088359</v>
      </c>
      <c r="D5" s="47">
        <f t="shared" si="2"/>
        <v>57122.737814417647</v>
      </c>
      <c r="E5" s="48">
        <f t="shared" ca="1" si="0"/>
        <v>8547983366.3573751</v>
      </c>
      <c r="F5" s="2">
        <f ca="1">_xll.RiskOutput()+0.17*E5</f>
        <v>1453157172.2807539</v>
      </c>
      <c r="H5" s="31" t="s">
        <v>74</v>
      </c>
      <c r="I5" s="45"/>
      <c r="J5" s="45"/>
    </row>
    <row r="6" spans="1:10" x14ac:dyDescent="0.35">
      <c r="A6" s="46" t="s">
        <v>75</v>
      </c>
      <c r="B6" s="4">
        <f t="shared" ca="1" si="1"/>
        <v>197640.1180530579</v>
      </c>
      <c r="C6" s="32">
        <v>75583.40111033163</v>
      </c>
      <c r="D6" s="47">
        <f t="shared" si="2"/>
        <v>77019.525866575132</v>
      </c>
      <c r="E6" s="48">
        <f t="shared" ca="1" si="0"/>
        <v>15222148184.660456</v>
      </c>
      <c r="F6" s="2">
        <f ca="1">_xll.RiskOutput()+0.17*E6</f>
        <v>2587765191.3922777</v>
      </c>
      <c r="H6" s="45"/>
      <c r="I6" s="45"/>
      <c r="J6" s="45"/>
    </row>
    <row r="7" spans="1:10" x14ac:dyDescent="0.35">
      <c r="A7" s="46" t="s">
        <v>76</v>
      </c>
      <c r="B7" s="4">
        <f t="shared" ca="1" si="1"/>
        <v>283704.55881786486</v>
      </c>
      <c r="C7" s="32">
        <v>97652.878251256305</v>
      </c>
      <c r="D7" s="47">
        <f t="shared" si="2"/>
        <v>99508.334792175199</v>
      </c>
      <c r="E7" s="48">
        <f t="shared" ca="1" si="0"/>
        <v>28230968220.914455</v>
      </c>
      <c r="F7" s="2">
        <f ca="1">_xll.RiskOutput()+0.17*E7</f>
        <v>4799264597.5554581</v>
      </c>
      <c r="H7" s="45"/>
      <c r="I7" s="45"/>
      <c r="J7" s="45"/>
    </row>
    <row r="8" spans="1:10" x14ac:dyDescent="0.35">
      <c r="A8" s="46" t="s">
        <v>77</v>
      </c>
      <c r="B8" s="4">
        <f t="shared" ca="1" si="1"/>
        <v>328343.8509554615</v>
      </c>
      <c r="C8" s="32">
        <v>84331.218014056343</v>
      </c>
      <c r="D8" s="47">
        <f t="shared" si="2"/>
        <v>85933.555936603196</v>
      </c>
      <c r="E8" s="48">
        <f t="shared" ca="1" si="0"/>
        <v>28215754682.520855</v>
      </c>
      <c r="F8" s="2">
        <f ca="1">_xll.RiskOutput()+0.17*E8</f>
        <v>4796678296.0285454</v>
      </c>
      <c r="H8" s="45"/>
      <c r="I8" s="45"/>
      <c r="J8" s="45"/>
    </row>
    <row r="9" spans="1:10" x14ac:dyDescent="0.35">
      <c r="A9" s="46" t="s">
        <v>78</v>
      </c>
      <c r="B9" s="4">
        <f t="shared" ca="1" si="1"/>
        <v>26276.611993060025</v>
      </c>
      <c r="C9" s="32">
        <v>34277.621902076702</v>
      </c>
      <c r="D9" s="47">
        <f t="shared" si="2"/>
        <v>34928.9149197972</v>
      </c>
      <c r="E9" s="48">
        <f t="shared" ca="1" si="0"/>
        <v>917813544.68611634</v>
      </c>
      <c r="F9" s="2">
        <f ca="1">_xll.RiskOutput()+0.17*E9</f>
        <v>156028302.59663978</v>
      </c>
      <c r="H9" s="45" t="s">
        <v>79</v>
      </c>
      <c r="I9" s="45"/>
      <c r="J9" s="45"/>
    </row>
    <row r="10" spans="1:10" x14ac:dyDescent="0.35">
      <c r="A10" s="51" t="s">
        <v>80</v>
      </c>
      <c r="B10" s="52">
        <f ca="1">SUM(B2:B9)</f>
        <v>1265213.0803179559</v>
      </c>
      <c r="E10" s="48">
        <f ca="1">SUM(E2:E9)</f>
        <v>87981836146.739426</v>
      </c>
      <c r="F10" s="48">
        <f ca="1">_xll.RiskOutput()+SUM(F2:F9)</f>
        <v>14941955892.79237</v>
      </c>
      <c r="G10">
        <f ca="1">F10/B10</f>
        <v>11809.833557077487</v>
      </c>
      <c r="H10" s="53">
        <f ca="1">F10/1000000</f>
        <v>14941.95589279237</v>
      </c>
      <c r="I10" s="45"/>
      <c r="J10" s="45"/>
    </row>
    <row r="11" spans="1:10" x14ac:dyDescent="0.35">
      <c r="B11" s="45"/>
      <c r="E11" s="54"/>
      <c r="H11" s="45"/>
      <c r="I11" s="45"/>
      <c r="J11" s="45"/>
    </row>
    <row r="12" spans="1:10" x14ac:dyDescent="0.35">
      <c r="A12" s="55" t="s">
        <v>81</v>
      </c>
      <c r="B12" s="45"/>
      <c r="E12" s="54"/>
      <c r="H12" s="45"/>
      <c r="I12" s="45"/>
      <c r="J12" s="45"/>
    </row>
    <row r="13" spans="1:10" x14ac:dyDescent="0.35">
      <c r="A13" s="46" t="s">
        <v>69</v>
      </c>
      <c r="B13" s="4">
        <f ca="1">E$44*D$44*D35</f>
        <v>15088.206097745915</v>
      </c>
      <c r="C13" s="32">
        <v>11185.813065623171</v>
      </c>
      <c r="D13" s="47">
        <f>C13*(J$3/I$3)</f>
        <v>11398.349453590206</v>
      </c>
      <c r="E13" s="48">
        <f ca="1">B13*D13</f>
        <v>171980645.72989857</v>
      </c>
      <c r="H13" s="45"/>
      <c r="I13" s="45"/>
      <c r="J13" s="45"/>
    </row>
    <row r="14" spans="1:10" x14ac:dyDescent="0.35">
      <c r="A14" s="46" t="s">
        <v>70</v>
      </c>
      <c r="B14" s="4">
        <f t="shared" ref="B14:B20" ca="1" si="3">E$44*D$44*D36</f>
        <v>88157.916996927641</v>
      </c>
      <c r="C14" s="32">
        <v>11185.813065623171</v>
      </c>
      <c r="D14" s="47">
        <f t="shared" ref="D14:D20" si="4">C14*(J$3/I$3)</f>
        <v>11398.349453590206</v>
      </c>
      <c r="E14" s="48">
        <f t="shared" ref="E14:E20" ca="1" si="5">B14*D14</f>
        <v>1004854745.0315809</v>
      </c>
      <c r="F14" s="2">
        <f ca="1">_xll.RiskOutput()+0.18*E14</f>
        <v>180873854.10568455</v>
      </c>
      <c r="H14" s="45"/>
      <c r="I14" s="45"/>
      <c r="J14" s="45"/>
    </row>
    <row r="15" spans="1:10" x14ac:dyDescent="0.35">
      <c r="A15" s="46" t="s">
        <v>72</v>
      </c>
      <c r="B15" s="4">
        <f t="shared" ca="1" si="3"/>
        <v>162181.3505068089</v>
      </c>
      <c r="C15" s="32">
        <v>34441.396323800305</v>
      </c>
      <c r="D15" s="47">
        <f t="shared" si="4"/>
        <v>35095.801142498553</v>
      </c>
      <c r="E15" s="48">
        <f t="shared" ca="1" si="5"/>
        <v>5691884426.4088221</v>
      </c>
      <c r="F15" s="2">
        <f ca="1">_xll.RiskOutput()+0.18*E15</f>
        <v>1024539196.753588</v>
      </c>
      <c r="H15" s="45"/>
      <c r="I15" s="45"/>
      <c r="J15" s="45"/>
    </row>
    <row r="16" spans="1:10" x14ac:dyDescent="0.35">
      <c r="A16" s="46" t="s">
        <v>73</v>
      </c>
      <c r="B16" s="4">
        <f t="shared" ca="1" si="3"/>
        <v>113625.94593890407</v>
      </c>
      <c r="C16" s="32">
        <v>59711.191025504675</v>
      </c>
      <c r="D16" s="47">
        <f t="shared" si="4"/>
        <v>60845.735361917054</v>
      </c>
      <c r="E16" s="48">
        <f t="shared" ca="1" si="5"/>
        <v>6913654236.8460512</v>
      </c>
      <c r="F16" s="2">
        <f ca="1">_xll.RiskOutput()+0.18*E16</f>
        <v>1244457762.6322892</v>
      </c>
      <c r="H16" s="45"/>
      <c r="I16" s="45"/>
      <c r="J16" s="45"/>
    </row>
    <row r="17" spans="1:10" x14ac:dyDescent="0.35">
      <c r="A17" s="46" t="s">
        <v>75</v>
      </c>
      <c r="B17" s="4">
        <f t="shared" ca="1" si="3"/>
        <v>102519.15360867669</v>
      </c>
      <c r="C17" s="32">
        <v>72694.507805047309</v>
      </c>
      <c r="D17" s="47">
        <f t="shared" si="4"/>
        <v>74075.742054474249</v>
      </c>
      <c r="E17" s="48">
        <f t="shared" ca="1" si="5"/>
        <v>7594182378.3593569</v>
      </c>
      <c r="F17" s="2">
        <f ca="1">_xll.RiskOutput()+0.18*E17</f>
        <v>1366952828.1046841</v>
      </c>
      <c r="H17" s="45"/>
      <c r="I17" s="45"/>
      <c r="J17" s="45"/>
    </row>
    <row r="18" spans="1:10" x14ac:dyDescent="0.35">
      <c r="A18" s="46" t="s">
        <v>76</v>
      </c>
      <c r="B18" s="4">
        <f t="shared" ca="1" si="3"/>
        <v>189016.69563174332</v>
      </c>
      <c r="C18" s="32">
        <v>76027.588926260156</v>
      </c>
      <c r="D18" s="47">
        <f t="shared" si="4"/>
        <v>77472.15348687215</v>
      </c>
      <c r="E18" s="48">
        <f t="shared" ca="1" si="5"/>
        <v>14643530455.563816</v>
      </c>
      <c r="F18" s="2">
        <f ca="1">_xll.RiskOutput()+0.18*E18</f>
        <v>2635835482.0014868</v>
      </c>
      <c r="H18" s="45"/>
      <c r="I18" s="45"/>
      <c r="J18" s="45"/>
    </row>
    <row r="19" spans="1:10" x14ac:dyDescent="0.35">
      <c r="A19" s="46" t="s">
        <v>77</v>
      </c>
      <c r="B19" s="4">
        <f t="shared" ca="1" si="3"/>
        <v>180752.10036258795</v>
      </c>
      <c r="C19" s="32">
        <v>61003.091032875105</v>
      </c>
      <c r="D19" s="47">
        <f t="shared" si="4"/>
        <v>62162.182155432602</v>
      </c>
      <c r="E19" s="48">
        <f t="shared" ca="1" si="5"/>
        <v>11235944987.716227</v>
      </c>
      <c r="F19" s="2">
        <f ca="1">_xll.RiskOutput()+0.18*E19</f>
        <v>2022470097.7889206</v>
      </c>
      <c r="H19" s="45"/>
      <c r="I19" s="45"/>
      <c r="J19" s="45"/>
    </row>
    <row r="20" spans="1:10" x14ac:dyDescent="0.35">
      <c r="A20" s="46" t="s">
        <v>78</v>
      </c>
      <c r="B20" s="4">
        <f t="shared" ca="1" si="3"/>
        <v>12812.552668016539</v>
      </c>
      <c r="C20" s="32">
        <v>26142.403692366006</v>
      </c>
      <c r="D20" s="47">
        <f t="shared" si="4"/>
        <v>26639.123244262253</v>
      </c>
      <c r="E20" s="48">
        <f t="shared" ca="1" si="5"/>
        <v>341315169.59689373</v>
      </c>
      <c r="F20" s="2">
        <f ca="1">_xll.RiskOutput()+0.18*E20</f>
        <v>61436730.527440868</v>
      </c>
      <c r="H20" s="45" t="s">
        <v>79</v>
      </c>
      <c r="I20" s="45"/>
      <c r="J20" s="45"/>
    </row>
    <row r="21" spans="1:10" x14ac:dyDescent="0.35">
      <c r="A21" s="56" t="s">
        <v>80</v>
      </c>
      <c r="B21" s="57">
        <f ca="1">SUM(B13:B20)</f>
        <v>864153.92181141104</v>
      </c>
      <c r="C21" s="58"/>
      <c r="D21" s="58"/>
      <c r="E21" s="59">
        <f ca="1">SUM(E13:E20)</f>
        <v>47597347045.252647</v>
      </c>
      <c r="F21" s="59">
        <f ca="1">_xll.RiskOutput()+SUM(F13:F20)</f>
        <v>8536565951.914094</v>
      </c>
      <c r="G21">
        <f ca="1">F21/B21</f>
        <v>9878.5248049560723</v>
      </c>
      <c r="H21" s="53">
        <f ca="1">F21/1000000</f>
        <v>8536.5659519140936</v>
      </c>
      <c r="I21" s="45"/>
      <c r="J21" s="45"/>
    </row>
    <row r="22" spans="1:10" x14ac:dyDescent="0.35">
      <c r="B22" s="32">
        <f ca="1">B10+B21</f>
        <v>2129367.0021293671</v>
      </c>
      <c r="E22" s="54"/>
      <c r="H22" s="53">
        <f ca="1">H10+H21</f>
        <v>23478.521844706462</v>
      </c>
      <c r="I22" s="45"/>
      <c r="J22" s="45"/>
    </row>
    <row r="23" spans="1:10" x14ac:dyDescent="0.35">
      <c r="B23" s="45"/>
      <c r="E23" s="54"/>
      <c r="H23" s="45"/>
      <c r="I23" s="45"/>
      <c r="J23" s="45"/>
    </row>
    <row r="24" spans="1:10" x14ac:dyDescent="0.35">
      <c r="B24" s="45"/>
      <c r="E24" s="60" t="s">
        <v>35</v>
      </c>
      <c r="F24" t="s">
        <v>0</v>
      </c>
      <c r="H24" s="45"/>
      <c r="I24" s="45"/>
      <c r="J24" s="45"/>
    </row>
    <row r="25" spans="1:10" x14ac:dyDescent="0.35">
      <c r="B25" s="52"/>
      <c r="E25" s="48">
        <f ca="1">E10+E21</f>
        <v>135579183191.99207</v>
      </c>
      <c r="F25" s="48">
        <f ca="1">_xll.RiskOutput()+((F10+F21)/1000000)</f>
        <v>23478.521844706462</v>
      </c>
      <c r="H25" s="45"/>
      <c r="I25" s="45"/>
      <c r="J25" s="45"/>
    </row>
    <row r="26" spans="1:10" x14ac:dyDescent="0.35">
      <c r="B26" s="45"/>
      <c r="E26" s="54"/>
      <c r="H26" s="45"/>
      <c r="I26" s="45"/>
      <c r="J26" s="45"/>
    </row>
    <row r="27" spans="1:10" x14ac:dyDescent="0.35">
      <c r="A27" s="61"/>
      <c r="B27" s="45"/>
      <c r="E27" s="54"/>
      <c r="H27" s="45"/>
      <c r="I27" s="45"/>
      <c r="J27" s="45"/>
    </row>
    <row r="28" spans="1:10" x14ac:dyDescent="0.35">
      <c r="A28" s="42"/>
      <c r="B28" s="43"/>
      <c r="C28" s="43"/>
      <c r="D28" s="43"/>
      <c r="E28" s="44"/>
      <c r="H28" s="45"/>
      <c r="I28" s="45"/>
      <c r="J28" s="45"/>
    </row>
    <row r="29" spans="1:10" x14ac:dyDescent="0.35">
      <c r="A29" s="46"/>
      <c r="B29" s="2"/>
      <c r="C29" s="32"/>
      <c r="D29" s="47"/>
      <c r="E29" s="48"/>
      <c r="H29" s="49"/>
      <c r="I29" s="49"/>
      <c r="J29" s="49"/>
    </row>
    <row r="30" spans="1:10" x14ac:dyDescent="0.35">
      <c r="A30" s="46"/>
      <c r="B30" s="2"/>
      <c r="C30" s="32"/>
      <c r="D30" s="47"/>
      <c r="E30" s="48"/>
      <c r="F30" s="2"/>
      <c r="H30" s="45"/>
      <c r="I30" s="50"/>
      <c r="J30" s="50"/>
    </row>
    <row r="31" spans="1:10" x14ac:dyDescent="0.35">
      <c r="A31" s="46"/>
      <c r="B31" s="2"/>
      <c r="C31" s="32"/>
      <c r="D31" s="47"/>
      <c r="E31" s="48"/>
      <c r="F31" s="2"/>
      <c r="H31" s="45"/>
      <c r="I31" s="45"/>
      <c r="J31" s="45"/>
    </row>
    <row r="32" spans="1:10" x14ac:dyDescent="0.35">
      <c r="A32" s="46"/>
      <c r="B32" s="2"/>
      <c r="C32" s="32" t="s">
        <v>82</v>
      </c>
      <c r="D32" s="47" t="s">
        <v>83</v>
      </c>
      <c r="E32" s="48"/>
      <c r="F32" s="2"/>
      <c r="H32" s="31"/>
      <c r="I32" s="45"/>
      <c r="J32" s="45"/>
    </row>
    <row r="33" spans="1:10" x14ac:dyDescent="0.35">
      <c r="A33" s="46"/>
      <c r="B33" s="2" t="s">
        <v>84</v>
      </c>
      <c r="C33" s="32" t="s">
        <v>85</v>
      </c>
      <c r="D33" s="47" t="s">
        <v>86</v>
      </c>
      <c r="E33" s="48"/>
      <c r="F33" s="2"/>
      <c r="H33" s="45"/>
      <c r="I33" s="45"/>
      <c r="J33" s="45"/>
    </row>
    <row r="34" spans="1:10" x14ac:dyDescent="0.35">
      <c r="A34" s="46"/>
      <c r="B34" s="2"/>
      <c r="C34" s="32"/>
      <c r="D34" s="47"/>
      <c r="E34" s="48"/>
      <c r="F34" s="2"/>
      <c r="H34" s="45"/>
      <c r="I34" s="45"/>
      <c r="J34" s="45"/>
    </row>
    <row r="35" spans="1:10" x14ac:dyDescent="0.35">
      <c r="A35" s="46">
        <v>12</v>
      </c>
      <c r="B35" s="2" t="s">
        <v>87</v>
      </c>
      <c r="C35" s="62">
        <v>7.6065710000000003E-3</v>
      </c>
      <c r="D35" s="63">
        <v>1.7460091E-2</v>
      </c>
      <c r="E35" s="64"/>
      <c r="F35" s="2"/>
      <c r="H35" s="45"/>
      <c r="I35" s="45"/>
      <c r="J35" s="45"/>
    </row>
    <row r="36" spans="1:10" x14ac:dyDescent="0.35">
      <c r="A36" s="46">
        <v>15</v>
      </c>
      <c r="B36" s="2" t="s">
        <v>88</v>
      </c>
      <c r="C36" s="62">
        <v>6.5830098000000004E-2</v>
      </c>
      <c r="D36" s="63">
        <v>0.10201645199999999</v>
      </c>
      <c r="E36" s="64"/>
      <c r="F36" s="2"/>
      <c r="H36" s="45"/>
      <c r="I36" s="45"/>
      <c r="J36" s="45"/>
    </row>
    <row r="37" spans="1:10" x14ac:dyDescent="0.35">
      <c r="A37" s="51">
        <v>20</v>
      </c>
      <c r="B37" s="52" t="s">
        <v>89</v>
      </c>
      <c r="C37" s="65">
        <v>0.147558157</v>
      </c>
      <c r="D37" s="65">
        <v>0.18767646199999999</v>
      </c>
      <c r="E37" s="64"/>
      <c r="F37" s="48"/>
      <c r="H37" s="53"/>
      <c r="I37" s="45"/>
      <c r="J37" s="45"/>
    </row>
    <row r="38" spans="1:10" x14ac:dyDescent="0.35">
      <c r="A38">
        <v>26</v>
      </c>
      <c r="B38" s="45" t="s">
        <v>90</v>
      </c>
      <c r="C38" s="65">
        <v>0.118274462</v>
      </c>
      <c r="D38" s="65">
        <v>0.131488087</v>
      </c>
      <c r="E38" s="66"/>
      <c r="H38" s="45"/>
      <c r="I38" s="45"/>
      <c r="J38" s="45"/>
    </row>
    <row r="39" spans="1:10" x14ac:dyDescent="0.35">
      <c r="A39" s="55">
        <v>30</v>
      </c>
      <c r="B39" s="45" t="s">
        <v>91</v>
      </c>
      <c r="C39" s="65">
        <v>0.156210935</v>
      </c>
      <c r="D39" s="65">
        <v>0.118635293</v>
      </c>
      <c r="E39" s="66"/>
      <c r="H39" s="45"/>
      <c r="I39" s="45"/>
      <c r="J39" s="45"/>
    </row>
    <row r="40" spans="1:10" x14ac:dyDescent="0.35">
      <c r="A40" s="46">
        <v>35</v>
      </c>
      <c r="B40" s="4" t="s">
        <v>92</v>
      </c>
      <c r="C40" s="62">
        <v>0.224234608</v>
      </c>
      <c r="D40" s="63">
        <v>0.21873035699999999</v>
      </c>
      <c r="E40" s="64"/>
      <c r="H40" s="45"/>
      <c r="I40" s="45"/>
      <c r="J40" s="45"/>
    </row>
    <row r="41" spans="1:10" x14ac:dyDescent="0.35">
      <c r="A41" s="46">
        <v>50</v>
      </c>
      <c r="B41" s="4" t="s">
        <v>93</v>
      </c>
      <c r="C41" s="62">
        <v>0.25951664299999999</v>
      </c>
      <c r="D41" s="63">
        <v>0.209166557</v>
      </c>
      <c r="E41" s="64"/>
      <c r="F41" s="2"/>
      <c r="H41" s="45"/>
      <c r="I41" s="45"/>
      <c r="J41" s="45"/>
    </row>
    <row r="42" spans="1:10" x14ac:dyDescent="0.35">
      <c r="A42" s="46"/>
      <c r="B42" s="4" t="s">
        <v>78</v>
      </c>
      <c r="C42" s="62">
        <v>2.0768526999999998E-2</v>
      </c>
      <c r="D42" s="63">
        <v>1.4826702000000001E-2</v>
      </c>
      <c r="E42" s="64"/>
      <c r="F42" s="2"/>
      <c r="H42" s="45"/>
      <c r="I42" s="45"/>
      <c r="J42" s="45"/>
    </row>
    <row r="43" spans="1:10" x14ac:dyDescent="0.35">
      <c r="A43" s="46"/>
      <c r="B43" s="4"/>
      <c r="C43" s="32"/>
      <c r="D43" s="47"/>
      <c r="E43" s="48"/>
      <c r="F43" s="2"/>
      <c r="H43" s="45"/>
      <c r="I43" s="45"/>
      <c r="J43" s="45"/>
    </row>
    <row r="44" spans="1:10" x14ac:dyDescent="0.35">
      <c r="A44" s="46"/>
      <c r="B44" s="4" t="s">
        <v>0</v>
      </c>
      <c r="C44" s="62">
        <v>0.59417332899999997</v>
      </c>
      <c r="D44" s="67">
        <v>0.40582667100000003</v>
      </c>
      <c r="E44" s="48">
        <f ca="1">_xll.RiskNormal(2129367,212936.7,_xll.RiskStatic(2129367))</f>
        <v>2129367</v>
      </c>
      <c r="F44" s="2"/>
      <c r="H44" s="45"/>
      <c r="I44" s="45"/>
      <c r="J44" s="45"/>
    </row>
    <row r="45" spans="1:10" x14ac:dyDescent="0.35">
      <c r="A45" s="46"/>
      <c r="B45" s="4"/>
      <c r="C45" s="32"/>
      <c r="D45" s="47"/>
      <c r="E45" s="48"/>
      <c r="F45" s="2"/>
      <c r="H45" s="45"/>
      <c r="I45" s="45"/>
      <c r="J45" s="45"/>
    </row>
    <row r="46" spans="1:10" x14ac:dyDescent="0.35">
      <c r="A46" s="46"/>
      <c r="B46" s="4"/>
      <c r="C46" s="32"/>
      <c r="D46" s="47"/>
      <c r="E46" s="48"/>
      <c r="F46" s="2"/>
      <c r="H46" s="45"/>
      <c r="I46" s="45"/>
      <c r="J46" s="45"/>
    </row>
    <row r="47" spans="1:10" x14ac:dyDescent="0.35">
      <c r="A47" s="46"/>
      <c r="B47" s="4"/>
      <c r="C47" s="32"/>
      <c r="D47" s="47"/>
      <c r="E47" s="48"/>
      <c r="F47" s="2"/>
      <c r="H47" s="45"/>
      <c r="I47" s="45"/>
      <c r="J47" s="45"/>
    </row>
    <row r="48" spans="1:10" x14ac:dyDescent="0.35">
      <c r="A48" s="56"/>
      <c r="B48" s="57"/>
      <c r="C48" s="58"/>
      <c r="D48" s="58"/>
      <c r="E48" s="59"/>
      <c r="F48" s="59"/>
      <c r="H48" s="53"/>
      <c r="I48" s="45"/>
      <c r="J48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RiskSerializationData</vt:lpstr>
      <vt:lpstr>HCC sensitivity</vt:lpstr>
      <vt:lpstr>Prediction Intervals</vt:lpstr>
      <vt:lpstr>Total Cost sensitivity C</vt:lpstr>
      <vt:lpstr>Total Cost Senstivity L</vt:lpstr>
      <vt:lpstr>Total Cost Sensitivity H</vt:lpstr>
      <vt:lpstr>QAL sensitivity</vt:lpstr>
      <vt:lpstr>NF Lost productivity sensitivit</vt:lpstr>
    </vt:vector>
  </TitlesOfParts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Florence, Curtis (CDC/DDNID/NCIPC/DIP)</cp:lastModifiedBy>
  <dcterms:created xsi:type="dcterms:W3CDTF">2015-08-06T20:40:13Z</dcterms:created>
  <dcterms:modified xsi:type="dcterms:W3CDTF">2020-09-25T19:48:09Z</dcterms:modified>
</cp:coreProperties>
</file>